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9b1f9bd15b4598/C^N Source/PortfolioPerformance/PortfolioPerformance/"/>
    </mc:Choice>
  </mc:AlternateContent>
  <xr:revisionPtr revIDLastSave="635" documentId="13_ncr:1_{279DD423-BAFB-4596-9FA7-C1D1A2B14100}" xr6:coauthVersionLast="45" xr6:coauthVersionMax="45" xr10:uidLastSave="{A7702B17-6949-41AB-8351-68FD864A48A5}"/>
  <bookViews>
    <workbookView xWindow="4725" yWindow="3255" windowWidth="27480" windowHeight="15990" activeTab="3" xr2:uid="{344BB257-92D6-46F2-9766-17934D9BF305}"/>
  </bookViews>
  <sheets>
    <sheet name="Sheet1" sheetId="1" r:id="rId1"/>
    <sheet name="Sheet2" sheetId="2" r:id="rId2"/>
    <sheet name="Table 2.4 and 2.5" sheetId="4" r:id="rId3"/>
    <sheet name="Tables 2.7, 2.8, and 2.9" sheetId="5" r:id="rId4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Sheet1!$D$30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4" l="1"/>
  <c r="E2" i="4"/>
  <c r="H13" i="5" a="1"/>
  <c r="H13" i="5" s="1"/>
  <c r="F8" i="4" a="1"/>
  <c r="F10" i="4" a="1"/>
  <c r="F11" i="4" a="1"/>
  <c r="F5" i="4" a="1"/>
  <c r="F3" i="4" a="1"/>
  <c r="F3" i="4" l="1"/>
  <c r="F5" i="4"/>
  <c r="F11" i="4"/>
  <c r="F10" i="4"/>
  <c r="F8" i="4"/>
  <c r="I12" i="5" a="1"/>
  <c r="I12" i="5" s="1"/>
  <c r="H12" i="5" a="1"/>
  <c r="H12" i="5" s="1"/>
  <c r="I11" i="5" a="1"/>
  <c r="I11" i="5" s="1"/>
  <c r="H11" i="5" a="1"/>
  <c r="H11" i="5" s="1"/>
  <c r="I10" i="5"/>
  <c r="I13" i="5" s="1" a="1"/>
  <c r="I13" i="5" s="1"/>
  <c r="I14" i="5" a="1"/>
  <c r="H14" i="5" a="1"/>
  <c r="F7" i="4" l="1"/>
  <c r="I14" i="5"/>
  <c r="H14" i="5"/>
  <c r="I6" i="5"/>
  <c r="H6" i="5"/>
  <c r="I3" i="5"/>
  <c r="H3" i="5"/>
  <c r="I5" i="5"/>
  <c r="H5" i="5"/>
  <c r="I4" i="5"/>
  <c r="H4" i="5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" i="5"/>
  <c r="E2" i="5"/>
  <c r="D3" i="5"/>
  <c r="D2" i="5"/>
  <c r="I2" i="5"/>
  <c r="H2" i="5"/>
  <c r="H7" i="5" a="1"/>
  <c r="I7" i="5" a="1"/>
  <c r="I7" i="5" l="1"/>
  <c r="H7" i="5"/>
  <c r="H37" i="1"/>
  <c r="H38" i="1"/>
  <c r="C37" i="1" a="1"/>
  <c r="C37" i="1" s="1"/>
  <c r="D37" i="1" a="1"/>
  <c r="D37" i="1" s="1"/>
  <c r="C38" i="1" a="1"/>
  <c r="C38" i="1" s="1"/>
  <c r="D38" i="1" a="1"/>
  <c r="D38" i="1" s="1"/>
  <c r="G38" i="1" a="1"/>
  <c r="G37" i="1" a="1"/>
  <c r="G38" i="1" l="1"/>
  <c r="G37" i="1"/>
  <c r="C36" i="1" a="1"/>
  <c r="C36" i="1" s="1"/>
  <c r="C35" i="1" a="1"/>
  <c r="C35" i="1" s="1"/>
  <c r="H34" i="1" l="1"/>
  <c r="H35" i="1"/>
  <c r="G36" i="1" a="1"/>
  <c r="G36" i="1" l="1"/>
  <c r="H36" i="1" s="1"/>
  <c r="D36" i="1" a="1"/>
  <c r="D36" i="1" s="1"/>
  <c r="D35" i="1" a="1"/>
  <c r="D35" i="1" s="1"/>
  <c r="G35" i="1" a="1"/>
  <c r="G35" i="1" l="1"/>
  <c r="C34" i="1" a="1"/>
  <c r="C34" i="1" s="1"/>
  <c r="D34" i="1" a="1"/>
  <c r="D34" i="1" s="1"/>
  <c r="H33" i="1"/>
  <c r="C33" i="1" a="1"/>
  <c r="C33" i="1" s="1"/>
  <c r="D33" i="1" a="1"/>
  <c r="D33" i="1" s="1"/>
  <c r="G33" i="1" a="1"/>
  <c r="G34" i="1" a="1"/>
  <c r="G34" i="1" l="1"/>
  <c r="G33" i="1"/>
  <c r="G23" i="1" a="1"/>
  <c r="E11" i="4" a="1"/>
  <c r="E3" i="4" a="1"/>
  <c r="E10" i="4" a="1"/>
  <c r="E8" i="4" a="1"/>
  <c r="G23" i="1" l="1"/>
  <c r="E3" i="4"/>
  <c r="E8" i="4"/>
  <c r="E11" i="4"/>
  <c r="E10" i="4"/>
  <c r="E5" i="4" a="1"/>
  <c r="E5" i="4" l="1"/>
  <c r="E7" i="4" s="1"/>
  <c r="D24" i="1" l="1" a="1"/>
  <c r="D24" i="1" s="1"/>
  <c r="D23" i="1" a="1"/>
  <c r="D23" i="1" s="1"/>
  <c r="G21" i="1" a="1"/>
  <c r="G42" i="1" a="1"/>
  <c r="G21" i="1" l="1"/>
  <c r="G42" i="1"/>
  <c r="D21" i="1"/>
  <c r="L30" i="2" a="1"/>
  <c r="K30" i="2" a="1"/>
  <c r="G24" i="1" a="1"/>
  <c r="M30" i="2" a="1"/>
  <c r="G29" i="1" a="1"/>
  <c r="G25" i="1" a="1"/>
  <c r="G22" i="1" a="1"/>
  <c r="G30" i="1" a="1"/>
  <c r="J30" i="2" a="1"/>
  <c r="I30" i="2" a="1"/>
  <c r="K30" i="2" l="1"/>
  <c r="G29" i="1"/>
  <c r="I30" i="2"/>
  <c r="L30" i="2"/>
  <c r="G22" i="1"/>
  <c r="J30" i="2"/>
  <c r="M30" i="2"/>
  <c r="G25" i="1"/>
  <c r="G24" i="1"/>
  <c r="G30" i="1"/>
  <c r="G28" i="1" a="1"/>
  <c r="G28" i="1" l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J11" i="2"/>
  <c r="K11" i="2"/>
  <c r="L11" i="2"/>
  <c r="M11" i="2"/>
  <c r="I3" i="2"/>
  <c r="I4" i="2"/>
  <c r="I5" i="2"/>
  <c r="I6" i="2"/>
  <c r="I7" i="2"/>
  <c r="I8" i="2"/>
  <c r="I9" i="2"/>
  <c r="I10" i="2"/>
  <c r="I11" i="2"/>
  <c r="I2" i="2"/>
  <c r="I27" i="2" a="1"/>
  <c r="G26" i="1" a="1"/>
  <c r="J27" i="2" a="1"/>
  <c r="K27" i="2" a="1"/>
  <c r="L28" i="2" a="1"/>
  <c r="J28" i="2" a="1"/>
  <c r="K28" i="2" a="1"/>
  <c r="L27" i="2" a="1"/>
  <c r="M27" i="2" a="1"/>
  <c r="I28" i="2" a="1"/>
  <c r="M28" i="2" a="1"/>
  <c r="L24" i="2" l="1" a="1"/>
  <c r="L24" i="2" s="1"/>
  <c r="J16" i="2"/>
  <c r="L13" i="2" a="1"/>
  <c r="L13" i="2" s="1"/>
  <c r="I14" i="2"/>
  <c r="M15" i="2" a="1"/>
  <c r="M15" i="2" s="1"/>
  <c r="L18" i="2"/>
  <c r="L23" i="2" s="1" a="1"/>
  <c r="L23" i="2" s="1"/>
  <c r="J15" i="2" a="1"/>
  <c r="J15" i="2" s="1"/>
  <c r="K15" i="2" a="1"/>
  <c r="K15" i="2" s="1"/>
  <c r="L16" i="2"/>
  <c r="I13" i="2" a="1"/>
  <c r="I13" i="2" s="1"/>
  <c r="K16" i="2"/>
  <c r="M13" i="2" a="1"/>
  <c r="M13" i="2" s="1"/>
  <c r="J13" i="2" a="1"/>
  <c r="J13" i="2" s="1"/>
  <c r="M14" i="2"/>
  <c r="K14" i="2"/>
  <c r="L17" i="2"/>
  <c r="I15" i="2" a="1"/>
  <c r="I15" i="2" s="1"/>
  <c r="J17" i="2"/>
  <c r="M28" i="2"/>
  <c r="J28" i="2"/>
  <c r="L28" i="2"/>
  <c r="K28" i="2"/>
  <c r="I28" i="2"/>
  <c r="K27" i="2"/>
  <c r="M27" i="2"/>
  <c r="L27" i="2"/>
  <c r="J27" i="2"/>
  <c r="I27" i="2"/>
  <c r="G26" i="1"/>
  <c r="K17" i="2"/>
  <c r="M17" i="2"/>
  <c r="J14" i="2"/>
  <c r="M18" i="2"/>
  <c r="M23" i="2" s="1" a="1"/>
  <c r="M23" i="2" s="1"/>
  <c r="K18" i="2"/>
  <c r="K24" i="2" s="1" a="1"/>
  <c r="K24" i="2" s="1"/>
  <c r="I17" i="2"/>
  <c r="L15" i="2" a="1"/>
  <c r="L15" i="2" s="1"/>
  <c r="J18" i="2"/>
  <c r="J24" i="2" s="1" a="1"/>
  <c r="J24" i="2" s="1"/>
  <c r="K13" i="2" a="1"/>
  <c r="K13" i="2" s="1"/>
  <c r="I18" i="2"/>
  <c r="I24" i="2" s="1" a="1"/>
  <c r="I24" i="2" s="1"/>
  <c r="L14" i="2"/>
  <c r="I16" i="2"/>
  <c r="M16" i="2"/>
  <c r="D22" i="1"/>
  <c r="H22" i="1" s="1"/>
  <c r="I29" i="2" a="1"/>
  <c r="J29" i="2" a="1"/>
  <c r="L29" i="2" a="1"/>
  <c r="M29" i="2" a="1"/>
  <c r="K29" i="2" a="1"/>
  <c r="I29" i="2" l="1"/>
  <c r="M29" i="2"/>
  <c r="J29" i="2"/>
  <c r="K29" i="2"/>
  <c r="L29" i="2"/>
  <c r="J23" i="2" a="1"/>
  <c r="J23" i="2" s="1"/>
  <c r="K23" i="2" a="1"/>
  <c r="K23" i="2" s="1"/>
  <c r="K19" i="2"/>
  <c r="I23" i="2" a="1"/>
  <c r="I23" i="2" s="1"/>
  <c r="J20" i="2"/>
  <c r="M24" i="2" a="1"/>
  <c r="M24" i="2" s="1"/>
  <c r="M21" i="2"/>
  <c r="J22" i="2"/>
  <c r="I19" i="2"/>
  <c r="K20" i="2"/>
  <c r="K21" i="2"/>
  <c r="M20" i="2"/>
  <c r="K22" i="2"/>
  <c r="I20" i="2"/>
  <c r="I22" i="2"/>
  <c r="L19" i="2"/>
  <c r="L21" i="2"/>
  <c r="L22" i="2"/>
  <c r="L20" i="2"/>
  <c r="M22" i="2"/>
  <c r="M19" i="2"/>
  <c r="I21" i="2"/>
  <c r="J21" i="2"/>
  <c r="J19" i="2"/>
  <c r="C31" i="1" l="1" a="1"/>
  <c r="C31" i="1" s="1"/>
  <c r="D31" i="1" a="1"/>
  <c r="D31" i="1" s="1"/>
  <c r="D32" i="1" a="1"/>
  <c r="D32" i="1" s="1"/>
  <c r="C27" i="1" a="1"/>
  <c r="C27" i="1" s="1"/>
  <c r="D27" i="1" a="1"/>
  <c r="D27" i="1" s="1"/>
  <c r="G32" i="1" a="1"/>
  <c r="G27" i="1" a="1"/>
  <c r="G32" i="1" l="1"/>
  <c r="G27" i="1"/>
  <c r="H27" i="1" s="1"/>
  <c r="D28" i="1"/>
  <c r="G31" i="1" a="1"/>
  <c r="G31" i="1" l="1"/>
  <c r="Q3" i="1" a="1"/>
  <c r="Q3" i="1" s="1"/>
  <c r="R3" i="1" a="1"/>
  <c r="R3" i="1" s="1"/>
  <c r="P3" i="1" a="1"/>
  <c r="P3" i="1" s="1"/>
  <c r="L24" i="1" a="1"/>
  <c r="L23" i="1" a="1"/>
  <c r="L21" i="1" a="1"/>
  <c r="L25" i="1" a="1"/>
  <c r="L25" i="1" l="1"/>
  <c r="L24" i="1"/>
  <c r="L23" i="1"/>
  <c r="L21" i="1"/>
  <c r="P12" i="1" a="1"/>
  <c r="P12" i="1" s="1"/>
  <c r="U3" i="1" a="1"/>
  <c r="U3" i="1" s="1"/>
  <c r="V3" i="1" a="1"/>
  <c r="V3" i="1" s="1"/>
  <c r="T3" i="1" a="1"/>
  <c r="T3" i="1" s="1"/>
  <c r="C23" i="1" a="1"/>
  <c r="C23" i="1" s="1"/>
  <c r="C24" i="1" a="1"/>
  <c r="C24" i="1" s="1"/>
  <c r="C21" i="1" a="1"/>
  <c r="C21" i="1" s="1"/>
  <c r="C22" i="1" s="1"/>
  <c r="T12" i="1" l="1" a="1"/>
  <c r="T12" i="1" s="1"/>
  <c r="H31" i="1" l="1"/>
  <c r="H32" i="1" l="1"/>
  <c r="H24" i="1" l="1"/>
  <c r="H23" i="1"/>
  <c r="H21" i="1"/>
  <c r="D25" i="1"/>
  <c r="C25" i="1"/>
  <c r="H25" i="1" l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D26" i="1" l="1"/>
  <c r="H26" i="1" s="1"/>
  <c r="C26" i="1"/>
  <c r="D20" i="1"/>
  <c r="D19" i="1"/>
  <c r="D30" i="1" s="1"/>
  <c r="H30" i="1" s="1"/>
  <c r="C19" i="1"/>
  <c r="B19" i="1"/>
  <c r="C29" i="1" l="1"/>
  <c r="C30" i="1"/>
  <c r="D29" i="1"/>
  <c r="H29" i="1" s="1"/>
  <c r="H28" i="1"/>
  <c r="C28" i="1"/>
  <c r="C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<sst xmlns="http://schemas.openxmlformats.org/spreadsheetml/2006/main" count="99" uniqueCount="68">
  <si>
    <t>RFR</t>
  </si>
  <si>
    <t>SP 500</t>
  </si>
  <si>
    <t>Mean</t>
  </si>
  <si>
    <t>Std Dev</t>
  </si>
  <si>
    <t>Sharpe Ratio</t>
  </si>
  <si>
    <t>Normal</t>
  </si>
  <si>
    <t>My UDF Results</t>
  </si>
  <si>
    <t>Treynor Index</t>
  </si>
  <si>
    <t>Beta</t>
  </si>
  <si>
    <t>M-Squared</t>
  </si>
  <si>
    <t>Asset</t>
  </si>
  <si>
    <t>Jensen's Alpha</t>
  </si>
  <si>
    <t>MKT</t>
  </si>
  <si>
    <t>Bull Beta</t>
  </si>
  <si>
    <t>Bear Beta</t>
  </si>
  <si>
    <t>Beta Timing Ratio</t>
  </si>
  <si>
    <t>Difference</t>
  </si>
  <si>
    <t>Normal expected data</t>
  </si>
  <si>
    <t>Excess returns</t>
  </si>
  <si>
    <t>Nothing but positive market  returns (should cause errors in some functions)</t>
  </si>
  <si>
    <t>Information Ratio</t>
  </si>
  <si>
    <t>Tracking Error</t>
  </si>
  <si>
    <t>Bear Market</t>
  </si>
  <si>
    <t>Bull Market</t>
  </si>
  <si>
    <t>Revised Sharpe Ratio</t>
  </si>
  <si>
    <t>Adjusted Beta</t>
  </si>
  <si>
    <t>Year</t>
  </si>
  <si>
    <t>Magellan</t>
  </si>
  <si>
    <t>44 Wall Street</t>
  </si>
  <si>
    <t>New Horizons</t>
  </si>
  <si>
    <t>S&amp;P 500</t>
  </si>
  <si>
    <t>1Yr Treasury</t>
  </si>
  <si>
    <t>1-Yr Treasury</t>
  </si>
  <si>
    <t>HPR</t>
  </si>
  <si>
    <t>Avg Annual HPR (Arithmetic)</t>
  </si>
  <si>
    <t>Avg Annual HPR (Geometric)</t>
  </si>
  <si>
    <t>Standard Deviation</t>
  </si>
  <si>
    <t>Correlation with S&amp;P 500</t>
  </si>
  <si>
    <t>Sharpe Ratio (Arithmetic)</t>
  </si>
  <si>
    <t>Sharpe Ratio (Geometric)</t>
  </si>
  <si>
    <t>Treynor Index (Arithmetic)</t>
  </si>
  <si>
    <t>Treynor Index (Geometric)</t>
  </si>
  <si>
    <t>Jensen's Alpha (Arithmetic)</t>
  </si>
  <si>
    <t>Jensen's Alpha (Geometric)</t>
  </si>
  <si>
    <t>Sample Skewness</t>
  </si>
  <si>
    <t>Sample Kurtosis</t>
  </si>
  <si>
    <t>JB Test</t>
  </si>
  <si>
    <t>Up Capture Raio</t>
  </si>
  <si>
    <t>Down Capture Ratio</t>
  </si>
  <si>
    <t>Up Percentage Ratio</t>
  </si>
  <si>
    <t>Down Percentage Ratio</t>
  </si>
  <si>
    <t>Percentage Gain Ratio</t>
  </si>
  <si>
    <t>Percentage Loss Ratio</t>
  </si>
  <si>
    <t>Portfolio Return</t>
  </si>
  <si>
    <t>Benchmark Return</t>
  </si>
  <si>
    <t>Hurst Exponent</t>
  </si>
  <si>
    <t>Max Cum Dev</t>
  </si>
  <si>
    <t>Portfolio CD</t>
  </si>
  <si>
    <t>Benchmark CD</t>
  </si>
  <si>
    <t>Min Cum Dev</t>
  </si>
  <si>
    <t>Bias Ratio</t>
  </si>
  <si>
    <t>Portfolio</t>
  </si>
  <si>
    <t>Benchmark</t>
  </si>
  <si>
    <t>Number of Std Devs</t>
  </si>
  <si>
    <t>Count Above</t>
  </si>
  <si>
    <t>Count Below</t>
  </si>
  <si>
    <t>Population Skewness</t>
  </si>
  <si>
    <t>Population 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</si>
</sst>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0.000%"/>
    <numFmt numFmtId="165" formatCode="_(* #,##0.000000_);_(* \(#,##0.000000\);_(* &quot;-&quot;??_);_(@_)"/>
    <numFmt numFmtId="166" formatCode="0.00000%"/>
    <numFmt numFmtId="167" formatCode="_(* #,##0.00000_);_(* \(#,##0.00000\);_(* &quot;-&quot;??_);_(@_)"/>
    <numFmt numFmtId="168" formatCode="_(* #,##0.00000_);_(* \(#,##0.00000\);_(* &quot;-&quot;?????_);_(@_)"/>
    <numFmt numFmtId="169" formatCode="0.00000"/>
    <numFmt numFmtId="170" formatCode="0.0000%"/>
    <numFmt numFmtId="171" formatCode="_(* #,##0.0000_);_(* \(#,##0.0000\);_(* &quot;-&quot;??_);_(@_)"/>
    <numFmt numFmtId="172" formatCode="_(* #,##0.0_);_(* \(#,##0.0\);_(* &quot;-&quot;??_);_(@_)"/>
    <numFmt numFmtId="173" formatCode="_(* #,##0.000_);_(* \(#,##0.000\);_(* &quot;-&quot;??_);_(@_)"/>
    <numFmt numFmtId="174" formatCode="0.00000000000000%"/>
    <numFmt numFmtId="176" formatCode="0.0%"/>
    <numFmt numFmtId="177" formatCode="_(* #,##0_);_(* \(#,##0\);_(* &quot;-&quot;??_);_(@_)"/>
  </numFmts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6" fontId="0" fillId="0" borderId="0" xfId="2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1" quotePrefix="1" applyNumberFormat="1" applyFont="1"/>
    <xf numFmtId="168" fontId="0" fillId="0" borderId="0" xfId="0" applyNumberFormat="1"/>
    <xf numFmtId="164" fontId="0" fillId="0" borderId="0" xfId="0" applyNumberFormat="1"/>
    <xf numFmtId="166" fontId="0" fillId="0" borderId="0" xfId="2" quotePrefix="1" applyNumberFormat="1" applyFont="1"/>
    <xf numFmtId="166" fontId="0" fillId="0" borderId="0" xfId="0" quotePrefix="1" applyNumberFormat="1"/>
    <xf numFmtId="10" fontId="0" fillId="0" borderId="0" xfId="2" applyNumberFormat="1" applyFont="1"/>
    <xf numFmtId="0" fontId="0" fillId="0" borderId="0" xfId="0" quotePrefix="1"/>
    <xf numFmtId="168" fontId="0" fillId="0" borderId="0" xfId="0" quotePrefix="1" applyNumberFormat="1"/>
    <xf numFmtId="169" fontId="0" fillId="0" borderId="0" xfId="0" applyNumberFormat="1"/>
    <xf numFmtId="0" fontId="0" fillId="0" borderId="0" xfId="1" quotePrefix="1" applyNumberFormat="1" applyFont="1" applyAlignment="1">
      <alignment horizontal="left"/>
    </xf>
    <xf numFmtId="170" fontId="0" fillId="0" borderId="0" xfId="2" applyNumberFormat="1" applyFont="1"/>
    <xf numFmtId="165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0" fontId="0" fillId="0" borderId="0" xfId="1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0" applyNumberFormat="1"/>
    <xf numFmtId="171" fontId="0" fillId="0" borderId="0" xfId="0" applyNumberFormat="1"/>
    <xf numFmtId="43" fontId="0" fillId="0" borderId="0" xfId="1" applyFont="1"/>
    <xf numFmtId="173" fontId="0" fillId="0" borderId="0" xfId="1" applyNumberFormat="1" applyFont="1"/>
    <xf numFmtId="166" fontId="0" fillId="0" borderId="0" xfId="0" applyNumberFormat="1"/>
    <xf numFmtId="174" fontId="0" fillId="0" borderId="0" xfId="0" applyNumberFormat="1"/>
    <xf numFmtId="167" fontId="0" fillId="0" borderId="0" xfId="0" applyNumberFormat="1"/>
    <xf numFmtId="176" fontId="0" fillId="0" borderId="0" xfId="2" applyNumberFormat="1" applyFont="1"/>
    <xf numFmtId="177" fontId="0" fillId="0" borderId="0" xfId="1" applyNumberFormat="1" applyFont="1"/>
    <xf numFmtId="43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DCED7E-B802-4702-B75A-25F1B3FA7BA5}"/>
            </a:ext>
          </a:extLst>
        </xdr:cNvPr>
        <xdr:cNvSpPr txBox="1"/>
      </xdr:nvSpPr>
      <xdr:spPr>
        <a:xfrm>
          <a:off x="0" y="2476500"/>
          <a:ext cx="50196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Source: Moses, E. A., &amp; Cheney, J. M. (1989). Investments: Analysis, Selection, and Management.West Publishing Company. Table 8.1, page 194.</a:t>
          </a:r>
        </a:p>
        <a:p>
          <a:endParaRPr lang="en-US" sz="1100"/>
        </a:p>
        <a:p>
          <a:r>
            <a:rPr lang="en-US" sz="1100"/>
            <a:t>The calculations at right match</a:t>
          </a:r>
          <a:r>
            <a:rPr lang="en-US" sz="1100" baseline="0"/>
            <a:t> those in the source after allowing for slight rounding in the source material.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F22F-5A0F-4104-B600-63C465102B60}">
  <dimension ref="A1:V54"/>
  <sheetViews>
    <sheetView topLeftCell="A11" workbookViewId="0">
      <selection activeCell="H38" sqref="H38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11.42578125" bestFit="1" customWidth="1"/>
    <col min="4" max="4" width="11.85546875" customWidth="1"/>
    <col min="5" max="5" width="10.7109375" bestFit="1" customWidth="1"/>
    <col min="6" max="6" width="9.140625" customWidth="1"/>
    <col min="7" max="7" width="24.42578125" bestFit="1" customWidth="1"/>
    <col min="8" max="8" width="10.140625" bestFit="1" customWidth="1"/>
    <col min="9" max="9" width="9.42578125" bestFit="1" customWidth="1"/>
    <col min="10" max="10" width="9" bestFit="1" customWidth="1"/>
    <col min="11" max="11" width="11.140625" customWidth="1"/>
    <col min="12" max="12" width="13.28515625" bestFit="1" customWidth="1"/>
    <col min="13" max="13" width="10" bestFit="1" customWidth="1"/>
    <col min="16" max="16" width="9.42578125" bestFit="1" customWidth="1"/>
    <col min="20" max="20" width="9.42578125" bestFit="1" customWidth="1"/>
  </cols>
  <sheetData>
    <row r="1" spans="2:22" x14ac:dyDescent="0.25">
      <c r="B1" t="s">
        <v>17</v>
      </c>
      <c r="G1" t="s">
        <v>18</v>
      </c>
      <c r="K1" t="s">
        <v>19</v>
      </c>
      <c r="P1" t="s">
        <v>22</v>
      </c>
      <c r="T1" t="s">
        <v>23</v>
      </c>
    </row>
    <row r="2" spans="2:22" x14ac:dyDescent="0.25">
      <c r="B2" t="s">
        <v>0</v>
      </c>
      <c r="C2" t="s">
        <v>1</v>
      </c>
      <c r="D2" t="s">
        <v>10</v>
      </c>
      <c r="G2" t="s">
        <v>12</v>
      </c>
      <c r="H2" t="s">
        <v>10</v>
      </c>
      <c r="K2" t="s">
        <v>1</v>
      </c>
      <c r="L2" t="s">
        <v>10</v>
      </c>
      <c r="P2" t="s">
        <v>0</v>
      </c>
      <c r="Q2" t="s">
        <v>1</v>
      </c>
      <c r="R2" t="s">
        <v>10</v>
      </c>
      <c r="T2" t="s">
        <v>0</v>
      </c>
      <c r="U2" t="s">
        <v>1</v>
      </c>
      <c r="V2" t="s">
        <v>10</v>
      </c>
    </row>
    <row r="3" spans="2:22" x14ac:dyDescent="0.25">
      <c r="B3" s="1">
        <v>0</v>
      </c>
      <c r="C3" s="1">
        <v>-9.4000423002005284E-5</v>
      </c>
      <c r="D3" s="1">
        <v>0</v>
      </c>
      <c r="F3" s="8"/>
      <c r="G3" s="11">
        <f>C3-$B3</f>
        <v>-9.4000423002005284E-5</v>
      </c>
      <c r="H3" s="11">
        <f>D3-$B3</f>
        <v>0</v>
      </c>
      <c r="K3" s="14">
        <v>9.4000423002005284E-5</v>
      </c>
      <c r="L3" s="14">
        <v>0</v>
      </c>
      <c r="P3" cm="1">
        <f t="array" ref="P3:P10">_xlfn._xlws.FILTER(B3:B17,$C$3:$C$17&lt;0)</f>
        <v>0</v>
      </c>
      <c r="Q3" cm="1">
        <f t="array" ref="Q3:Q10">_xlfn._xlws.FILTER(C3:C17,$C$3:$C$17&lt;0)</f>
        <v>-9.4000423002005284E-5</v>
      </c>
      <c r="R3" cm="1">
        <f t="array" ref="R3:R10">_xlfn._xlws.FILTER(D3:D17,$C$3:$C$17&lt;0)</f>
        <v>0</v>
      </c>
      <c r="T3" cm="1">
        <f t="array" ref="T3:T9">_xlfn._xlws.FILTER(B3:B17,$C$3:$C$17&gt;0)</f>
        <v>8.2200000000032247E-5</v>
      </c>
      <c r="U3" cm="1">
        <f t="array" ref="U3:U9">_xlfn._xlws.FILTER(C3:C17,$C$3:$C$17&gt;0)</f>
        <v>3.2231746255595439E-4</v>
      </c>
      <c r="V3" cm="1">
        <f t="array" ref="V3:V9">_xlfn._xlws.FILTER(D3:D17,$C$3:$C$17&gt;0)</f>
        <v>3.1331199999999892E-3</v>
      </c>
    </row>
    <row r="4" spans="2:22" x14ac:dyDescent="0.25">
      <c r="B4" s="1">
        <v>8.2200000000032247E-5</v>
      </c>
      <c r="C4" s="1">
        <v>3.2231746255595439E-4</v>
      </c>
      <c r="D4" s="1">
        <v>3.1331199999999892E-3</v>
      </c>
      <c r="F4" s="8"/>
      <c r="G4" s="11">
        <f t="shared" ref="G4:H17" si="0">C4-$B4</f>
        <v>2.4011746255592215E-4</v>
      </c>
      <c r="H4" s="11">
        <f t="shared" si="0"/>
        <v>3.050919999999957E-3</v>
      </c>
      <c r="K4" s="14">
        <v>3.2231746255595439E-4</v>
      </c>
      <c r="L4" s="14">
        <v>3.1331199999999892E-3</v>
      </c>
      <c r="P4">
        <v>8.2199729546594824E-5</v>
      </c>
      <c r="Q4">
        <v>-7.2435597111886185E-4</v>
      </c>
      <c r="R4">
        <v>-1.2263622560784171E-3</v>
      </c>
      <c r="T4">
        <v>8.2193243715389386E-5</v>
      </c>
      <c r="U4">
        <v>7.2296678179091245E-3</v>
      </c>
      <c r="V4">
        <v>1.113068622437674E-2</v>
      </c>
    </row>
    <row r="5" spans="2:22" x14ac:dyDescent="0.25">
      <c r="B5" s="1">
        <v>8.2193243715389386E-5</v>
      </c>
      <c r="C5" s="1">
        <v>7.2296678179091245E-3</v>
      </c>
      <c r="D5" s="1">
        <v>1.113068622437674E-2</v>
      </c>
      <c r="F5" s="8"/>
      <c r="G5" s="11">
        <f t="shared" si="0"/>
        <v>7.1474745741937351E-3</v>
      </c>
      <c r="H5" s="11">
        <f t="shared" si="0"/>
        <v>1.1048492980661351E-2</v>
      </c>
      <c r="K5" s="14">
        <v>7.2296678179091245E-3</v>
      </c>
      <c r="L5" s="14">
        <v>1.113068622437674E-2</v>
      </c>
      <c r="P5">
        <v>2.4657891991952674E-4</v>
      </c>
      <c r="Q5">
        <v>-3.1356092824675885E-3</v>
      </c>
      <c r="R5">
        <v>-6.0585660461631718E-5</v>
      </c>
      <c r="T5">
        <v>8.2186488541191594E-5</v>
      </c>
      <c r="U5">
        <v>2.8791074766820746E-3</v>
      </c>
      <c r="V5">
        <v>-1.5737770653512229E-3</v>
      </c>
    </row>
    <row r="6" spans="2:22" x14ac:dyDescent="0.25">
      <c r="B6" s="1">
        <v>8.2186488541191594E-5</v>
      </c>
      <c r="C6" s="1">
        <v>2.8791074766820746E-3</v>
      </c>
      <c r="D6" s="1">
        <v>-1.5737770653512229E-3</v>
      </c>
      <c r="F6" s="8"/>
      <c r="G6" s="11">
        <f t="shared" si="0"/>
        <v>2.796920988140883E-3</v>
      </c>
      <c r="H6" s="11">
        <f t="shared" si="0"/>
        <v>-1.6559635538924145E-3</v>
      </c>
      <c r="K6" s="14">
        <v>2.8791074766820746E-3</v>
      </c>
      <c r="L6" s="14">
        <v>-1.5737770653512229E-3</v>
      </c>
      <c r="P6">
        <v>8.2192419748716716E-5</v>
      </c>
      <c r="Q6">
        <v>-4.895586322955392E-3</v>
      </c>
      <c r="R6">
        <v>-1.1019876585149913E-2</v>
      </c>
      <c r="T6">
        <v>8.219269974518717E-5</v>
      </c>
      <c r="U6">
        <v>2.5817555938039138E-3</v>
      </c>
      <c r="V6">
        <v>2.1230588697924713E-3</v>
      </c>
    </row>
    <row r="7" spans="2:22" x14ac:dyDescent="0.25">
      <c r="B7" s="1">
        <v>8.2199729546594824E-5</v>
      </c>
      <c r="C7" s="1">
        <v>-7.2435597111886185E-4</v>
      </c>
      <c r="D7" s="1">
        <v>-1.2263622560784171E-3</v>
      </c>
      <c r="F7" s="8"/>
      <c r="G7" s="11">
        <f t="shared" si="0"/>
        <v>-8.0655570066545668E-4</v>
      </c>
      <c r="H7" s="11">
        <f t="shared" si="0"/>
        <v>-1.3085619856250119E-3</v>
      </c>
      <c r="K7" s="14">
        <v>7.2435597111886185E-4</v>
      </c>
      <c r="L7" s="14">
        <v>-1.2263622560784171E-3</v>
      </c>
      <c r="P7">
        <v>2.4657697605667828E-4</v>
      </c>
      <c r="Q7">
        <v>-9.6922866109405703E-5</v>
      </c>
      <c r="R7">
        <v>2.7731910686723538E-4</v>
      </c>
      <c r="T7">
        <v>8.2185944660473353E-5</v>
      </c>
      <c r="U7">
        <v>3.4268223708289192E-4</v>
      </c>
      <c r="V7">
        <v>-1.2212168590912675E-3</v>
      </c>
    </row>
    <row r="8" spans="2:22" x14ac:dyDescent="0.25">
      <c r="B8" s="1">
        <v>2.4657891991952674E-4</v>
      </c>
      <c r="C8" s="1">
        <v>-3.1356092824675885E-3</v>
      </c>
      <c r="D8" s="1">
        <v>-6.0585660461631718E-5</v>
      </c>
      <c r="F8" s="8"/>
      <c r="G8" s="11">
        <f t="shared" si="0"/>
        <v>-3.3821882023871153E-3</v>
      </c>
      <c r="H8" s="11">
        <f t="shared" si="0"/>
        <v>-3.0716458038115846E-4</v>
      </c>
      <c r="K8" s="14">
        <v>3.1356092824675885E-3</v>
      </c>
      <c r="L8" s="14">
        <v>-6.0585660461631718E-5</v>
      </c>
      <c r="P8">
        <v>8.2185381613975039E-5</v>
      </c>
      <c r="Q8">
        <v>-8.4163942535884217E-3</v>
      </c>
      <c r="R8">
        <v>-4.8789385894569826E-3</v>
      </c>
      <c r="T8">
        <v>8.2199175897912369E-5</v>
      </c>
      <c r="U8">
        <v>1.9955233758750524E-5</v>
      </c>
      <c r="V8">
        <v>5.190551166665891E-3</v>
      </c>
    </row>
    <row r="9" spans="2:22" x14ac:dyDescent="0.25">
      <c r="B9" s="1">
        <v>8.219269974518717E-5</v>
      </c>
      <c r="C9" s="1">
        <v>2.5817555938039138E-3</v>
      </c>
      <c r="D9" s="1">
        <v>2.1230588697924713E-3</v>
      </c>
      <c r="F9" s="8"/>
      <c r="G9" s="11">
        <f t="shared" si="0"/>
        <v>2.4995628940587267E-3</v>
      </c>
      <c r="H9" s="11">
        <f t="shared" si="0"/>
        <v>2.0408661700472841E-3</v>
      </c>
      <c r="K9" s="14">
        <v>2.5817555938039138E-3</v>
      </c>
      <c r="L9" s="14">
        <v>2.1230588697924713E-3</v>
      </c>
      <c r="P9">
        <v>8.2191847036172661E-5</v>
      </c>
      <c r="Q9">
        <v>-2.4289165022262083E-3</v>
      </c>
      <c r="R9">
        <v>-6.3539265847126769E-3</v>
      </c>
      <c r="T9">
        <v>8.2198603090999356E-5</v>
      </c>
      <c r="U9">
        <v>6.1585653610194413E-3</v>
      </c>
      <c r="V9">
        <v>7.5949356979387872E-3</v>
      </c>
    </row>
    <row r="10" spans="2:22" x14ac:dyDescent="0.25">
      <c r="B10" s="1">
        <v>8.2185944660473353E-5</v>
      </c>
      <c r="C10" s="1">
        <v>3.4268223708289192E-4</v>
      </c>
      <c r="D10" s="1">
        <v>-1.2212168590912675E-3</v>
      </c>
      <c r="F10" s="8"/>
      <c r="G10" s="11">
        <f t="shared" si="0"/>
        <v>2.6049629242241856E-4</v>
      </c>
      <c r="H10" s="11">
        <f t="shared" si="0"/>
        <v>-1.3034028037517409E-3</v>
      </c>
      <c r="K10" s="14">
        <v>3.4268223708289192E-4</v>
      </c>
      <c r="L10" s="14">
        <v>-1.2212168590912675E-3</v>
      </c>
      <c r="P10">
        <v>8.218509209156899E-5</v>
      </c>
      <c r="Q10">
        <v>-5.3163264620735839E-3</v>
      </c>
      <c r="R10">
        <v>2.6039764394154563E-3</v>
      </c>
    </row>
    <row r="11" spans="2:22" x14ac:dyDescent="0.25">
      <c r="B11" s="1">
        <v>8.2199175897912369E-5</v>
      </c>
      <c r="C11" s="1">
        <v>1.9955233758750524E-5</v>
      </c>
      <c r="D11" s="1">
        <v>5.190551166665891E-3</v>
      </c>
      <c r="F11" s="8"/>
      <c r="G11" s="11">
        <f t="shared" si="0"/>
        <v>-6.2243942139161845E-5</v>
      </c>
      <c r="H11" s="11">
        <f t="shared" si="0"/>
        <v>5.1083519907679786E-3</v>
      </c>
      <c r="K11" s="14">
        <v>1.9955233758750524E-5</v>
      </c>
      <c r="L11" s="14">
        <v>5.190551166665891E-3</v>
      </c>
    </row>
    <row r="12" spans="2:22" x14ac:dyDescent="0.25">
      <c r="B12" s="1">
        <v>8.2192419748716716E-5</v>
      </c>
      <c r="C12" s="1">
        <v>-4.895586322955392E-3</v>
      </c>
      <c r="D12" s="1">
        <v>-1.1019876585149913E-2</v>
      </c>
      <c r="F12" s="8"/>
      <c r="G12" s="11">
        <f t="shared" si="0"/>
        <v>-4.9777787427041087E-3</v>
      </c>
      <c r="H12" s="11">
        <f t="shared" si="0"/>
        <v>-1.1102069004898629E-2</v>
      </c>
      <c r="K12" s="14">
        <v>4.895586322955392E-3</v>
      </c>
      <c r="L12" s="14">
        <v>-1.1019876585149913E-2</v>
      </c>
      <c r="P12" s="17" cm="1">
        <f t="array" ref="P12">SLOPE(_xlfn.ANCHORARRAY(R3)-_xlfn.ANCHORARRAY(P3),_xlfn.ANCHORARRAY(Q3)-_xlfn.ANCHORARRAY(P3))</f>
        <v>0.53164017255257146</v>
      </c>
      <c r="T12" s="17" cm="1">
        <f t="array" ref="T12">SLOPE(_xlfn.ANCHORARRAY(V3)-_xlfn.ANCHORARRAY(T3),_xlfn.ANCHORARRAY(U3)-_xlfn.ANCHORARRAY(T3))</f>
        <v>1.0869193898495133</v>
      </c>
    </row>
    <row r="13" spans="2:22" x14ac:dyDescent="0.25">
      <c r="B13" s="1">
        <v>2.4657697605667828E-4</v>
      </c>
      <c r="C13" s="1">
        <v>-9.6922866109405703E-5</v>
      </c>
      <c r="D13" s="1">
        <v>2.7731910686723538E-4</v>
      </c>
      <c r="F13" s="8"/>
      <c r="G13" s="11">
        <f t="shared" si="0"/>
        <v>-3.4349984216608398E-4</v>
      </c>
      <c r="H13" s="11">
        <f t="shared" si="0"/>
        <v>3.07421308105571E-5</v>
      </c>
      <c r="K13" s="14">
        <v>9.6922866109405703E-5</v>
      </c>
      <c r="L13" s="14">
        <v>2.7731910686723538E-4</v>
      </c>
    </row>
    <row r="14" spans="2:22" x14ac:dyDescent="0.25">
      <c r="B14" s="1">
        <v>8.2185381613975039E-5</v>
      </c>
      <c r="C14" s="1">
        <v>-8.4163942535884217E-3</v>
      </c>
      <c r="D14" s="1">
        <v>-4.8789385894569826E-3</v>
      </c>
      <c r="F14" s="8"/>
      <c r="G14" s="11">
        <f t="shared" si="0"/>
        <v>-8.4985796352023968E-3</v>
      </c>
      <c r="H14" s="11">
        <f t="shared" si="0"/>
        <v>-4.9611239710709576E-3</v>
      </c>
      <c r="K14" s="14">
        <v>8.4163942535884217E-3</v>
      </c>
      <c r="L14" s="14">
        <v>-4.8789385894569826E-3</v>
      </c>
    </row>
    <row r="15" spans="2:22" x14ac:dyDescent="0.25">
      <c r="B15" s="1">
        <v>8.2198603090999356E-5</v>
      </c>
      <c r="C15" s="1">
        <v>6.1585653610194413E-3</v>
      </c>
      <c r="D15" s="1">
        <v>7.5949356979387872E-3</v>
      </c>
      <c r="F15" s="8"/>
      <c r="G15" s="11">
        <f t="shared" si="0"/>
        <v>6.0763667579284419E-3</v>
      </c>
      <c r="H15" s="11">
        <f t="shared" si="0"/>
        <v>7.5127370948477878E-3</v>
      </c>
      <c r="K15" s="14">
        <v>6.1585653610194413E-3</v>
      </c>
      <c r="L15" s="14">
        <v>7.5949356979387872E-3</v>
      </c>
    </row>
    <row r="16" spans="2:22" x14ac:dyDescent="0.25">
      <c r="B16" s="1">
        <v>8.2191847036172661E-5</v>
      </c>
      <c r="C16" s="1">
        <v>-2.4289165022262083E-3</v>
      </c>
      <c r="D16" s="1">
        <v>-6.3539265847126769E-3</v>
      </c>
      <c r="F16" s="8"/>
      <c r="G16" s="11">
        <f t="shared" si="0"/>
        <v>-2.5111083492623809E-3</v>
      </c>
      <c r="H16" s="11">
        <f t="shared" si="0"/>
        <v>-6.4361184317488496E-3</v>
      </c>
      <c r="K16" s="14">
        <v>2.4289165022262083E-3</v>
      </c>
      <c r="L16" s="14">
        <v>-6.3539265847126769E-3</v>
      </c>
    </row>
    <row r="17" spans="1:12" x14ac:dyDescent="0.25">
      <c r="B17" s="1">
        <v>8.218509209156899E-5</v>
      </c>
      <c r="C17" s="1">
        <v>-5.3163264620735839E-3</v>
      </c>
      <c r="D17" s="1">
        <v>2.6039764394154563E-3</v>
      </c>
      <c r="F17" s="8"/>
      <c r="G17" s="11">
        <f t="shared" si="0"/>
        <v>-5.3985115541651529E-3</v>
      </c>
      <c r="H17" s="11">
        <f t="shared" si="0"/>
        <v>2.5217913473238873E-3</v>
      </c>
      <c r="K17" s="14">
        <v>5.3163264620735839E-3</v>
      </c>
      <c r="L17" s="14">
        <v>2.6039764394154563E-3</v>
      </c>
    </row>
    <row r="18" spans="1:12" x14ac:dyDescent="0.25">
      <c r="B18" s="1"/>
      <c r="C18" s="1"/>
    </row>
    <row r="19" spans="1:12" x14ac:dyDescent="0.25">
      <c r="A19" t="s">
        <v>2</v>
      </c>
      <c r="B19" s="6">
        <f>AVERAGE(B3:B17)</f>
        <v>9.8631101444294586E-5</v>
      </c>
      <c r="C19" s="6">
        <f>AVERAGE(C3:C17)</f>
        <v>-3.7160406004862107E-4</v>
      </c>
      <c r="D19" s="6">
        <f>AVERAGE(D3:D17)</f>
        <v>3.8126426031696398E-4</v>
      </c>
      <c r="E19" s="30"/>
      <c r="G19" s="3" t="s">
        <v>6</v>
      </c>
      <c r="H19" s="4"/>
    </row>
    <row r="20" spans="1:12" x14ac:dyDescent="0.25">
      <c r="A20" t="s">
        <v>3</v>
      </c>
      <c r="B20" s="1"/>
      <c r="C20" s="7">
        <f>_xlfn.STDEV.S(C3:C17)</f>
        <v>4.1631161702144655E-3</v>
      </c>
      <c r="D20" s="7">
        <f>_xlfn.STDEV.S(D3:D17)</f>
        <v>5.4681409263410462E-3</v>
      </c>
      <c r="G20" s="5" t="s">
        <v>5</v>
      </c>
      <c r="H20" t="s">
        <v>16</v>
      </c>
      <c r="I20" s="4"/>
    </row>
    <row r="21" spans="1:12" x14ac:dyDescent="0.25">
      <c r="A21" t="s">
        <v>8</v>
      </c>
      <c r="C21" s="8" cm="1">
        <f t="array" ref="C21">_xlfn.COVARIANCE.P(C3:C17-$B$3:$B$17,$C$3:$C$17-$B$3:$B$17)/_xlfn.VAR.P($C$3:$C$17-$B$3:$B$17)</f>
        <v>1</v>
      </c>
      <c r="D21" s="8">
        <f>_xlfn.COVARIANCE.S(D3:D17,$C$3:$C$17)/_xlfn.VAR.S($C$3:$C$17)</f>
        <v>0.94241159407120378</v>
      </c>
      <c r="G21" s="9" cm="1">
        <f t="array" ref="G21">_xll.Beta(D3:D17,C3:C17)</f>
        <v>0.94241159407120412</v>
      </c>
      <c r="H21" s="10">
        <f>D21-G21</f>
        <v>0</v>
      </c>
      <c r="L21" cm="1">
        <f t="array" ref="L21">_xll.Beta(L3:L17,K3:K17)</f>
        <v>0.12710524781890767</v>
      </c>
    </row>
    <row r="22" spans="1:12" x14ac:dyDescent="0.25">
      <c r="A22" t="s">
        <v>25</v>
      </c>
      <c r="C22" s="8">
        <f>C21*2/3+1/3</f>
        <v>1</v>
      </c>
      <c r="D22" s="8">
        <f>D21*2/3+1/3</f>
        <v>0.96160772938080252</v>
      </c>
      <c r="G22" s="9" cm="1">
        <f t="array" ref="G22">_xll.AdjustedBeta(D3:D17,C3:C17)</f>
        <v>0.96160772938080274</v>
      </c>
      <c r="H22" s="10">
        <f>D22-G22</f>
        <v>0</v>
      </c>
    </row>
    <row r="23" spans="1:12" x14ac:dyDescent="0.25">
      <c r="A23" t="s">
        <v>13</v>
      </c>
      <c r="C23" s="8" cm="1">
        <f t="array" ref="C23">SLOPE(_xlfn._xlws.FILTER(C3:C17,$C$3:$C$17&gt;0)-_xlfn._xlws.FILTER($B$3:$B$17,$C$3:$C$17&gt;0),_xlfn._xlws.FILTER($C$3:$C$17,$C$3:$C$17&gt;0)-_xlfn._xlws.FILTER($B$3:$B$17,$C$3:$C$17&gt;0))</f>
        <v>1</v>
      </c>
      <c r="D23" s="8" cm="1">
        <f t="array" ref="D23">SLOPE(_xlfn._xlws.FILTER(D3:D17,$C$3:$C$17&gt;0),_xlfn._xlws.FILTER($C$3:$C$17,$C$3:$C$17&gt;0))</f>
        <v>1.0869212641710992</v>
      </c>
      <c r="G23" s="9" cm="1">
        <f t="array" ref="G23">_xll.BullBeta(D3:D17,C3:C17)</f>
        <v>1.0869212641710995</v>
      </c>
      <c r="H23" s="10">
        <f t="shared" ref="H23:H38" si="1">D23-G23</f>
        <v>0</v>
      </c>
      <c r="L23" cm="1">
        <f t="array" ref="L23">_xll.BullBeta(L3:L17,K3:K17)</f>
        <v>0.12710524781890767</v>
      </c>
    </row>
    <row r="24" spans="1:12" x14ac:dyDescent="0.25">
      <c r="A24" t="s">
        <v>14</v>
      </c>
      <c r="C24" s="8" cm="1">
        <f t="array" ref="C24">SLOPE(_xlfn._xlws.FILTER(C3:C17,$C$3:$C$17&lt;0)-_xlfn._xlws.FILTER($B$3:$B$17,$C$3:$C$17&lt;0),_xlfn._xlws.FILTER($C$3:$C$17,$C$3:$C$17&lt;0)-_xlfn._xlws.FILTER($B$3:$B$17,$C$3:$C$17&lt;0))</f>
        <v>1</v>
      </c>
      <c r="D24" s="8" cm="1">
        <f t="array" ref="D24">SLOPE(_xlfn._xlws.FILTER(D3:D17,$C$3:$C$17&lt;0),_xlfn._xlws.FILTER($C$3:$C$17,$C$3:$C$17&lt;0))</f>
        <v>0.54207326774062659</v>
      </c>
      <c r="G24" s="9" cm="1">
        <f t="array" ref="G24">_xll.BearBeta(D3:D17,C3:C17)</f>
        <v>0.54207326774062647</v>
      </c>
      <c r="H24" s="10">
        <f t="shared" si="1"/>
        <v>0</v>
      </c>
      <c r="L24" t="e" cm="1">
        <f t="array" ref="L24">_xll.BearBeta(L3:L17,K3:K17,B3:B17)</f>
        <v>#VALUE!</v>
      </c>
    </row>
    <row r="25" spans="1:12" x14ac:dyDescent="0.25">
      <c r="A25" t="s">
        <v>15</v>
      </c>
      <c r="C25" s="8">
        <f>C23/C24</f>
        <v>1</v>
      </c>
      <c r="D25" s="8">
        <f>D23/D24</f>
        <v>2.0051187336748981</v>
      </c>
      <c r="G25" s="9" cm="1">
        <f t="array" ref="G25">_xll.BetaTimingRatio(D3:D17,C3:C17)</f>
        <v>2.005118733674899</v>
      </c>
      <c r="H25" s="10">
        <f t="shared" si="1"/>
        <v>0</v>
      </c>
      <c r="L25" s="15" t="e" cm="1">
        <f t="array" ref="L25">_xll.BetaTimingRatio(L3:L17,K3:K17)</f>
        <v>#VALUE!</v>
      </c>
    </row>
    <row r="26" spans="1:12" x14ac:dyDescent="0.25">
      <c r="A26" t="s">
        <v>4</v>
      </c>
      <c r="B26" s="1"/>
      <c r="C26" s="8">
        <f>(AVERAGE(C3:C17)-AVERAGE($B$3:$B$17))/_xlfn.STDEV.S(C3:C17)</f>
        <v>-0.11295268790654267</v>
      </c>
      <c r="D26" s="8">
        <f>(AVERAGE(D3:D17)-AVERAGE($B$3:$B$17))/_xlfn.STDEV.S(D3:D17)</f>
        <v>5.1687248496316764E-2</v>
      </c>
      <c r="E26" s="2"/>
      <c r="G26" s="9" cm="1">
        <f t="array" ref="G26">_xll.SharpeRatio(D3:D17,B3:B17)</f>
        <v>5.1687248496316764E-2</v>
      </c>
      <c r="H26" s="10">
        <f t="shared" si="1"/>
        <v>0</v>
      </c>
    </row>
    <row r="27" spans="1:12" x14ac:dyDescent="0.25">
      <c r="A27" t="s">
        <v>24</v>
      </c>
      <c r="B27" s="1"/>
      <c r="C27" s="8" cm="1">
        <f t="array" ref="C27">(AVERAGE(C3:C17)-AVERAGE($B$3:$B$17))/_xlfn.STDEV.S(C3:C17-$B$3:$B$17)</f>
        <v>-0.11273902975687349</v>
      </c>
      <c r="D27" s="8" cm="1">
        <f t="array" ref="D27">(AVERAGE(D3:D17)-AVERAGE($B$3:$B$17))/_xlfn.STDEV.S(D3:D17-$B$3:$B$17)</f>
        <v>5.1676557020390534E-2</v>
      </c>
      <c r="E27" s="2"/>
      <c r="G27" s="9" cm="1">
        <f t="array" ref="G27">_xll.RevisedSharpeRatio(D3:D17,B3:B17)</f>
        <v>5.1676557020390521E-2</v>
      </c>
      <c r="H27" s="10">
        <f t="shared" si="1"/>
        <v>0</v>
      </c>
    </row>
    <row r="28" spans="1:12" x14ac:dyDescent="0.25">
      <c r="A28" t="s">
        <v>7</v>
      </c>
      <c r="B28" s="1"/>
      <c r="C28" s="8">
        <f>(AVERAGE(C3:C17)-AVERAGE($B$3:$B$17))/C21</f>
        <v>-4.7023516149291567E-4</v>
      </c>
      <c r="D28" s="8">
        <f>(AVERAGE(D3:D17)-AVERAGE($B$3:$B$17))/D21</f>
        <v>2.9990416146271975E-4</v>
      </c>
      <c r="G28" s="9" cm="1">
        <f t="array" ref="G28">_xll.TreynorIndex(D3:D17,G21,B3:B17)</f>
        <v>2.9990416146271964E-4</v>
      </c>
      <c r="H28" s="10">
        <f t="shared" si="1"/>
        <v>0</v>
      </c>
    </row>
    <row r="29" spans="1:12" x14ac:dyDescent="0.25">
      <c r="A29" t="s">
        <v>9</v>
      </c>
      <c r="C29" s="8">
        <f>(_xlfn.STDEV.S($C$3:$C$17)/_xlfn.STDEV.S(C3:C17))*(C19-$B$19)+$B$19</f>
        <v>-3.7160406004862107E-4</v>
      </c>
      <c r="D29" s="8">
        <f>(_xlfn.STDEV.S($C$3:$C$17)/_xlfn.STDEV.S(D3:D17))*(D19-$B$19)+$B$19</f>
        <v>3.138111214532042E-4</v>
      </c>
      <c r="G29" s="9" cm="1">
        <f t="array" ref="G29">_xll.MSquared(D3:D17,C3:C17,B3:B17)</f>
        <v>3.1381112145320415E-4</v>
      </c>
      <c r="H29" s="10">
        <f t="shared" si="1"/>
        <v>0</v>
      </c>
    </row>
    <row r="30" spans="1:12" x14ac:dyDescent="0.25">
      <c r="A30" t="s">
        <v>11</v>
      </c>
      <c r="C30" s="12">
        <f>C19-$B$19-C21*($C$19-$B$19)</f>
        <v>0</v>
      </c>
      <c r="D30" s="12">
        <f>D19-$B$19-D21*($C$19-$B$19)</f>
        <v>7.2578822700353793E-4</v>
      </c>
      <c r="G30" s="13" cm="1">
        <f t="array" ref="G30">_xll.JensensAlpha(D3:D17,C3:C17,B3:B17)</f>
        <v>7.2578822700353814E-4</v>
      </c>
      <c r="H30" s="10">
        <f t="shared" si="1"/>
        <v>0</v>
      </c>
    </row>
    <row r="31" spans="1:12" x14ac:dyDescent="0.25">
      <c r="A31" t="s">
        <v>21</v>
      </c>
      <c r="C31" s="12" cm="1">
        <f t="array" ref="C31">_xlfn.STDEV.S(C3:C17-$C$3:$C$17)</f>
        <v>0</v>
      </c>
      <c r="D31" s="12" cm="1">
        <f t="array" ref="D31">_xlfn.STDEV.S(D3:D17-$C$3:$C$17)</f>
        <v>3.816440754566235E-3</v>
      </c>
      <c r="G31" s="13" cm="1">
        <f t="array" ref="G31">_xll.TrackingError(D3:D17,C3:C17)</f>
        <v>3.816440754566235E-3</v>
      </c>
      <c r="H31" s="10">
        <f t="shared" si="1"/>
        <v>0</v>
      </c>
    </row>
    <row r="32" spans="1:12" x14ac:dyDescent="0.25">
      <c r="A32" t="s">
        <v>20</v>
      </c>
      <c r="C32" s="8"/>
      <c r="D32" s="8" cm="1">
        <f t="array" ref="D32">(AVERAGE(D3:D17)-AVERAGE($C$3:$C$17))/_xlfn.STDEV.S(D3:D17-$C$3:$C$17)</f>
        <v>0.19726975178765843</v>
      </c>
      <c r="G32" s="8" cm="1">
        <f t="array" ref="G32">_xll.InformationRatio(D3:D17,C3:C17)</f>
        <v>0.19726975178765843</v>
      </c>
      <c r="H32" s="10">
        <f t="shared" si="1"/>
        <v>0</v>
      </c>
    </row>
    <row r="33" spans="1:13" x14ac:dyDescent="0.25">
      <c r="A33" t="s">
        <v>47</v>
      </c>
      <c r="C33" s="8" cm="1">
        <f t="array" ref="C33">AVERAGE(_xlfn._xlws.FILTER(C3:C17,$C$3:$C$17&gt;0))/AVERAGE(_xlfn._xlws.FILTER($C$3:$C$17,$C$3:$C$17&gt;0))</f>
        <v>1</v>
      </c>
      <c r="D33" s="8" cm="1">
        <f t="array" ref="D33">AVERAGE(_xlfn._xlws.FILTER(D3:D17,$C$3:$C$17&gt;0))/AVERAGE(_xlfn._xlws.FILTER($C$3:$C$17,$C$3:$C$17&gt;0))</f>
        <v>1.3503270666937031</v>
      </c>
      <c r="G33" s="10" cm="1">
        <f t="array" ref="G33">_xll.UpCaptureRatio(D3:D17,$C$3:$C$17)</f>
        <v>1.3503270666937031</v>
      </c>
      <c r="H33" s="10">
        <f t="shared" si="1"/>
        <v>0</v>
      </c>
      <c r="L33" s="11"/>
      <c r="M33" s="11"/>
    </row>
    <row r="34" spans="1:13" x14ac:dyDescent="0.25">
      <c r="A34" t="s">
        <v>48</v>
      </c>
      <c r="C34" s="8" cm="1">
        <f t="array" ref="C34">AVERAGE(_xlfn._xlws.FILTER(C3:C17,$C$3:$C$17&lt;0))/AVERAGE(_xlfn._xlws.FILTER($C$3:$C$17,$C$3:$C$17&lt;0))</f>
        <v>1</v>
      </c>
      <c r="D34" s="8" cm="1">
        <f t="array" ref="D34">AVERAGE(_xlfn._xlws.FILTER(D3:D17,$C$3:$C$17&lt;0))/AVERAGE(_xlfn._xlws.FILTER($C$3:$C$17,$C$3:$C$17&lt;0))</f>
        <v>0.82277767682575553</v>
      </c>
      <c r="G34" s="10" cm="1">
        <f t="array" ref="G34">_xll.DownCaptureRatio(D3:D17,C3:C17)</f>
        <v>0.82277767682575553</v>
      </c>
      <c r="H34" s="10">
        <f t="shared" si="1"/>
        <v>0</v>
      </c>
      <c r="L34" s="11"/>
      <c r="M34" s="11"/>
    </row>
    <row r="35" spans="1:13" x14ac:dyDescent="0.25">
      <c r="A35" t="s">
        <v>49</v>
      </c>
      <c r="C35" s="6" cm="1">
        <f t="array" ref="C35">SUM(--(_xlfn._xlws.FILTER(C3:C17-$C$3:$C$17,$C$3:$C$17&gt;0)&gt;0))/COUNT(_xlfn._xlws.FILTER(C3:C17-$C$3:$C$17,$C$3:$C$17&gt;0))</f>
        <v>0</v>
      </c>
      <c r="D35" s="6" cm="1">
        <f t="array" ref="D35">SUM(--(_xlfn._xlws.FILTER(D3:D17-$C$3:$C$17,$C$3:$C$17&gt;0)&gt;0))/COUNT(_xlfn._xlws.FILTER(D3:D17-$C$3:$C$17,$C$3:$C$17&gt;0))</f>
        <v>0.5714285714285714</v>
      </c>
      <c r="G35" s="6" cm="1">
        <f t="array" ref="G35">_xll.UpPercentageRatio(D3:D17,C3:C17)</f>
        <v>0.5714285714285714</v>
      </c>
      <c r="H35" s="10">
        <f t="shared" si="1"/>
        <v>0</v>
      </c>
      <c r="L35" s="11"/>
      <c r="M35" s="11"/>
    </row>
    <row r="36" spans="1:13" x14ac:dyDescent="0.25">
      <c r="A36" t="s">
        <v>50</v>
      </c>
      <c r="C36" s="6" cm="1">
        <f t="array" ref="C36">SUM(--(_xlfn._xlws.FILTER(C3:C17-$C$3:$C$17,$C$3:$C$17&lt;0)&gt;0))/COUNT(_xlfn._xlws.FILTER(C3:C17-$C$3:$C$17,$C$3:$C$17&lt;0))</f>
        <v>0</v>
      </c>
      <c r="D36" s="6" cm="1">
        <f t="array" ref="D36">SUM(--(_xlfn._xlws.FILTER(D3:D17-$C$3:$C$17,$C$3:$C$17&lt;0)&gt;0))/COUNT(_xlfn._xlws.FILTER(D3:D17-$C$3:$C$17,$C$3:$C$17&lt;0))</f>
        <v>0.625</v>
      </c>
      <c r="G36" s="6" cm="1">
        <f t="array" ref="G36">_xll.DownPercentageRatio(D3:D17,C3:C17)</f>
        <v>0.625</v>
      </c>
      <c r="H36" s="10">
        <f t="shared" si="1"/>
        <v>0</v>
      </c>
      <c r="L36" s="11"/>
      <c r="M36" s="11"/>
    </row>
    <row r="37" spans="1:13" x14ac:dyDescent="0.25">
      <c r="A37" t="s">
        <v>51</v>
      </c>
      <c r="C37" s="6" cm="1">
        <f t="array" ref="C37">SUM(--(C3:C17&gt;0))/SUM(--($C$3:$C$17&gt;0))</f>
        <v>1</v>
      </c>
      <c r="D37" s="6" cm="1">
        <f t="array" ref="D37">SUM(--(D3:D17&gt;0))/SUM(--($C$3:$C$17&gt;0))</f>
        <v>1</v>
      </c>
      <c r="G37" s="6" cm="1">
        <f t="array" ref="G37">_xll.PercentageGainRatio(D3:D17,C3:C17)</f>
        <v>1</v>
      </c>
      <c r="H37" s="10">
        <f t="shared" si="1"/>
        <v>0</v>
      </c>
      <c r="L37" s="11"/>
      <c r="M37" s="11"/>
    </row>
    <row r="38" spans="1:13" x14ac:dyDescent="0.25">
      <c r="A38" t="s">
        <v>52</v>
      </c>
      <c r="C38" s="6" cm="1">
        <f t="array" ref="C38">SUM(--(C3:C17&lt;0))/SUM(--($C$3:$C$17&lt;0))</f>
        <v>1</v>
      </c>
      <c r="D38" s="6" cm="1">
        <f t="array" ref="D38">SUM(--(D3:D17&lt;0))/SUM(--($C$3:$C$17&lt;0))</f>
        <v>0.875</v>
      </c>
      <c r="G38" s="6" cm="1">
        <f t="array" ref="G38">_xll.PercentageLossRatio(D3:D17,C3:C17)</f>
        <v>0.875</v>
      </c>
      <c r="H38" s="10">
        <f t="shared" si="1"/>
        <v>0</v>
      </c>
      <c r="L38" s="11"/>
      <c r="M38" s="11"/>
    </row>
    <row r="39" spans="1:13" x14ac:dyDescent="0.25">
      <c r="C39" s="6"/>
      <c r="D39" s="6"/>
      <c r="G39" s="6"/>
      <c r="H39" s="10"/>
      <c r="L39" s="11"/>
      <c r="M39" s="11"/>
    </row>
    <row r="40" spans="1:13" x14ac:dyDescent="0.25">
      <c r="C40" s="6"/>
      <c r="D40" s="6"/>
      <c r="G40" s="10"/>
      <c r="L40" s="11"/>
      <c r="M40" s="11"/>
    </row>
    <row r="41" spans="1:13" x14ac:dyDescent="0.25">
      <c r="F41" s="32"/>
      <c r="G41" s="16"/>
      <c r="L41" s="1"/>
    </row>
    <row r="42" spans="1:13" x14ac:dyDescent="0.25">
      <c r="E42" s="11"/>
      <c r="G42" s="18" t="str" cm="1">
        <f t="array" ref="G42:H51">_xll.FamaDecomposition(D3:D17,C3:C17,B3:B17,1.3)</f>
        <v>Risk Premium</v>
      </c>
      <c r="H42" s="1">
        <v>2.8263315887266938E-4</v>
      </c>
      <c r="I42" s="30"/>
      <c r="J42" s="11"/>
      <c r="L42" s="1"/>
      <c r="M42" s="11"/>
    </row>
    <row r="43" spans="1:13" x14ac:dyDescent="0.25">
      <c r="G43" t="str">
        <v>Due to Risk</v>
      </c>
      <c r="H43" s="1">
        <v>-4.4315506813086877E-4</v>
      </c>
      <c r="K43" s="11"/>
      <c r="L43" s="1"/>
      <c r="M43" s="19"/>
    </row>
    <row r="44" spans="1:13" x14ac:dyDescent="0.25">
      <c r="G44" t="str">
        <v>Due to Investor's Risk</v>
      </c>
      <c r="H44" s="1">
        <v>-6.1130570994079043E-4</v>
      </c>
      <c r="J44" s="1"/>
    </row>
    <row r="45" spans="1:13" x14ac:dyDescent="0.25">
      <c r="G45" t="str">
        <v>Due to Manager's Risk</v>
      </c>
      <c r="H45" s="1">
        <v>1.6815064180992164E-4</v>
      </c>
      <c r="L45" s="2"/>
      <c r="M45" s="20"/>
    </row>
    <row r="46" spans="1:13" x14ac:dyDescent="0.25">
      <c r="G46" t="str">
        <v>Due to Selectivity</v>
      </c>
      <c r="H46" s="1">
        <v>7.2578822700353814E-4</v>
      </c>
    </row>
    <row r="47" spans="1:13" x14ac:dyDescent="0.25">
      <c r="G47" t="str">
        <v>Diversification</v>
      </c>
      <c r="H47" s="1">
        <v>8.5146079155431776E-5</v>
      </c>
      <c r="L47" s="1"/>
    </row>
    <row r="48" spans="1:13" x14ac:dyDescent="0.25">
      <c r="G48" t="str">
        <v>Net Selectivity</v>
      </c>
      <c r="H48" s="1">
        <v>6.4064214784810634E-4</v>
      </c>
      <c r="L48" s="1"/>
    </row>
    <row r="49" spans="7:12" x14ac:dyDescent="0.25">
      <c r="G49" t="str">
        <v>Hypothetical Beta</v>
      </c>
      <c r="H49" s="29">
        <v>1.3134730578655345</v>
      </c>
      <c r="J49" s="8"/>
      <c r="K49" s="31"/>
      <c r="L49" s="1"/>
    </row>
    <row r="50" spans="7:12" x14ac:dyDescent="0.25">
      <c r="G50" t="str">
        <v>Hypothetical Exp Return</v>
      </c>
      <c r="H50" s="1">
        <v>-5.1901011403769886E-4</v>
      </c>
    </row>
    <row r="51" spans="7:12" x14ac:dyDescent="0.25">
      <c r="G51" t="str">
        <v>Hypothetical Risk Premium</v>
      </c>
      <c r="H51" s="1">
        <v>-6.176412154819934E-4</v>
      </c>
    </row>
    <row r="52" spans="7:12" x14ac:dyDescent="0.25">
      <c r="H52" s="28"/>
    </row>
    <row r="53" spans="7:12" x14ac:dyDescent="0.25">
      <c r="H53" s="1"/>
    </row>
    <row r="54" spans="7:12" x14ac:dyDescent="0.25">
      <c r="H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2AEA-8CFA-45DF-BCFE-1A720439ADBA}">
  <dimension ref="A1:M30"/>
  <sheetViews>
    <sheetView workbookViewId="0">
      <selection activeCell="I30" sqref="I30"/>
    </sheetView>
  </sheetViews>
  <sheetFormatPr defaultRowHeight="15" x14ac:dyDescent="0.25"/>
  <cols>
    <col min="2" max="3" width="13.5703125" bestFit="1" customWidth="1"/>
    <col min="4" max="4" width="13.7109375" bestFit="1" customWidth="1"/>
    <col min="5" max="5" width="12.42578125" bestFit="1" customWidth="1"/>
    <col min="6" max="6" width="12.85546875" bestFit="1" customWidth="1"/>
    <col min="8" max="8" width="27.42578125" bestFit="1" customWidth="1"/>
    <col min="9" max="9" width="20.7109375" bestFit="1" customWidth="1"/>
    <col min="10" max="10" width="14.42578125" bestFit="1" customWidth="1"/>
    <col min="11" max="11" width="14.28515625" bestFit="1" customWidth="1"/>
    <col min="12" max="12" width="9.28515625" bestFit="1" customWidth="1"/>
    <col min="13" max="13" width="14.28515625" bestFit="1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H1" s="25" t="s">
        <v>26</v>
      </c>
      <c r="I1" s="25" t="s">
        <v>27</v>
      </c>
      <c r="J1" s="25" t="s">
        <v>28</v>
      </c>
      <c r="K1" s="25" t="s">
        <v>29</v>
      </c>
      <c r="L1" s="25" t="s">
        <v>30</v>
      </c>
      <c r="M1" s="25" t="s">
        <v>32</v>
      </c>
    </row>
    <row r="2" spans="1:13" x14ac:dyDescent="0.25">
      <c r="A2">
        <v>1975</v>
      </c>
      <c r="B2" s="22">
        <v>10000</v>
      </c>
      <c r="C2" s="22">
        <v>10000</v>
      </c>
      <c r="D2" s="22">
        <v>10000</v>
      </c>
      <c r="E2" s="22">
        <v>10000</v>
      </c>
      <c r="F2" s="22">
        <v>10000</v>
      </c>
      <c r="H2" s="24">
        <v>1976</v>
      </c>
      <c r="I2" s="14">
        <f>B3/B2-1</f>
        <v>0.33600000000000008</v>
      </c>
      <c r="J2" s="14">
        <f t="shared" ref="J2:M11" si="0">C3/C2-1</f>
        <v>0.46500000000000008</v>
      </c>
      <c r="K2" s="14">
        <f t="shared" si="0"/>
        <v>0.11099999999999999</v>
      </c>
      <c r="L2" s="14">
        <f t="shared" si="0"/>
        <v>0.17100000000000004</v>
      </c>
      <c r="M2" s="14">
        <f t="shared" si="0"/>
        <v>5.7700000000000085E-2</v>
      </c>
    </row>
    <row r="3" spans="1:13" x14ac:dyDescent="0.25">
      <c r="A3">
        <v>1976</v>
      </c>
      <c r="B3" s="22">
        <v>13360</v>
      </c>
      <c r="C3" s="22">
        <v>14650</v>
      </c>
      <c r="D3" s="22">
        <v>11110</v>
      </c>
      <c r="E3" s="22">
        <v>11710</v>
      </c>
      <c r="F3" s="22">
        <v>10577</v>
      </c>
      <c r="H3" s="24">
        <v>1977</v>
      </c>
      <c r="I3" s="14">
        <f t="shared" ref="I3:I11" si="1">B4/B3-1</f>
        <v>0.14498502994011986</v>
      </c>
      <c r="J3" s="14">
        <f t="shared" si="0"/>
        <v>0.16498293515358364</v>
      </c>
      <c r="K3" s="14">
        <f t="shared" si="0"/>
        <v>0.12700270027002691</v>
      </c>
      <c r="L3" s="14">
        <f t="shared" si="0"/>
        <v>0.14500426985482484</v>
      </c>
      <c r="M3" s="14">
        <f t="shared" si="0"/>
        <v>5.2945069490403673E-2</v>
      </c>
    </row>
    <row r="4" spans="1:13" x14ac:dyDescent="0.25">
      <c r="A4">
        <v>1977</v>
      </c>
      <c r="B4" s="22">
        <v>15297</v>
      </c>
      <c r="C4" s="22">
        <v>17067</v>
      </c>
      <c r="D4" s="22">
        <v>12521</v>
      </c>
      <c r="E4" s="22">
        <v>13408</v>
      </c>
      <c r="F4" s="22">
        <v>11137</v>
      </c>
      <c r="H4" s="24">
        <v>1978</v>
      </c>
      <c r="I4" s="14">
        <f t="shared" si="1"/>
        <v>0.31699025952801207</v>
      </c>
      <c r="J4" s="14">
        <f t="shared" si="0"/>
        <v>0.32899748051795874</v>
      </c>
      <c r="K4" s="14">
        <f t="shared" si="0"/>
        <v>0.20900886510662087</v>
      </c>
      <c r="L4" s="14">
        <f t="shared" si="0"/>
        <v>8.5023866348448607E-2</v>
      </c>
      <c r="M4" s="14">
        <f t="shared" si="0"/>
        <v>7.2730537846816823E-2</v>
      </c>
    </row>
    <row r="5" spans="1:13" x14ac:dyDescent="0.25">
      <c r="A5">
        <v>1978</v>
      </c>
      <c r="B5" s="22">
        <v>20146</v>
      </c>
      <c r="C5" s="22">
        <v>22682</v>
      </c>
      <c r="D5" s="22">
        <v>15138</v>
      </c>
      <c r="E5" s="22">
        <v>14548</v>
      </c>
      <c r="F5" s="22">
        <v>11947</v>
      </c>
      <c r="H5" s="24">
        <v>1979</v>
      </c>
      <c r="I5" s="14">
        <f t="shared" si="1"/>
        <v>0.51702571230020844</v>
      </c>
      <c r="J5" s="14">
        <f t="shared" si="0"/>
        <v>0.73604620403844456</v>
      </c>
      <c r="K5" s="14">
        <f t="shared" si="0"/>
        <v>0.35500066058924551</v>
      </c>
      <c r="L5" s="14">
        <f t="shared" si="0"/>
        <v>0.15596645587022273</v>
      </c>
      <c r="M5" s="14">
        <f t="shared" si="0"/>
        <v>0.10412655896877876</v>
      </c>
    </row>
    <row r="6" spans="1:13" x14ac:dyDescent="0.25">
      <c r="A6">
        <v>1979</v>
      </c>
      <c r="B6" s="22">
        <v>30562</v>
      </c>
      <c r="C6" s="22">
        <v>39377</v>
      </c>
      <c r="D6" s="22">
        <v>20512</v>
      </c>
      <c r="E6" s="22">
        <v>16817</v>
      </c>
      <c r="F6" s="22">
        <v>13191</v>
      </c>
      <c r="H6" s="24">
        <v>1980</v>
      </c>
      <c r="I6" s="14">
        <f t="shared" si="1"/>
        <v>0.76500229042601919</v>
      </c>
      <c r="J6" s="14">
        <f t="shared" si="0"/>
        <v>0.36399420981791408</v>
      </c>
      <c r="K6" s="14">
        <f t="shared" si="0"/>
        <v>0.57600429017160693</v>
      </c>
      <c r="L6" s="14">
        <f t="shared" si="0"/>
        <v>0.34102396384610811</v>
      </c>
      <c r="M6" s="14">
        <f t="shared" si="0"/>
        <v>0.12061253885224765</v>
      </c>
    </row>
    <row r="7" spans="1:13" x14ac:dyDescent="0.25">
      <c r="A7">
        <v>1980</v>
      </c>
      <c r="B7" s="22">
        <v>53942</v>
      </c>
      <c r="C7" s="22">
        <v>53710</v>
      </c>
      <c r="D7" s="22">
        <v>32327</v>
      </c>
      <c r="E7" s="22">
        <v>22552</v>
      </c>
      <c r="F7" s="22">
        <v>14782</v>
      </c>
      <c r="H7" s="24">
        <v>1981</v>
      </c>
      <c r="I7" s="14">
        <f t="shared" si="1"/>
        <v>0.1210003336917429</v>
      </c>
      <c r="J7" s="14">
        <f t="shared" si="0"/>
        <v>-0.22800223422081545</v>
      </c>
      <c r="K7" s="14">
        <f t="shared" si="0"/>
        <v>-7.8015281343768339E-2</v>
      </c>
      <c r="L7" s="14">
        <f t="shared" si="0"/>
        <v>-4.8022348350478916E-2</v>
      </c>
      <c r="M7" s="14">
        <f t="shared" si="0"/>
        <v>0.14077932620754963</v>
      </c>
    </row>
    <row r="8" spans="1:13" x14ac:dyDescent="0.25">
      <c r="A8">
        <v>1981</v>
      </c>
      <c r="B8" s="22">
        <v>60469</v>
      </c>
      <c r="C8" s="22">
        <v>41464</v>
      </c>
      <c r="D8" s="22">
        <v>29805</v>
      </c>
      <c r="E8" s="22">
        <v>21469</v>
      </c>
      <c r="F8" s="22">
        <v>16863</v>
      </c>
      <c r="H8" s="24">
        <v>1982</v>
      </c>
      <c r="I8" s="14">
        <f t="shared" si="1"/>
        <v>0.48100679687112402</v>
      </c>
      <c r="J8" s="14">
        <f t="shared" si="0"/>
        <v>8.4989388385105169E-2</v>
      </c>
      <c r="K8" s="14">
        <f t="shared" si="0"/>
        <v>0.22801543365207189</v>
      </c>
      <c r="L8" s="14">
        <f t="shared" si="0"/>
        <v>0.22199450370301355</v>
      </c>
      <c r="M8" s="14">
        <f t="shared" si="0"/>
        <v>0.14321295143212942</v>
      </c>
    </row>
    <row r="9" spans="1:13" x14ac:dyDescent="0.25">
      <c r="A9">
        <v>1982</v>
      </c>
      <c r="B9" s="22">
        <v>89555</v>
      </c>
      <c r="C9" s="22">
        <v>44988</v>
      </c>
      <c r="D9" s="22">
        <v>36601</v>
      </c>
      <c r="E9" s="22">
        <v>26235</v>
      </c>
      <c r="F9" s="22">
        <v>19278</v>
      </c>
      <c r="H9" s="24">
        <v>1983</v>
      </c>
      <c r="I9" s="14">
        <f t="shared" si="1"/>
        <v>0.38599743174585455</v>
      </c>
      <c r="J9" s="14">
        <f t="shared" si="0"/>
        <v>6.8018138170178766E-2</v>
      </c>
      <c r="K9" s="14">
        <f t="shared" si="0"/>
        <v>0.19499467227671374</v>
      </c>
      <c r="L9" s="14">
        <f t="shared" si="0"/>
        <v>0.21299790356394133</v>
      </c>
      <c r="M9" s="14">
        <f t="shared" si="0"/>
        <v>8.6212262682850982E-2</v>
      </c>
    </row>
    <row r="10" spans="1:13" x14ac:dyDescent="0.25">
      <c r="A10">
        <v>1983</v>
      </c>
      <c r="B10" s="22">
        <v>124123</v>
      </c>
      <c r="C10" s="22">
        <v>48048</v>
      </c>
      <c r="D10" s="22">
        <v>43738</v>
      </c>
      <c r="E10" s="22">
        <v>31823</v>
      </c>
      <c r="F10" s="22">
        <v>20940</v>
      </c>
      <c r="H10" s="24">
        <v>1984</v>
      </c>
      <c r="I10" s="14">
        <f t="shared" si="1"/>
        <v>1.9996293998694847E-2</v>
      </c>
      <c r="J10" s="14">
        <f t="shared" si="0"/>
        <v>-0.59600815850815847</v>
      </c>
      <c r="K10" s="14">
        <f t="shared" si="0"/>
        <v>-9.600347523892272E-2</v>
      </c>
      <c r="L10" s="14">
        <f t="shared" si="0"/>
        <v>4.1008075919932052E-2</v>
      </c>
      <c r="M10" s="14">
        <f t="shared" si="0"/>
        <v>9.8997134670487208E-2</v>
      </c>
    </row>
    <row r="11" spans="1:13" x14ac:dyDescent="0.25">
      <c r="A11">
        <v>1984</v>
      </c>
      <c r="B11" s="22">
        <v>126605</v>
      </c>
      <c r="C11" s="22">
        <v>19411</v>
      </c>
      <c r="D11" s="22">
        <v>39539</v>
      </c>
      <c r="E11" s="22">
        <v>33128</v>
      </c>
      <c r="F11" s="22">
        <v>23013</v>
      </c>
      <c r="H11" s="24">
        <v>1985</v>
      </c>
      <c r="I11" s="14">
        <f t="shared" si="1"/>
        <v>0.43100193515264018</v>
      </c>
      <c r="J11" s="14">
        <f t="shared" si="0"/>
        <v>-0.2009685230024213</v>
      </c>
      <c r="K11" s="14">
        <f t="shared" si="0"/>
        <v>0.24300058170414029</v>
      </c>
      <c r="L11" s="14">
        <f t="shared" si="0"/>
        <v>0.29899178942284466</v>
      </c>
      <c r="M11" s="14">
        <f t="shared" si="0"/>
        <v>9.3295094077260776E-2</v>
      </c>
    </row>
    <row r="12" spans="1:13" x14ac:dyDescent="0.25">
      <c r="A12">
        <v>1985</v>
      </c>
      <c r="B12" s="22">
        <v>181172</v>
      </c>
      <c r="C12" s="22">
        <v>15510</v>
      </c>
      <c r="D12" s="22">
        <v>49147</v>
      </c>
      <c r="E12" s="22">
        <v>43033</v>
      </c>
      <c r="F12" s="22">
        <v>25160</v>
      </c>
      <c r="H12" s="23"/>
    </row>
    <row r="13" spans="1:13" x14ac:dyDescent="0.25">
      <c r="H13" t="s">
        <v>33</v>
      </c>
      <c r="I13" s="26" cm="1">
        <f t="array" ref="I13">PRODUCT(1+I2:I11)-1</f>
        <v>17.117200000000004</v>
      </c>
      <c r="J13" s="26" cm="1">
        <f t="array" ref="J13">PRODUCT(1+J2:J11)-1</f>
        <v>0.5510000000000006</v>
      </c>
      <c r="K13" s="26" cm="1">
        <f t="array" ref="K13">PRODUCT(1+K2:K11)-1</f>
        <v>3.9146999999999998</v>
      </c>
      <c r="L13" s="26" cm="1">
        <f t="array" ref="L13">PRODUCT(1+L2:L11)-1</f>
        <v>3.3032999999999992</v>
      </c>
      <c r="M13" s="26" cm="1">
        <f t="array" ref="M13">PRODUCT(1+M2:M11)-1</f>
        <v>1.516</v>
      </c>
    </row>
    <row r="14" spans="1:13" x14ac:dyDescent="0.25">
      <c r="H14" t="s">
        <v>34</v>
      </c>
      <c r="I14" s="26">
        <f>AVERAGE(I2:I11)</f>
        <v>0.35190060836544157</v>
      </c>
      <c r="J14" s="26">
        <f t="shared" ref="J14:M14" si="2">AVERAGE(J2:J11)</f>
        <v>0.11870494403517898</v>
      </c>
      <c r="K14" s="26">
        <f t="shared" si="2"/>
        <v>0.18700084471877351</v>
      </c>
      <c r="L14" s="26">
        <f t="shared" si="2"/>
        <v>0.16249884801788569</v>
      </c>
      <c r="M14" s="26">
        <f t="shared" si="2"/>
        <v>9.7061147422852503E-2</v>
      </c>
    </row>
    <row r="15" spans="1:13" x14ac:dyDescent="0.25">
      <c r="H15" t="s">
        <v>35</v>
      </c>
      <c r="I15" s="26" cm="1">
        <f t="array" ref="I15">GEOMEAN(1+I2:I11)-1</f>
        <v>0.33600815124726502</v>
      </c>
      <c r="J15" s="26" cm="1">
        <f t="array" ref="J15">GEOMEAN(1+J2:J11)-1</f>
        <v>4.4867401051168043E-2</v>
      </c>
      <c r="K15" s="26" cm="1">
        <f t="array" ref="K15">GEOMEAN(1+K2:K11)-1</f>
        <v>0.17259949092949345</v>
      </c>
      <c r="L15" s="26" cm="1">
        <f t="array" ref="L15">GEOMEAN(1+L2:L11)-1</f>
        <v>0.15712469523352701</v>
      </c>
      <c r="M15" s="26" cm="1">
        <f t="array" ref="M15">GEOMEAN(1+M2:M11)-1</f>
        <v>9.6657627730115214E-2</v>
      </c>
    </row>
    <row r="16" spans="1:13" x14ac:dyDescent="0.25">
      <c r="H16" t="s">
        <v>36</v>
      </c>
      <c r="I16" s="14">
        <f>_xlfn.STDEV.S(I2:I11)</f>
        <v>0.21852239905084198</v>
      </c>
      <c r="J16" s="14">
        <f t="shared" ref="J16:M16" si="3">_xlfn.STDEV.S(J2:J11)</f>
        <v>0.38650566005190573</v>
      </c>
      <c r="K16" s="14">
        <f t="shared" si="3"/>
        <v>0.19567970936600529</v>
      </c>
      <c r="L16" s="14">
        <f t="shared" si="3"/>
        <v>0.11647316538757187</v>
      </c>
      <c r="M16" s="14">
        <f t="shared" si="3"/>
        <v>3.1391776300293349E-2</v>
      </c>
    </row>
    <row r="17" spans="8:13" x14ac:dyDescent="0.25">
      <c r="H17" t="s">
        <v>37</v>
      </c>
      <c r="I17" s="21">
        <f>CORREL(I2:I11,$L$2:$L$11)</f>
        <v>0.82068383022789493</v>
      </c>
      <c r="J17" s="21">
        <f t="shared" ref="J17:M17" si="4">CORREL(J2:J11,$L$2:$L$11)</f>
        <v>0.33868524468644617</v>
      </c>
      <c r="K17" s="21">
        <f t="shared" si="4"/>
        <v>0.81760384770774464</v>
      </c>
      <c r="L17" s="21">
        <f t="shared" si="4"/>
        <v>0.99999999999999989</v>
      </c>
      <c r="M17" s="21">
        <f t="shared" si="4"/>
        <v>-3.872533196034407E-2</v>
      </c>
    </row>
    <row r="18" spans="8:13" x14ac:dyDescent="0.25">
      <c r="H18" t="s">
        <v>8</v>
      </c>
      <c r="I18" s="21">
        <f>_xlfn.COVARIANCE.S(I2:I11,$L$2:$L$11)/_xlfn.VAR.S($L$2:$L$11)</f>
        <v>1.539734915307535</v>
      </c>
      <c r="J18" s="21">
        <f t="shared" ref="J18:M18" si="5">_xlfn.COVARIANCE.S(J2:J11,$L$2:$L$11)/_xlfn.VAR.S($L$2:$L$11)</f>
        <v>1.1238963379400353</v>
      </c>
      <c r="K18" s="21">
        <f t="shared" si="5"/>
        <v>1.3736080990295689</v>
      </c>
      <c r="L18" s="21">
        <f t="shared" si="5"/>
        <v>1.0000000000000002</v>
      </c>
      <c r="M18" s="21">
        <f t="shared" si="5"/>
        <v>-1.0437227785546531E-2</v>
      </c>
    </row>
    <row r="19" spans="8:13" x14ac:dyDescent="0.25">
      <c r="H19" t="s">
        <v>38</v>
      </c>
      <c r="I19" s="21">
        <f>(I14-$M$14)/I16</f>
        <v>1.1661937725811691</v>
      </c>
      <c r="J19" s="21">
        <f t="shared" ref="J19:M19" si="6">(J14-$M$14)/J16</f>
        <v>5.5998653705148387E-2</v>
      </c>
      <c r="K19" s="21">
        <f t="shared" si="6"/>
        <v>0.45962709975051658</v>
      </c>
      <c r="L19" s="21">
        <f t="shared" si="6"/>
        <v>0.56182641192316773</v>
      </c>
      <c r="M19" s="21">
        <f t="shared" si="6"/>
        <v>0</v>
      </c>
    </row>
    <row r="20" spans="8:13" x14ac:dyDescent="0.25">
      <c r="H20" t="s">
        <v>39</v>
      </c>
      <c r="I20" s="21">
        <f>(I15-$M$15)/I16</f>
        <v>1.0953134532513618</v>
      </c>
      <c r="J20" s="21">
        <f t="shared" ref="J20:M20" si="7">(J15-$M$15)/J16</f>
        <v>-0.13399603688078465</v>
      </c>
      <c r="K20" s="21">
        <f t="shared" si="7"/>
        <v>0.38809268189035512</v>
      </c>
      <c r="L20" s="21">
        <f t="shared" si="7"/>
        <v>0.5191502034155574</v>
      </c>
      <c r="M20" s="21">
        <f t="shared" si="7"/>
        <v>0</v>
      </c>
    </row>
    <row r="21" spans="8:13" x14ac:dyDescent="0.25">
      <c r="H21" t="s">
        <v>40</v>
      </c>
      <c r="I21" s="21">
        <f>(I14-$M$14)/I18</f>
        <v>0.16550865893152092</v>
      </c>
      <c r="J21" s="21">
        <f t="shared" ref="J21:M21" si="8">(J14-$M$14)/J18</f>
        <v>1.925782288070883E-2</v>
      </c>
      <c r="K21" s="21">
        <f t="shared" si="8"/>
        <v>6.5476970730925288E-2</v>
      </c>
      <c r="L21" s="21">
        <f t="shared" si="8"/>
        <v>6.5437700595033177E-2</v>
      </c>
      <c r="M21" s="21">
        <f t="shared" si="8"/>
        <v>0</v>
      </c>
    </row>
    <row r="22" spans="8:13" x14ac:dyDescent="0.25">
      <c r="H22" t="s">
        <v>41</v>
      </c>
      <c r="I22" s="27">
        <f>(I15-$M$15)/I18</f>
        <v>0.15544917578838155</v>
      </c>
      <c r="J22" s="27">
        <f t="shared" ref="J22:M22" si="9">(J15-$M$15)/J18</f>
        <v>-4.6080963991636748E-2</v>
      </c>
      <c r="K22" s="27">
        <f t="shared" si="9"/>
        <v>5.5286411934401002E-2</v>
      </c>
      <c r="L22" s="27">
        <f t="shared" si="9"/>
        <v>6.0467067503411784E-2</v>
      </c>
      <c r="M22" s="27">
        <f t="shared" si="9"/>
        <v>0</v>
      </c>
    </row>
    <row r="23" spans="8:13" x14ac:dyDescent="0.25">
      <c r="H23" t="s">
        <v>42</v>
      </c>
      <c r="I23" s="21" cm="1">
        <f t="array" ref="I23">AVERAGE(I2:I11-$M$2:$M$11)-I18*AVERAGE($L$2:$L$11-$M$2:$M$11)</f>
        <v>0.15408274855897586</v>
      </c>
      <c r="J23" s="21" cm="1">
        <f t="array" ref="J23">AVERAGE(J2:J11-$M$2:$M$11)-J18*AVERAGE($L$2:$L$11-$M$2:$M$11)</f>
        <v>-5.1901395449647801E-2</v>
      </c>
      <c r="K23" s="21" cm="1">
        <f t="array" ref="K23">AVERAGE(K2:K11-$M$2:$M$11)-K18*AVERAGE($L$2:$L$11-$M$2:$M$11)</f>
        <v>5.3941776711363687E-5</v>
      </c>
      <c r="L23" s="21" cm="1">
        <f t="array" ref="L23">AVERAGE(L2:L11-$M$2:$M$11)-L18*AVERAGE($L$2:$L$11-$M$2:$M$11)</f>
        <v>0</v>
      </c>
      <c r="M23" s="21" cm="1">
        <f t="array" ref="M23">AVERAGE(M2:M11-$M$2:$M$11)-M18*AVERAGE($L$2:$L$11-$M$2:$M$11)</f>
        <v>6.8298818687275538E-4</v>
      </c>
    </row>
    <row r="24" spans="8:13" x14ac:dyDescent="0.25">
      <c r="H24" t="s">
        <v>43</v>
      </c>
      <c r="I24" s="21" cm="1">
        <f t="array" ref="I24">(GEOMEAN(1+I2:I11-$M$2:$M$11)-1)-I18*(GEOMEAN(1+$L$2:$L$11-$M$2:$M$11)-1)</f>
        <v>0.14784041632705563</v>
      </c>
      <c r="J24" s="21" cm="1">
        <f t="array" ref="J24">(GEOMEAN(1+J2:J11-$M$2:$M$11)-1)-J18*(GEOMEAN(1+$L$2:$L$11-$M$2:$M$11)-1)</f>
        <v>-0.13274680018062748</v>
      </c>
      <c r="K24" s="21" cm="1">
        <f t="array" ref="K24">(GEOMEAN(1+K2:K11-$M$2:$M$11)-1)-K18*(GEOMEAN(1+$L$2:$L$11-$M$2:$M$11)-1)</f>
        <v>-7.0162470757607759E-3</v>
      </c>
      <c r="L24" s="21" cm="1">
        <f t="array" ref="L24">(GEOMEAN(1+L2:L11-$M$2:$M$11)-1)-L18*(GEOMEAN(1+$L$2:$L$11-$M$2:$M$11)-1)</f>
        <v>0</v>
      </c>
      <c r="M24" s="21" cm="1">
        <f t="array" ref="M24">(GEOMEAN(1+M2:M11-$M$2:$M$11)-1)-M18*(GEOMEAN(1+$L$2:$L$11-$M$2:$M$11)-1)</f>
        <v>6.1288769290833965E-4</v>
      </c>
    </row>
    <row r="27" spans="8:13" x14ac:dyDescent="0.25">
      <c r="H27" t="s">
        <v>8</v>
      </c>
      <c r="I27" s="21" cm="1">
        <f t="array" ref="I27">_xll.Beta(I2:I11,$L$2:$L$11)</f>
        <v>1.5397349153075346</v>
      </c>
      <c r="J27" s="21" cm="1">
        <f t="array" ref="J27">_xll.Beta(J2:J11,$L$2:$L$11)</f>
        <v>1.1238963379400351</v>
      </c>
      <c r="K27" s="21" cm="1">
        <f t="array" ref="K27">_xll.Beta(K2:K11,$L$2:$L$11)</f>
        <v>1.3736080990295685</v>
      </c>
      <c r="L27" s="21" cm="1">
        <f t="array" ref="L27">_xll.Beta(L2:L11,$L$2:$L$11)</f>
        <v>1</v>
      </c>
      <c r="M27" s="21" cm="1">
        <f t="array" ref="M27">_xll.Beta(M2:M11,$L$2:$L$11)</f>
        <v>-1.0437227785546526E-2</v>
      </c>
    </row>
    <row r="28" spans="8:13" x14ac:dyDescent="0.25">
      <c r="H28" t="s">
        <v>4</v>
      </c>
      <c r="I28" s="21" cm="1">
        <f t="array" ref="I28">_xll.SharpeRatio(I2:I11,$M$2:$M$11)</f>
        <v>1.1661937725811693</v>
      </c>
      <c r="J28" s="21" cm="1">
        <f t="array" ref="J28">_xll.SharpeRatio(J2:J11,$M$2:$M$11)</f>
        <v>5.599865370514838E-2</v>
      </c>
      <c r="K28" s="21" cm="1">
        <f t="array" ref="K28">_xll.SharpeRatio(K2:K11,$M$2:$M$11)</f>
        <v>0.45962709975051652</v>
      </c>
      <c r="L28" s="21" cm="1">
        <f t="array" ref="L28">_xll.SharpeRatio(L2:L11,$M$2:$M$11)</f>
        <v>0.56182641192316762</v>
      </c>
      <c r="M28" s="21" cm="1">
        <f t="array" ref="M28">_xll.SharpeRatio(M2:M11,$M$2:$M$11)</f>
        <v>0</v>
      </c>
    </row>
    <row r="29" spans="8:13" x14ac:dyDescent="0.25">
      <c r="H29" t="s">
        <v>7</v>
      </c>
      <c r="I29" s="21" cm="1">
        <f t="array" ref="I29">_xll.TreynorIndex(I2:I11,I27,$M$2:$M$11)</f>
        <v>0.16550865893152097</v>
      </c>
      <c r="J29" s="21" cm="1">
        <f t="array" ref="J29">_xll.TreynorIndex(J2:J11,J27,$M$2:$M$11)</f>
        <v>1.9257822880708833E-2</v>
      </c>
      <c r="K29" s="21" cm="1">
        <f t="array" ref="K29">_xll.TreynorIndex(K2:K11,K27,$M$2:$M$11)</f>
        <v>6.5476970730925316E-2</v>
      </c>
      <c r="L29" s="21" cm="1">
        <f t="array" ref="L29">_xll.TreynorIndex(L2:L11,L27,$M$2:$M$11)</f>
        <v>6.5437700595033191E-2</v>
      </c>
      <c r="M29" s="21" cm="1">
        <f t="array" ref="M29">_xll.TreynorIndex(M2:M11,M27,$M$2:$M$11)</f>
        <v>0</v>
      </c>
    </row>
    <row r="30" spans="8:13" x14ac:dyDescent="0.25">
      <c r="H30" t="s">
        <v>11</v>
      </c>
      <c r="I30" s="21" cm="1">
        <f t="array" ref="I30">_xll.JensensAlpha(I2:I11,$L$2:$L$11,$M$2:$M$11)</f>
        <v>0.15408274855897586</v>
      </c>
      <c r="J30" s="21" cm="1">
        <f t="array" ref="J30">_xll.JensensAlpha(J2:J11,$L$2:$L$11,$M$2:$M$11)</f>
        <v>-5.190139544964778E-2</v>
      </c>
      <c r="K30" s="21" cm="1">
        <f t="array" ref="K30">_xll.JensensAlpha(K2:K11,$L$2:$L$11,$M$2:$M$11)</f>
        <v>5.394177671140532E-5</v>
      </c>
      <c r="L30" s="21" cm="1">
        <f t="array" ref="L30">_xll.JensensAlpha(L2:L11,$L$2:$L$11,$M$2:$M$11)</f>
        <v>0</v>
      </c>
      <c r="M30" s="21" cm="1">
        <f t="array" ref="M30">_xll.JensensAlpha(M2:M11,$L$2:$L$11,$M$2:$M$11)</f>
        <v>6.8298818687275483E-4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1076-B722-4F8C-ADE7-A0B47C1E1E3C}">
  <dimension ref="A1:F37"/>
  <sheetViews>
    <sheetView workbookViewId="0">
      <selection activeCell="E13" sqref="E13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6.28515625" bestFit="1" customWidth="1"/>
    <col min="4" max="4" width="19" bestFit="1" customWidth="1"/>
    <col min="5" max="5" width="12.7109375" bestFit="1" customWidth="1"/>
    <col min="6" max="6" width="10.7109375" bestFit="1" customWidth="1"/>
  </cols>
  <sheetData>
    <row r="1" spans="1:6" x14ac:dyDescent="0.25">
      <c r="A1" t="s">
        <v>61</v>
      </c>
      <c r="B1" t="s">
        <v>62</v>
      </c>
      <c r="E1" t="s">
        <v>61</v>
      </c>
      <c r="F1" t="s">
        <v>62</v>
      </c>
    </row>
    <row r="2" spans="1:6" x14ac:dyDescent="0.25">
      <c r="A2" s="14">
        <v>3.0000000000000001E-3</v>
      </c>
      <c r="B2" s="14">
        <v>2E-3</v>
      </c>
      <c r="D2" t="s">
        <v>66</v>
      </c>
      <c r="E2" s="21">
        <f>_xlfn.SKEW.P(A2:A37)</f>
        <v>-0.23799512754333593</v>
      </c>
      <c r="F2" s="21">
        <f>_xlfn.SKEW.P(B2:B37)</f>
        <v>-0.36250444107583124</v>
      </c>
    </row>
    <row r="3" spans="1:6" x14ac:dyDescent="0.25">
      <c r="A3" s="14">
        <v>2.6000000000000002E-2</v>
      </c>
      <c r="B3" s="14">
        <v>2.5000000000000001E-2</v>
      </c>
      <c r="D3" t="s">
        <v>66</v>
      </c>
      <c r="E3" s="21" cm="1">
        <f t="array" ref="E3">_xll.Skewness_P(A2:A37)</f>
        <v>-0.23799512754333596</v>
      </c>
      <c r="F3" s="21" cm="1">
        <f t="array" ref="F3">_xll.Skewness_P(B2:B37)</f>
        <v>-0.3625044410758313</v>
      </c>
    </row>
    <row r="4" spans="1:6" x14ac:dyDescent="0.25">
      <c r="A4" s="14">
        <v>1.1000000000000001E-2</v>
      </c>
      <c r="B4" s="14">
        <v>1.8000000000000002E-2</v>
      </c>
    </row>
    <row r="5" spans="1:6" x14ac:dyDescent="0.25">
      <c r="A5" s="14">
        <v>-9.0000000000000011E-3</v>
      </c>
      <c r="B5" s="14">
        <v>-1.1000000000000001E-2</v>
      </c>
      <c r="D5" t="s">
        <v>67</v>
      </c>
      <c r="E5" s="21" cm="1">
        <f t="array" ref="E5">_xll.Kurtosis_P_Excess(A2:A37)</f>
        <v>-2.2361140899221699E-2</v>
      </c>
      <c r="F5" s="21" cm="1">
        <f t="array" ref="F5">_xll.Kurtosis_P_Excess(B2:B37)</f>
        <v>4.4698088448780204E-2</v>
      </c>
    </row>
    <row r="6" spans="1:6" x14ac:dyDescent="0.25">
      <c r="A6" s="14">
        <v>1.3999999999999999E-2</v>
      </c>
      <c r="B6" s="14">
        <v>1.3999999999999999E-2</v>
      </c>
    </row>
    <row r="7" spans="1:6" x14ac:dyDescent="0.25">
      <c r="A7" s="14">
        <v>2.4E-2</v>
      </c>
      <c r="B7" s="14">
        <v>2.3E-2</v>
      </c>
      <c r="D7" t="s">
        <v>46</v>
      </c>
      <c r="E7" s="21">
        <f>COUNT(A2:A37)/6*(E3^2+E5^2/4)</f>
        <v>0.34060011533968482</v>
      </c>
      <c r="F7" s="21">
        <f>COUNT(B2:B37)/6*(F3^2+F5^2/4)</f>
        <v>0.79145369746466754</v>
      </c>
    </row>
    <row r="8" spans="1:6" x14ac:dyDescent="0.25">
      <c r="A8" s="14">
        <v>1.4999999999999999E-2</v>
      </c>
      <c r="B8" s="14">
        <v>1.3999999999999999E-2</v>
      </c>
      <c r="D8" t="s">
        <v>46</v>
      </c>
      <c r="E8" s="21" cm="1">
        <f t="array" ref="E8">_xll.JarqueBeraTest(A2:A37)</f>
        <v>0.34060011533968482</v>
      </c>
      <c r="F8" s="21" cm="1">
        <f t="array" ref="F8">_xll.JarqueBeraTest(B2:B37)</f>
        <v>0.79145369746466754</v>
      </c>
    </row>
    <row r="9" spans="1:6" x14ac:dyDescent="0.25">
      <c r="A9" s="14">
        <v>6.6000000000000003E-2</v>
      </c>
      <c r="B9" s="14">
        <v>6.5000000000000002E-2</v>
      </c>
    </row>
    <row r="10" spans="1:6" x14ac:dyDescent="0.25">
      <c r="A10" s="14">
        <v>-1.3999999999999999E-2</v>
      </c>
      <c r="B10" s="14">
        <v>-1.4999999999999999E-2</v>
      </c>
      <c r="D10" t="s">
        <v>44</v>
      </c>
      <c r="E10" s="21" cm="1">
        <f t="array" ref="E10">_xll.Skewness_S(A2:A37)</f>
        <v>-0.24847026397682553</v>
      </c>
      <c r="F10" s="21" cm="1">
        <f t="array" ref="F10">_xll.Skewness_S(B2:B37)</f>
        <v>-0.37845974031750912</v>
      </c>
    </row>
    <row r="11" spans="1:6" x14ac:dyDescent="0.25">
      <c r="A11" s="14">
        <v>3.9E-2</v>
      </c>
      <c r="B11" s="14">
        <v>4.2000000000000003E-2</v>
      </c>
      <c r="D11" t="s">
        <v>45</v>
      </c>
      <c r="E11" s="21" cm="1">
        <f t="array" ref="E11">_xll.Kurtosis_S(A2:A37)</f>
        <v>3.4367578632223772</v>
      </c>
      <c r="F11" s="21" cm="1">
        <f t="array" ref="F11">_xll.Kurtosis_S(B2:B37)</f>
        <v>3.5141568846177993</v>
      </c>
    </row>
    <row r="12" spans="1:6" x14ac:dyDescent="0.25">
      <c r="A12" s="14">
        <v>-5.0000000000000001E-3</v>
      </c>
      <c r="B12" s="14">
        <v>-3.0000000000000001E-3</v>
      </c>
    </row>
    <row r="13" spans="1:6" x14ac:dyDescent="0.25">
      <c r="A13" s="14">
        <v>8.1000000000000003E-2</v>
      </c>
      <c r="B13" s="14">
        <v>8.3000000000000004E-2</v>
      </c>
    </row>
    <row r="14" spans="1:6" x14ac:dyDescent="0.25">
      <c r="A14" s="14">
        <v>0.04</v>
      </c>
      <c r="B14" s="14">
        <v>3.9E-2</v>
      </c>
    </row>
    <row r="15" spans="1:6" x14ac:dyDescent="0.25">
      <c r="A15" s="14">
        <v>-3.7000000000000005E-2</v>
      </c>
      <c r="B15" s="14">
        <v>-3.7999999999999999E-2</v>
      </c>
    </row>
    <row r="16" spans="1:6" x14ac:dyDescent="0.25">
      <c r="A16" s="14">
        <v>-6.0999999999999999E-2</v>
      </c>
      <c r="B16" s="14">
        <v>-6.2E-2</v>
      </c>
    </row>
    <row r="17" spans="1:2" x14ac:dyDescent="0.25">
      <c r="A17" s="14">
        <v>1.3999999999999999E-2</v>
      </c>
      <c r="B17" s="14">
        <v>1.4999999999999999E-2</v>
      </c>
    </row>
    <row r="18" spans="1:2" x14ac:dyDescent="0.25">
      <c r="A18" s="14">
        <v>-4.9000000000000002E-2</v>
      </c>
      <c r="B18" s="14">
        <v>-4.8000000000000001E-2</v>
      </c>
    </row>
    <row r="19" spans="1:2" x14ac:dyDescent="0.25">
      <c r="A19" s="14">
        <v>-2.1000000000000001E-2</v>
      </c>
      <c r="B19" s="14">
        <v>-0.02</v>
      </c>
    </row>
    <row r="20" spans="1:2" x14ac:dyDescent="0.25">
      <c r="A20" s="14">
        <v>6.2E-2</v>
      </c>
      <c r="B20" s="14">
        <v>0.06</v>
      </c>
    </row>
    <row r="21" spans="1:2" x14ac:dyDescent="0.25">
      <c r="A21" s="14">
        <v>5.7999999999999996E-2</v>
      </c>
      <c r="B21" s="14">
        <v>5.5999999999999994E-2</v>
      </c>
    </row>
    <row r="22" spans="1:2" x14ac:dyDescent="0.25">
      <c r="A22" s="14">
        <v>-6.4000000000000001E-2</v>
      </c>
      <c r="B22" s="14">
        <v>-6.7000000000000004E-2</v>
      </c>
    </row>
    <row r="23" spans="1:2" x14ac:dyDescent="0.25">
      <c r="A23" s="14">
        <v>1.7000000000000001E-2</v>
      </c>
      <c r="B23" s="14">
        <v>1.9E-2</v>
      </c>
    </row>
    <row r="24" spans="1:2" x14ac:dyDescent="0.25">
      <c r="A24" s="14">
        <v>-4.0000000000000001E-3</v>
      </c>
      <c r="B24" s="14">
        <v>-3.0000000000000001E-3</v>
      </c>
    </row>
    <row r="25" spans="1:2" x14ac:dyDescent="0.25">
      <c r="A25" s="14">
        <v>-2E-3</v>
      </c>
      <c r="B25" s="14">
        <v>-1E-3</v>
      </c>
    </row>
    <row r="26" spans="1:2" x14ac:dyDescent="0.25">
      <c r="A26" s="14">
        <v>-2.1000000000000001E-2</v>
      </c>
      <c r="B26" s="14">
        <v>-2.6000000000000002E-2</v>
      </c>
    </row>
    <row r="27" spans="1:2" x14ac:dyDescent="0.25">
      <c r="A27" s="14">
        <v>1.1000000000000001E-2</v>
      </c>
      <c r="B27" s="14">
        <v>6.9999999999999993E-3</v>
      </c>
    </row>
    <row r="28" spans="1:2" x14ac:dyDescent="0.25">
      <c r="A28" s="14">
        <v>4.7E-2</v>
      </c>
      <c r="B28" s="14">
        <v>4.2999999999999997E-2</v>
      </c>
    </row>
    <row r="29" spans="1:2" x14ac:dyDescent="0.25">
      <c r="A29" s="14">
        <v>2.4E-2</v>
      </c>
      <c r="B29" s="14">
        <v>2.8999999999999998E-2</v>
      </c>
    </row>
    <row r="30" spans="1:2" x14ac:dyDescent="0.25">
      <c r="A30" s="14">
        <v>3.3000000000000002E-2</v>
      </c>
      <c r="B30" s="14">
        <v>3.7999999999999999E-2</v>
      </c>
    </row>
    <row r="31" spans="1:2" x14ac:dyDescent="0.25">
      <c r="A31" s="14">
        <v>-6.9999999999999993E-3</v>
      </c>
      <c r="B31" s="14">
        <v>-2E-3</v>
      </c>
    </row>
    <row r="32" spans="1:2" x14ac:dyDescent="0.25">
      <c r="A32" s="14">
        <v>4.7E-2</v>
      </c>
      <c r="B32" s="14">
        <v>5.0999999999999997E-2</v>
      </c>
    </row>
    <row r="33" spans="1:2" x14ac:dyDescent="0.25">
      <c r="A33" s="14">
        <v>6.0000000000000001E-3</v>
      </c>
      <c r="B33" s="14">
        <v>1.3999999999999999E-2</v>
      </c>
    </row>
    <row r="34" spans="1:2" x14ac:dyDescent="0.25">
      <c r="A34" s="14">
        <v>0.01</v>
      </c>
      <c r="B34" s="14">
        <v>1.3000000000000001E-2</v>
      </c>
    </row>
    <row r="35" spans="1:2" x14ac:dyDescent="0.25">
      <c r="A35" s="14">
        <v>-2E-3</v>
      </c>
      <c r="B35" s="14">
        <v>3.0000000000000001E-3</v>
      </c>
    </row>
    <row r="36" spans="1:2" x14ac:dyDescent="0.25">
      <c r="A36" s="14">
        <v>3.4000000000000002E-2</v>
      </c>
      <c r="B36" s="14">
        <v>3.4000000000000002E-2</v>
      </c>
    </row>
    <row r="37" spans="1:2" x14ac:dyDescent="0.25">
      <c r="A37" s="14">
        <v>0.01</v>
      </c>
      <c r="B37" s="14">
        <v>2.1000000000000001E-2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EC79-C9E3-4E9F-9D8B-C1C9DE78CC72}">
  <dimension ref="A1:I37"/>
  <sheetViews>
    <sheetView tabSelected="1" workbookViewId="0">
      <selection activeCell="H14" sqref="H14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5" width="17.28515625" customWidth="1"/>
    <col min="7" max="7" width="18.7109375" bestFit="1" customWidth="1"/>
    <col min="8" max="9" width="11.7109375" customWidth="1"/>
  </cols>
  <sheetData>
    <row r="1" spans="1:9" x14ac:dyDescent="0.25">
      <c r="A1" t="s">
        <v>53</v>
      </c>
      <c r="B1" t="s">
        <v>54</v>
      </c>
      <c r="D1" t="s">
        <v>57</v>
      </c>
      <c r="E1" t="s">
        <v>58</v>
      </c>
      <c r="H1" t="s">
        <v>61</v>
      </c>
      <c r="I1" t="s">
        <v>62</v>
      </c>
    </row>
    <row r="2" spans="1:9" x14ac:dyDescent="0.25">
      <c r="A2" s="33">
        <v>3.0000000000000001E-3</v>
      </c>
      <c r="B2" s="33">
        <v>2E-3</v>
      </c>
      <c r="C2" s="33"/>
      <c r="D2" s="14">
        <f>A2-H$2</f>
        <v>-8.0000000000000002E-3</v>
      </c>
      <c r="E2" s="14">
        <f>B2-I$2</f>
        <v>-1.0000000000000002E-2</v>
      </c>
      <c r="G2" t="s">
        <v>2</v>
      </c>
      <c r="H2" s="26">
        <f>AVERAGE(A2:A37)</f>
        <v>1.1000000000000001E-2</v>
      </c>
      <c r="I2" s="26">
        <f>AVERAGE(B2:B37)</f>
        <v>1.2000000000000002E-2</v>
      </c>
    </row>
    <row r="3" spans="1:9" x14ac:dyDescent="0.25">
      <c r="A3" s="33">
        <v>2.6000000000000002E-2</v>
      </c>
      <c r="B3" s="33">
        <v>2.5000000000000001E-2</v>
      </c>
      <c r="C3" s="33"/>
      <c r="D3" s="14">
        <f>D2+A3-H$2</f>
        <v>7.000000000000001E-3</v>
      </c>
      <c r="E3" s="14">
        <f>E2+B3-I$2</f>
        <v>2.9999999999999975E-3</v>
      </c>
      <c r="G3" t="s">
        <v>3</v>
      </c>
      <c r="H3" s="14">
        <f>_xlfn.STDEV.P(A2:A37)</f>
        <v>3.3173784830796742E-2</v>
      </c>
      <c r="I3" s="14">
        <f>_xlfn.STDEV.P(B2:B37)</f>
        <v>3.3620430296671298E-2</v>
      </c>
    </row>
    <row r="4" spans="1:9" x14ac:dyDescent="0.25">
      <c r="A4" s="33">
        <v>1.1000000000000001E-2</v>
      </c>
      <c r="B4" s="33">
        <v>1.8000000000000002E-2</v>
      </c>
      <c r="C4" s="33"/>
      <c r="D4" s="14">
        <f t="shared" ref="D4:D37" si="0">D3+A4-H$2</f>
        <v>7.000000000000001E-3</v>
      </c>
      <c r="E4" s="14">
        <f t="shared" ref="E4:E37" si="1">E3+B4-I$2</f>
        <v>8.9999999999999959E-3</v>
      </c>
      <c r="G4" t="s">
        <v>56</v>
      </c>
      <c r="H4" s="26">
        <f>MAX(D2:D37)</f>
        <v>0.14799999999999999</v>
      </c>
      <c r="I4" s="26">
        <f>MAX(E2:E37)</f>
        <v>0.13999999999999996</v>
      </c>
    </row>
    <row r="5" spans="1:9" x14ac:dyDescent="0.25">
      <c r="A5" s="33">
        <v>-9.0000000000000011E-3</v>
      </c>
      <c r="B5" s="33">
        <v>-1.1000000000000001E-2</v>
      </c>
      <c r="C5" s="33"/>
      <c r="D5" s="14">
        <f t="shared" si="0"/>
        <v>-1.3000000000000001E-2</v>
      </c>
      <c r="E5" s="14">
        <f t="shared" si="1"/>
        <v>-1.4000000000000007E-2</v>
      </c>
      <c r="G5" t="s">
        <v>59</v>
      </c>
      <c r="H5" s="26">
        <f>MIN(D2:D37)</f>
        <v>-9.200000000000004E-2</v>
      </c>
      <c r="I5" s="26">
        <f>MIN(E2:E37)</f>
        <v>-0.1240000000000001</v>
      </c>
    </row>
    <row r="6" spans="1:9" x14ac:dyDescent="0.25">
      <c r="A6" s="33">
        <v>1.3999999999999999E-2</v>
      </c>
      <c r="B6" s="33">
        <v>1.3999999999999999E-2</v>
      </c>
      <c r="C6" s="33"/>
      <c r="D6" s="14">
        <f t="shared" si="0"/>
        <v>-1.0000000000000004E-2</v>
      </c>
      <c r="E6" s="14">
        <f t="shared" si="1"/>
        <v>-1.2000000000000011E-2</v>
      </c>
      <c r="G6" t="s">
        <v>55</v>
      </c>
      <c r="H6" s="21">
        <f>LOG10((H4-H5)/H3)/LOG10(COUNT(A2:A37))</f>
        <v>0.55221669170563814</v>
      </c>
      <c r="I6" s="21">
        <f>LOG10((I4-I5)/I3)/LOG10(COUNT(B2:B37))</f>
        <v>0.57508142465835954</v>
      </c>
    </row>
    <row r="7" spans="1:9" x14ac:dyDescent="0.25">
      <c r="A7" s="33">
        <v>2.4E-2</v>
      </c>
      <c r="B7" s="33">
        <v>2.3E-2</v>
      </c>
      <c r="C7" s="33"/>
      <c r="D7" s="14">
        <f t="shared" si="0"/>
        <v>2.9999999999999957E-3</v>
      </c>
      <c r="E7" s="14">
        <f t="shared" si="1"/>
        <v>-1.000000000000013E-3</v>
      </c>
      <c r="G7" t="s">
        <v>55</v>
      </c>
      <c r="H7" s="21" cm="1">
        <f t="array" ref="H7">_xll.HurstExponent(A2:A37)</f>
        <v>0.55221669170563814</v>
      </c>
      <c r="I7" s="21" cm="1">
        <f t="array" ref="I7">_xll.HurstExponent(B2:B37)</f>
        <v>0.57508142465835954</v>
      </c>
    </row>
    <row r="8" spans="1:9" x14ac:dyDescent="0.25">
      <c r="A8" s="33">
        <v>1.4999999999999999E-2</v>
      </c>
      <c r="B8" s="33">
        <v>1.3999999999999999E-2</v>
      </c>
      <c r="C8" s="33"/>
      <c r="D8" s="14">
        <f t="shared" si="0"/>
        <v>6.9999999999999941E-3</v>
      </c>
      <c r="E8" s="14">
        <f t="shared" si="1"/>
        <v>9.9999999999998354E-4</v>
      </c>
    </row>
    <row r="9" spans="1:9" x14ac:dyDescent="0.25">
      <c r="A9" s="33">
        <v>6.6000000000000003E-2</v>
      </c>
      <c r="B9" s="33">
        <v>6.5000000000000002E-2</v>
      </c>
      <c r="C9" s="33"/>
      <c r="D9" s="14">
        <f t="shared" si="0"/>
        <v>6.1999999999999993E-2</v>
      </c>
      <c r="E9" s="14">
        <f t="shared" si="1"/>
        <v>5.3999999999999986E-2</v>
      </c>
      <c r="H9" t="s">
        <v>61</v>
      </c>
      <c r="I9" t="s">
        <v>62</v>
      </c>
    </row>
    <row r="10" spans="1:9" x14ac:dyDescent="0.25">
      <c r="A10" s="33">
        <v>-1.3999999999999999E-2</v>
      </c>
      <c r="B10" s="33">
        <v>-1.4999999999999999E-2</v>
      </c>
      <c r="C10" s="33"/>
      <c r="D10" s="14">
        <f t="shared" si="0"/>
        <v>3.6999999999999991E-2</v>
      </c>
      <c r="E10" s="14">
        <f t="shared" si="1"/>
        <v>2.6999999999999982E-2</v>
      </c>
      <c r="G10" t="s">
        <v>63</v>
      </c>
      <c r="H10" s="35">
        <v>1</v>
      </c>
      <c r="I10" s="35">
        <f>H10</f>
        <v>1</v>
      </c>
    </row>
    <row r="11" spans="1:9" x14ac:dyDescent="0.25">
      <c r="A11" s="33">
        <v>3.9E-2</v>
      </c>
      <c r="B11" s="33">
        <v>4.2000000000000003E-2</v>
      </c>
      <c r="C11" s="33"/>
      <c r="D11" s="14">
        <f t="shared" si="0"/>
        <v>6.4999999999999988E-2</v>
      </c>
      <c r="E11" s="14">
        <f t="shared" si="1"/>
        <v>5.6999999999999974E-2</v>
      </c>
      <c r="G11" t="s">
        <v>64</v>
      </c>
      <c r="H11" s="34" cm="1">
        <f t="array" ref="H11">SUM((A2:A37&gt;=0)*(A2:A37&lt;=H3))</f>
        <v>14</v>
      </c>
      <c r="I11" s="34" cm="1">
        <f t="array" ref="I11">SUM((B2:B37&gt;=0)*(B2:B37&lt;=I3))</f>
        <v>14</v>
      </c>
    </row>
    <row r="12" spans="1:9" x14ac:dyDescent="0.25">
      <c r="A12" s="33">
        <v>-5.0000000000000001E-3</v>
      </c>
      <c r="B12" s="33">
        <v>-3.0000000000000001E-3</v>
      </c>
      <c r="C12" s="33"/>
      <c r="D12" s="14">
        <f t="shared" si="0"/>
        <v>4.8999999999999988E-2</v>
      </c>
      <c r="E12" s="14">
        <f t="shared" si="1"/>
        <v>4.1999999999999968E-2</v>
      </c>
      <c r="G12" t="s">
        <v>65</v>
      </c>
      <c r="H12" s="34" cm="1">
        <f t="array" ref="H12">SUM((A2:A37&lt;0)*(A2:A37&gt;=-H3))</f>
        <v>9</v>
      </c>
      <c r="I12" s="34" cm="1">
        <f t="array" ref="I12">SUM((B2:B37&lt;0)*(B2:B37&gt;=-I3))</f>
        <v>8</v>
      </c>
    </row>
    <row r="13" spans="1:9" x14ac:dyDescent="0.25">
      <c r="A13" s="33">
        <v>8.1000000000000003E-2</v>
      </c>
      <c r="B13" s="33">
        <v>8.3000000000000004E-2</v>
      </c>
      <c r="C13" s="33"/>
      <c r="D13" s="14">
        <f t="shared" si="0"/>
        <v>0.11900000000000001</v>
      </c>
      <c r="E13" s="14">
        <f t="shared" si="1"/>
        <v>0.11299999999999998</v>
      </c>
      <c r="G13" t="s">
        <v>60</v>
      </c>
      <c r="H13" s="28" cm="1">
        <f t="array" ref="H13">SUM((A2:A37&gt;=0)*(A2:A37&lt;=H3*H10))/(1+SUM((A2:A37&lt;0)*(A2:A37&gt;=-H3*H10)))</f>
        <v>1.4</v>
      </c>
      <c r="I13" s="28" cm="1">
        <f t="array" ref="I13">SUM((B2:B37&gt;=0)*(B2:B37&lt;=I3*I10))/(1+SUM((B2:B37&lt;0)*(B2:B37&gt;=-I3*I10)))</f>
        <v>1.5555555555555556</v>
      </c>
    </row>
    <row r="14" spans="1:9" x14ac:dyDescent="0.25">
      <c r="A14" s="33">
        <v>0.04</v>
      </c>
      <c r="B14" s="33">
        <v>3.9E-2</v>
      </c>
      <c r="C14" s="33"/>
      <c r="D14" s="14">
        <f t="shared" si="0"/>
        <v>0.14799999999999999</v>
      </c>
      <c r="E14" s="14">
        <f t="shared" si="1"/>
        <v>0.13999999999999996</v>
      </c>
      <c r="G14" t="s">
        <v>60</v>
      </c>
      <c r="H14" s="28" cm="1">
        <f t="array" ref="H14">_xll.BiasRatio(A2:A37,H10)</f>
        <v>1.4</v>
      </c>
      <c r="I14" s="28" cm="1">
        <f t="array" ref="I14">_xll.BiasRatio(B2:B37,I10)</f>
        <v>1.5555555555555556</v>
      </c>
    </row>
    <row r="15" spans="1:9" x14ac:dyDescent="0.25">
      <c r="A15" s="33">
        <v>-3.7000000000000005E-2</v>
      </c>
      <c r="B15" s="33">
        <v>-3.7999999999999999E-2</v>
      </c>
      <c r="C15" s="33"/>
      <c r="D15" s="14">
        <f t="shared" si="0"/>
        <v>9.9999999999999992E-2</v>
      </c>
      <c r="E15" s="14">
        <f t="shared" si="1"/>
        <v>8.9999999999999955E-2</v>
      </c>
    </row>
    <row r="16" spans="1:9" x14ac:dyDescent="0.25">
      <c r="A16" s="33">
        <v>-6.0999999999999999E-2</v>
      </c>
      <c r="B16" s="33">
        <v>-6.2E-2</v>
      </c>
      <c r="C16" s="33"/>
      <c r="D16" s="14">
        <f t="shared" si="0"/>
        <v>2.799999999999999E-2</v>
      </c>
      <c r="E16" s="14">
        <f t="shared" si="1"/>
        <v>1.5999999999999952E-2</v>
      </c>
    </row>
    <row r="17" spans="1:5" x14ac:dyDescent="0.25">
      <c r="A17" s="33">
        <v>1.3999999999999999E-2</v>
      </c>
      <c r="B17" s="33">
        <v>1.4999999999999999E-2</v>
      </c>
      <c r="C17" s="33"/>
      <c r="D17" s="14">
        <f t="shared" si="0"/>
        <v>3.0999999999999986E-2</v>
      </c>
      <c r="E17" s="14">
        <f t="shared" si="1"/>
        <v>1.8999999999999947E-2</v>
      </c>
    </row>
    <row r="18" spans="1:5" x14ac:dyDescent="0.25">
      <c r="A18" s="33">
        <v>-4.9000000000000002E-2</v>
      </c>
      <c r="B18" s="33">
        <v>-4.8000000000000001E-2</v>
      </c>
      <c r="C18" s="33"/>
      <c r="D18" s="14">
        <f t="shared" si="0"/>
        <v>-2.9000000000000019E-2</v>
      </c>
      <c r="E18" s="14">
        <f t="shared" si="1"/>
        <v>-4.1000000000000057E-2</v>
      </c>
    </row>
    <row r="19" spans="1:5" x14ac:dyDescent="0.25">
      <c r="A19" s="33">
        <v>-2.1000000000000001E-2</v>
      </c>
      <c r="B19" s="33">
        <v>-0.02</v>
      </c>
      <c r="C19" s="33"/>
      <c r="D19" s="14">
        <f t="shared" si="0"/>
        <v>-6.1000000000000019E-2</v>
      </c>
      <c r="E19" s="14">
        <f t="shared" si="1"/>
        <v>-7.3000000000000051E-2</v>
      </c>
    </row>
    <row r="20" spans="1:5" x14ac:dyDescent="0.25">
      <c r="A20" s="33">
        <v>6.2E-2</v>
      </c>
      <c r="B20" s="33">
        <v>0.06</v>
      </c>
      <c r="C20" s="33"/>
      <c r="D20" s="14">
        <f t="shared" si="0"/>
        <v>-1.0000000000000021E-2</v>
      </c>
      <c r="E20" s="14">
        <f t="shared" si="1"/>
        <v>-2.5000000000000057E-2</v>
      </c>
    </row>
    <row r="21" spans="1:5" x14ac:dyDescent="0.25">
      <c r="A21" s="33">
        <v>5.7999999999999996E-2</v>
      </c>
      <c r="B21" s="33">
        <v>5.5999999999999994E-2</v>
      </c>
      <c r="C21" s="33"/>
      <c r="D21" s="14">
        <f t="shared" si="0"/>
        <v>3.699999999999997E-2</v>
      </c>
      <c r="E21" s="14">
        <f t="shared" si="1"/>
        <v>1.8999999999999934E-2</v>
      </c>
    </row>
    <row r="22" spans="1:5" x14ac:dyDescent="0.25">
      <c r="A22" s="33">
        <v>-6.4000000000000001E-2</v>
      </c>
      <c r="B22" s="33">
        <v>-6.7000000000000004E-2</v>
      </c>
      <c r="C22" s="33"/>
      <c r="D22" s="14">
        <f t="shared" si="0"/>
        <v>-3.8000000000000034E-2</v>
      </c>
      <c r="E22" s="14">
        <f t="shared" si="1"/>
        <v>-6.0000000000000074E-2</v>
      </c>
    </row>
    <row r="23" spans="1:5" x14ac:dyDescent="0.25">
      <c r="A23" s="33">
        <v>1.7000000000000001E-2</v>
      </c>
      <c r="B23" s="33">
        <v>1.9E-2</v>
      </c>
      <c r="C23" s="33"/>
      <c r="D23" s="14">
        <f t="shared" si="0"/>
        <v>-3.2000000000000035E-2</v>
      </c>
      <c r="E23" s="14">
        <f t="shared" si="1"/>
        <v>-5.3000000000000082E-2</v>
      </c>
    </row>
    <row r="24" spans="1:5" x14ac:dyDescent="0.25">
      <c r="A24" s="33">
        <v>-4.0000000000000001E-3</v>
      </c>
      <c r="B24" s="33">
        <v>-3.0000000000000001E-3</v>
      </c>
      <c r="C24" s="33"/>
      <c r="D24" s="14">
        <f t="shared" si="0"/>
        <v>-4.7000000000000035E-2</v>
      </c>
      <c r="E24" s="14">
        <f t="shared" si="1"/>
        <v>-6.8000000000000088E-2</v>
      </c>
    </row>
    <row r="25" spans="1:5" x14ac:dyDescent="0.25">
      <c r="A25" s="33">
        <v>-2E-3</v>
      </c>
      <c r="B25" s="33">
        <v>-1E-3</v>
      </c>
      <c r="C25" s="33"/>
      <c r="D25" s="14">
        <f t="shared" si="0"/>
        <v>-6.0000000000000039E-2</v>
      </c>
      <c r="E25" s="14">
        <f t="shared" si="1"/>
        <v>-8.1000000000000086E-2</v>
      </c>
    </row>
    <row r="26" spans="1:5" x14ac:dyDescent="0.25">
      <c r="A26" s="33">
        <v>-2.1000000000000001E-2</v>
      </c>
      <c r="B26" s="33">
        <v>-2.6000000000000002E-2</v>
      </c>
      <c r="C26" s="33"/>
      <c r="D26" s="14">
        <f t="shared" si="0"/>
        <v>-9.200000000000004E-2</v>
      </c>
      <c r="E26" s="14">
        <f t="shared" si="1"/>
        <v>-0.11900000000000009</v>
      </c>
    </row>
    <row r="27" spans="1:5" x14ac:dyDescent="0.25">
      <c r="A27" s="33">
        <v>1.1000000000000001E-2</v>
      </c>
      <c r="B27" s="33">
        <v>6.9999999999999993E-3</v>
      </c>
      <c r="C27" s="33"/>
      <c r="D27" s="14">
        <f t="shared" si="0"/>
        <v>-9.200000000000004E-2</v>
      </c>
      <c r="E27" s="14">
        <f t="shared" si="1"/>
        <v>-0.1240000000000001</v>
      </c>
    </row>
    <row r="28" spans="1:5" x14ac:dyDescent="0.25">
      <c r="A28" s="33">
        <v>4.7E-2</v>
      </c>
      <c r="B28" s="33">
        <v>4.2999999999999997E-2</v>
      </c>
      <c r="C28" s="33"/>
      <c r="D28" s="14">
        <f t="shared" si="0"/>
        <v>-5.6000000000000043E-2</v>
      </c>
      <c r="E28" s="14">
        <f t="shared" si="1"/>
        <v>-9.3000000000000096E-2</v>
      </c>
    </row>
    <row r="29" spans="1:5" x14ac:dyDescent="0.25">
      <c r="A29" s="33">
        <v>2.4E-2</v>
      </c>
      <c r="B29" s="33">
        <v>2.8999999999999998E-2</v>
      </c>
      <c r="C29" s="33"/>
      <c r="D29" s="14">
        <f t="shared" si="0"/>
        <v>-4.3000000000000045E-2</v>
      </c>
      <c r="E29" s="14">
        <f t="shared" si="1"/>
        <v>-7.6000000000000095E-2</v>
      </c>
    </row>
    <row r="30" spans="1:5" x14ac:dyDescent="0.25">
      <c r="A30" s="33">
        <v>3.3000000000000002E-2</v>
      </c>
      <c r="B30" s="33">
        <v>3.7999999999999999E-2</v>
      </c>
      <c r="C30" s="33"/>
      <c r="D30" s="14">
        <f t="shared" si="0"/>
        <v>-2.1000000000000046E-2</v>
      </c>
      <c r="E30" s="14">
        <f t="shared" si="1"/>
        <v>-5.00000000000001E-2</v>
      </c>
    </row>
    <row r="31" spans="1:5" x14ac:dyDescent="0.25">
      <c r="A31" s="33">
        <v>-6.9999999999999993E-3</v>
      </c>
      <c r="B31" s="33">
        <v>-2E-3</v>
      </c>
      <c r="C31" s="33"/>
      <c r="D31" s="14">
        <f t="shared" si="0"/>
        <v>-3.9000000000000049E-2</v>
      </c>
      <c r="E31" s="14">
        <f t="shared" si="1"/>
        <v>-6.4000000000000098E-2</v>
      </c>
    </row>
    <row r="32" spans="1:5" x14ac:dyDescent="0.25">
      <c r="A32" s="33">
        <v>4.7E-2</v>
      </c>
      <c r="B32" s="33">
        <v>5.0999999999999997E-2</v>
      </c>
      <c r="C32" s="33"/>
      <c r="D32" s="14">
        <f t="shared" si="0"/>
        <v>-3.0000000000000495E-3</v>
      </c>
      <c r="E32" s="14">
        <f t="shared" si="1"/>
        <v>-2.5000000000000105E-2</v>
      </c>
    </row>
    <row r="33" spans="1:5" x14ac:dyDescent="0.25">
      <c r="A33" s="33">
        <v>6.0000000000000001E-3</v>
      </c>
      <c r="B33" s="33">
        <v>1.3999999999999999E-2</v>
      </c>
      <c r="C33" s="33"/>
      <c r="D33" s="14">
        <f t="shared" si="0"/>
        <v>-8.0000000000000505E-3</v>
      </c>
      <c r="E33" s="14">
        <f t="shared" si="1"/>
        <v>-2.3000000000000111E-2</v>
      </c>
    </row>
    <row r="34" spans="1:5" x14ac:dyDescent="0.25">
      <c r="A34" s="33">
        <v>0.01</v>
      </c>
      <c r="B34" s="33">
        <v>1.3000000000000001E-2</v>
      </c>
      <c r="C34" s="33"/>
      <c r="D34" s="14">
        <f t="shared" si="0"/>
        <v>-9.0000000000000514E-3</v>
      </c>
      <c r="E34" s="14">
        <f t="shared" si="1"/>
        <v>-2.200000000000011E-2</v>
      </c>
    </row>
    <row r="35" spans="1:5" x14ac:dyDescent="0.25">
      <c r="A35" s="33">
        <v>-2E-3</v>
      </c>
      <c r="B35" s="33">
        <v>3.0000000000000001E-3</v>
      </c>
      <c r="C35" s="33"/>
      <c r="D35" s="14">
        <f t="shared" si="0"/>
        <v>-2.2000000000000054E-2</v>
      </c>
      <c r="E35" s="14">
        <f t="shared" si="1"/>
        <v>-3.1000000000000111E-2</v>
      </c>
    </row>
    <row r="36" spans="1:5" x14ac:dyDescent="0.25">
      <c r="A36" s="33">
        <v>3.4000000000000002E-2</v>
      </c>
      <c r="B36" s="33">
        <v>3.4000000000000002E-2</v>
      </c>
      <c r="C36" s="33"/>
      <c r="D36" s="14">
        <f t="shared" si="0"/>
        <v>9.9999999999994711E-4</v>
      </c>
      <c r="E36" s="14">
        <f t="shared" si="1"/>
        <v>-9.0000000000001103E-3</v>
      </c>
    </row>
    <row r="37" spans="1:5" x14ac:dyDescent="0.25">
      <c r="A37" s="33">
        <v>0.01</v>
      </c>
      <c r="B37" s="33">
        <v>2.1000000000000001E-2</v>
      </c>
      <c r="C37" s="33"/>
      <c r="D37" s="14">
        <f t="shared" si="0"/>
        <v>-5.377642775528102E-17</v>
      </c>
      <c r="E37" s="14">
        <f t="shared" si="1"/>
        <v>-1.1102230246251565E-16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Table 2.4 and 2.5</vt:lpstr>
      <vt:lpstr>Tables 2.7, 2.8, and 2.9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R. Mayes, Ph.D.</dc:creator>
  <cp:lastModifiedBy>Timothy R. Mayes, Ph.D.</cp:lastModifiedBy>
  <dcterms:created xsi:type="dcterms:W3CDTF">2019-12-15T23:32:54Z</dcterms:created>
  <dcterms:modified xsi:type="dcterms:W3CDTF">2020-01-02T20:08:30Z</dcterms:modified>
</cp:coreProperties>
</file>