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120" tabRatio="500" firstSheet="0" activeTab="0" autoFilterDateGrouping="1"/>
  </bookViews>
  <sheets>
    <sheet xmlns:r="http://schemas.openxmlformats.org/officeDocument/2006/relationships" name="Sourcing" sheetId="1" state="visible" r:id="rId1"/>
    <sheet xmlns:r="http://schemas.openxmlformats.org/officeDocument/2006/relationships" name="Data" sheetId="2" state="visible" r:id="rId2"/>
    <sheet xmlns:r="http://schemas.openxmlformats.org/officeDocument/2006/relationships" name="Keepa" sheetId="3" state="visible" r:id="rId3"/>
  </sheets>
  <definedNames/>
  <calcPr calcId="191029" fullCalcOnLoad="1"/>
</workbook>
</file>

<file path=xl/styles.xml><?xml version="1.0" encoding="utf-8"?>
<styleSheet xmlns="http://schemas.openxmlformats.org/spreadsheetml/2006/main">
  <numFmts count="5">
    <numFmt numFmtId="164" formatCode="\$#,##0.00"/>
    <numFmt numFmtId="165" formatCode="#"/>
    <numFmt numFmtId="166" formatCode="#.00\ [$$-409];\-#.##0\ [$$-409]"/>
    <numFmt numFmtId="167" formatCode="0\ %"/>
    <numFmt numFmtId="168" formatCode="0.##"/>
  </numFmts>
  <fonts count="9">
    <font>
      <name val="Calibri"/>
      <charset val="1"/>
      <color theme="1"/>
      <sz val="11"/>
    </font>
    <font>
      <name val="Calibri"/>
      <charset val="1"/>
      <family val="2"/>
      <color rgb="FF000000"/>
      <sz val="11"/>
    </font>
    <font>
      <name val="Calibri"/>
      <charset val="1"/>
      <family val="2"/>
      <b val="1"/>
      <color theme="1"/>
      <sz val="11"/>
    </font>
    <font>
      <name val="Calibri"/>
      <charset val="1"/>
      <family val="2"/>
      <b val="1"/>
      <color theme="4"/>
      <sz val="11"/>
    </font>
    <font>
      <name val="Calibri"/>
      <charset val="1"/>
      <family val="2"/>
      <color theme="1"/>
      <sz val="11"/>
    </font>
    <font>
      <name val="Calibri"/>
      <charset val="1"/>
      <family val="2"/>
      <color theme="10"/>
      <sz val="11"/>
      <u val="single"/>
    </font>
    <font>
      <name val="Calibri"/>
      <charset val="1"/>
      <family val="2"/>
      <color rgb="FF0000FF"/>
      <sz val="11"/>
    </font>
    <font>
      <name val="Calibri"/>
      <charset val="1"/>
      <family val="2"/>
      <b val="1"/>
      <sz val="11"/>
    </font>
    <font>
      <name val="Calibri"/>
      <charset val="1"/>
      <family val="2"/>
      <color theme="4"/>
      <sz val="11"/>
    </font>
  </fonts>
  <fills count="3">
    <fill>
      <patternFill/>
    </fill>
    <fill>
      <patternFill patternType="gray125"/>
    </fill>
    <fill>
      <patternFill patternType="solid">
        <fgColor theme="0"/>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1" fillId="0" borderId="0"/>
  </cellStyleXfs>
  <cellXfs count="45">
    <xf numFmtId="0" fontId="0" fillId="0" borderId="0" pivotButton="0" quotePrefix="0" xfId="0"/>
    <xf numFmtId="0" fontId="0" fillId="0" borderId="1" applyAlignment="1" pivotButton="0" quotePrefix="0" xfId="0">
      <alignment horizontal="center" vertical="center"/>
    </xf>
    <xf numFmtId="0" fontId="0" fillId="0" borderId="1" applyAlignment="1" pivotButton="0" quotePrefix="0" xfId="0">
      <alignment horizontal="center" vertical="center" wrapText="1"/>
    </xf>
    <xf numFmtId="4" fontId="0" fillId="0" borderId="1" applyAlignment="1" pivotButton="0" quotePrefix="0" xfId="0">
      <alignment horizontal="center" vertical="center"/>
    </xf>
    <xf numFmtId="164" fontId="0" fillId="0" borderId="1" applyAlignment="1" pivotButton="0" quotePrefix="0" xfId="0">
      <alignment horizontal="center" vertical="center"/>
    </xf>
    <xf numFmtId="10" fontId="0" fillId="0" borderId="1" applyAlignment="1" pivotButton="0" quotePrefix="0" xfId="0">
      <alignment horizontal="center" vertical="center"/>
    </xf>
    <xf numFmtId="2" fontId="0" fillId="0" borderId="1" applyAlignment="1" pivotButton="0" quotePrefix="0" xfId="0">
      <alignment horizontal="center" vertical="center"/>
    </xf>
    <xf numFmtId="1" fontId="0" fillId="0" borderId="1" applyAlignment="1" pivotButton="0" quotePrefix="0" xfId="0">
      <alignment horizontal="center" vertical="center"/>
    </xf>
    <xf numFmtId="0" fontId="0" fillId="0" borderId="1" pivotButton="0" quotePrefix="0" xfId="0"/>
    <xf numFmtId="1" fontId="2" fillId="0" borderId="1" applyAlignment="1" pivotButton="0" quotePrefix="0" xfId="0">
      <alignment horizontal="center" vertical="top"/>
    </xf>
    <xf numFmtId="0" fontId="2" fillId="0" borderId="1" applyAlignment="1" pivotButton="0" quotePrefix="0" xfId="0">
      <alignment horizontal="center" vertical="top"/>
    </xf>
    <xf numFmtId="49" fontId="3" fillId="2" borderId="1" applyAlignment="1" pivotButton="0" quotePrefix="0" xfId="0">
      <alignment horizontal="center" vertical="top"/>
    </xf>
    <xf numFmtId="0" fontId="2" fillId="0" borderId="1" applyAlignment="1" pivotButton="0" quotePrefix="0" xfId="0">
      <alignment horizontal="center" vertical="top" wrapText="1"/>
    </xf>
    <xf numFmtId="4" fontId="2" fillId="0" borderId="1" applyAlignment="1" pivotButton="0" quotePrefix="0" xfId="0">
      <alignment horizontal="center" vertical="top"/>
    </xf>
    <xf numFmtId="164" fontId="2" fillId="0" borderId="1" applyAlignment="1" pivotButton="0" quotePrefix="0" xfId="0">
      <alignment horizontal="center" vertical="top"/>
    </xf>
    <xf numFmtId="10" fontId="2" fillId="0" borderId="1" applyAlignment="1" pivotButton="0" quotePrefix="0" xfId="0">
      <alignment horizontal="center" vertical="top"/>
    </xf>
    <xf numFmtId="2" fontId="2" fillId="0" borderId="1" applyAlignment="1" pivotButton="0" quotePrefix="0" xfId="0">
      <alignment horizontal="center" vertical="top"/>
    </xf>
    <xf numFmtId="0" fontId="0" fillId="0" borderId="1" applyAlignment="1" pivotButton="0" quotePrefix="0" xfId="0">
      <alignment vertical="top"/>
    </xf>
    <xf numFmtId="1" fontId="4" fillId="0" borderId="1" applyAlignment="1" pivotButton="0" quotePrefix="0" xfId="0">
      <alignment horizontal="center" vertical="center"/>
    </xf>
    <xf numFmtId="0" fontId="5" fillId="0" borderId="1" applyAlignment="1" pivotButton="0" quotePrefix="0" xfId="1">
      <alignment horizontal="center" vertical="center"/>
    </xf>
    <xf numFmtId="165" fontId="0" fillId="0" borderId="1" applyAlignment="1" pivotButton="0" quotePrefix="0" xfId="0">
      <alignment horizontal="center" vertical="center"/>
    </xf>
    <xf numFmtId="0" fontId="4" fillId="0" borderId="1" applyAlignment="1" pivotButton="0" quotePrefix="0" xfId="0">
      <alignment horizontal="center" vertical="center" wrapText="1"/>
    </xf>
    <xf numFmtId="0" fontId="5" fillId="0" borderId="1" applyAlignment="1" pivotButton="0" quotePrefix="0" xfId="1">
      <alignment horizontal="center" vertical="center" wrapText="1"/>
    </xf>
    <xf numFmtId="0" fontId="4" fillId="0" borderId="1" applyAlignment="1" pivotButton="0" quotePrefix="0" xfId="0">
      <alignment horizontal="center" vertical="center"/>
    </xf>
    <xf numFmtId="164" fontId="4" fillId="0" borderId="1" applyAlignment="1" pivotButton="0" quotePrefix="0" xfId="0">
      <alignment horizontal="center" vertical="center"/>
    </xf>
    <xf numFmtId="10" fontId="4" fillId="0" borderId="1" applyAlignment="1" pivotButton="0" quotePrefix="0" xfId="0">
      <alignment horizontal="center" vertical="center"/>
    </xf>
    <xf numFmtId="2" fontId="4" fillId="0" borderId="1" applyAlignment="1" pivotButton="0" quotePrefix="0" xfId="0">
      <alignment horizontal="center" vertical="center"/>
    </xf>
    <xf numFmtId="165" fontId="4" fillId="0" borderId="1" applyAlignment="1" pivotButton="0" quotePrefix="0" xfId="0">
      <alignment horizontal="center" vertical="center"/>
    </xf>
    <xf numFmtId="0" fontId="6" fillId="0" borderId="0" applyAlignment="1" pivotButton="0" quotePrefix="0" xfId="0">
      <alignment horizontal="center" vertical="top" wrapText="1"/>
    </xf>
    <xf numFmtId="0" fontId="0" fillId="0" borderId="0" applyAlignment="1" pivotButton="0" quotePrefix="0" xfId="0">
      <alignment horizontal="center" vertical="top" wrapText="1"/>
    </xf>
    <xf numFmtId="165" fontId="0" fillId="0" borderId="0" applyAlignment="1" pivotButton="0" quotePrefix="0" xfId="0">
      <alignment horizontal="center" vertical="center"/>
    </xf>
    <xf numFmtId="166" fontId="0" fillId="0" borderId="0" applyAlignment="1" pivotButton="0" quotePrefix="0" xfId="0">
      <alignment horizontal="center" vertical="center"/>
    </xf>
    <xf numFmtId="167" fontId="0" fillId="0" borderId="0" applyAlignment="1" pivotButton="0" quotePrefix="0" xfId="0">
      <alignment horizontal="center" vertical="center"/>
    </xf>
    <xf numFmtId="168" fontId="0" fillId="0" borderId="0" applyAlignment="1" pivotButton="0" quotePrefix="0" xfId="0">
      <alignment horizontal="center" vertical="center"/>
    </xf>
    <xf numFmtId="0" fontId="7" fillId="0" borderId="1" applyAlignment="1" pivotButton="0" quotePrefix="0" xfId="0">
      <alignment horizontal="center" vertical="center"/>
    </xf>
    <xf numFmtId="0" fontId="8" fillId="2" borderId="0" pivotButton="0" quotePrefix="0" xfId="0"/>
    <xf numFmtId="1" fontId="2" fillId="0" borderId="1" applyAlignment="1" pivotButton="0" quotePrefix="0" xfId="0">
      <alignment horizontal="center" vertical="center"/>
    </xf>
    <xf numFmtId="0" fontId="2" fillId="0" borderId="1" applyAlignment="1" pivotButton="0" quotePrefix="0" xfId="0">
      <alignment horizontal="center" vertical="center"/>
    </xf>
    <xf numFmtId="49" fontId="3" fillId="2" borderId="1" applyAlignment="1" pivotButton="0" quotePrefix="0" xfId="0">
      <alignment horizontal="center" vertical="center"/>
    </xf>
    <xf numFmtId="0" fontId="2" fillId="0" borderId="1" applyAlignment="1" pivotButton="0" quotePrefix="0" xfId="0">
      <alignment horizontal="center" vertical="center" wrapText="1"/>
    </xf>
    <xf numFmtId="4" fontId="2" fillId="0" borderId="1" applyAlignment="1" pivotButton="0" quotePrefix="0" xfId="0">
      <alignment horizontal="center" vertical="center"/>
    </xf>
    <xf numFmtId="164" fontId="2" fillId="0" borderId="1" applyAlignment="1" pivotButton="0" quotePrefix="0" xfId="0">
      <alignment horizontal="center" vertical="center"/>
    </xf>
    <xf numFmtId="10" fontId="2" fillId="0" borderId="1" applyAlignment="1" pivotButton="0" quotePrefix="0" xfId="0">
      <alignment horizontal="center" vertical="center"/>
    </xf>
    <xf numFmtId="2" fontId="2" fillId="0" borderId="1" applyAlignment="1" pivotButton="0" quotePrefix="0" xfId="0">
      <alignment horizontal="center" vertical="center"/>
    </xf>
    <xf numFmtId="0" fontId="0" fillId="0" borderId="0" applyAlignment="1" pivotButton="0" quotePrefix="0" xfId="0">
      <alignment horizontal="center" vertical="center"/>
    </xf>
  </cellXfs>
  <cellStyles count="3">
    <cellStyle name="Normal" xfId="0" builtinId="0"/>
    <cellStyle name="Hyperlink" xfId="1" builtinId="8"/>
    <cellStyle name="Normal 2" xfId="2"/>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G1002"/>
  <sheetViews>
    <sheetView tabSelected="1" topLeftCell="C1" zoomScale="90" zoomScaleNormal="90" workbookViewId="0">
      <pane ySplit="1" topLeftCell="A2" activePane="bottomLeft" state="frozen"/>
      <selection pane="bottomLeft" activeCell="W2" sqref="W2"/>
    </sheetView>
  </sheetViews>
  <sheetFormatPr baseColWidth="8" defaultColWidth="14.42578125" defaultRowHeight="15"/>
  <cols>
    <col width="17.5703125" customWidth="1" style="1" min="1" max="1"/>
    <col hidden="1" width="28.85546875" customWidth="1" style="1" min="2" max="2"/>
    <col width="14.28515625" customWidth="1" style="1" min="3" max="3"/>
    <col hidden="1" width="14.28515625" customWidth="1" style="1" min="4" max="4"/>
    <col hidden="1" width="31.7109375" customWidth="1" style="2" min="5" max="5"/>
    <col width="38.7109375" customWidth="1" style="2" min="6" max="6"/>
    <col hidden="1" width="45.28515625" customWidth="1" style="2" min="7" max="7"/>
    <col hidden="1" width="11.42578125" customWidth="1" style="1" min="8" max="8"/>
    <col width="15" customWidth="1" style="1" min="9" max="9"/>
    <col hidden="1" width="12.7109375" customWidth="1" style="1" min="10" max="10"/>
    <col width="49" customWidth="1" style="2" min="11" max="11"/>
    <col width="10.140625" customWidth="1" style="3" min="12" max="12"/>
    <col width="10.140625" customWidth="1" style="4" min="13" max="14"/>
    <col width="12" customWidth="1" style="4" min="15" max="15"/>
    <col width="17" customWidth="1" style="5" min="16" max="16"/>
    <col width="12" customWidth="1" style="1" min="17" max="17"/>
    <col width="17" customWidth="1" style="1" min="18" max="18"/>
    <col width="17" customWidth="1" style="6" min="19" max="19"/>
    <col width="13.7109375" customWidth="1" style="4" min="20" max="20"/>
    <col width="11.5703125" customWidth="1" style="1" min="21" max="21"/>
    <col width="13.7109375" customWidth="1" style="4" min="22" max="22"/>
    <col width="17.7109375" customWidth="1" style="6" min="23" max="23"/>
    <col width="11.7109375" customWidth="1" style="1" min="24" max="24"/>
    <col width="17" customWidth="1" style="7" min="25" max="25"/>
    <col width="16" customWidth="1" style="1" min="26" max="27"/>
    <col width="13" customWidth="1" style="1" min="28" max="28"/>
    <col width="17" customWidth="1" style="1" min="29" max="29"/>
    <col width="14.42578125" customWidth="1" style="1" min="30" max="31"/>
    <col width="14.42578125" customWidth="1" style="4" min="32" max="33"/>
    <col width="14.42578125" customWidth="1" style="8" min="34" max="16384"/>
  </cols>
  <sheetData>
    <row r="1" customFormat="1" s="17">
      <c r="A1" s="36" t="inlineStr">
        <is>
          <t>UPC</t>
        </is>
      </c>
      <c r="B1" s="37" t="inlineStr">
        <is>
          <t>Amazon Link 1</t>
        </is>
      </c>
      <c r="C1" s="38" t="inlineStr">
        <is>
          <t>ASIN</t>
        </is>
      </c>
      <c r="D1" s="38" t="inlineStr">
        <is>
          <t>Inactive ASINs</t>
        </is>
      </c>
      <c r="E1" s="37" t="inlineStr">
        <is>
          <t>Amazon Link 2</t>
        </is>
      </c>
      <c r="F1" s="37" t="inlineStr">
        <is>
          <t>ASIN Link</t>
        </is>
      </c>
      <c r="G1" s="37" t="inlineStr">
        <is>
          <t>Retail Link</t>
        </is>
      </c>
      <c r="H1" s="37" t="inlineStr">
        <is>
          <t>SKU ID</t>
        </is>
      </c>
      <c r="I1" s="37" t="inlineStr">
        <is>
          <t>Retail Link</t>
        </is>
      </c>
      <c r="J1" s="37" t="inlineStr">
        <is>
          <t>WebID</t>
        </is>
      </c>
      <c r="K1" s="39" t="inlineStr">
        <is>
          <t>Title</t>
        </is>
      </c>
      <c r="L1" s="40" t="inlineStr">
        <is>
          <t>Cost</t>
        </is>
      </c>
      <c r="M1" s="41" t="inlineStr">
        <is>
          <t>Price</t>
        </is>
      </c>
      <c r="N1" s="41" t="inlineStr">
        <is>
          <t>Profit</t>
        </is>
      </c>
      <c r="O1" s="41" t="inlineStr">
        <is>
          <t>BuyBox Past</t>
        </is>
      </c>
      <c r="P1" s="42" t="inlineStr">
        <is>
          <t>ROI</t>
        </is>
      </c>
      <c r="Q1" s="37" t="inlineStr">
        <is>
          <t>Sales Rank</t>
        </is>
      </c>
      <c r="R1" s="37" t="inlineStr">
        <is>
          <t>Bought Last 30</t>
        </is>
      </c>
      <c r="S1" s="43" t="inlineStr">
        <is>
          <t>Weight</t>
        </is>
      </c>
      <c r="T1" s="41" t="inlineStr">
        <is>
          <t>New Current</t>
        </is>
      </c>
      <c r="U1" s="41" t="inlineStr">
        <is>
          <t xml:space="preserve"> BB Price 90</t>
        </is>
      </c>
      <c r="V1" s="41" t="inlineStr">
        <is>
          <t>New Price 180</t>
        </is>
      </c>
      <c r="W1" s="43" t="inlineStr">
        <is>
          <t>Availability</t>
        </is>
      </c>
      <c r="X1" s="37" t="inlineStr">
        <is>
          <t>Offers</t>
        </is>
      </c>
      <c r="Y1" s="36" t="inlineStr">
        <is>
          <t>Reviews Match</t>
        </is>
      </c>
      <c r="Z1" s="37" t="inlineStr">
        <is>
          <t>30 Day Drop</t>
        </is>
      </c>
      <c r="AA1" s="37" t="inlineStr">
        <is>
          <t>90 Day Drop</t>
        </is>
      </c>
      <c r="AB1" s="37" t="inlineStr">
        <is>
          <t>Reviews</t>
        </is>
      </c>
      <c r="AC1" s="37" t="inlineStr">
        <is>
          <t>Review Total</t>
        </is>
      </c>
      <c r="AD1" s="37" t="inlineStr">
        <is>
          <t>Model</t>
        </is>
      </c>
      <c r="AE1" s="37" t="inlineStr">
        <is>
          <t>Color</t>
        </is>
      </c>
      <c r="AF1" s="41" t="inlineStr">
        <is>
          <t>FBA Fee</t>
        </is>
      </c>
      <c r="AG1" s="41" t="inlineStr">
        <is>
          <t>FBA Shipping</t>
        </is>
      </c>
    </row>
    <row r="2" ht="47.25" customHeight="1">
      <c r="A2" s="18" t="inlineStr">
        <is>
          <t>196478206065</t>
        </is>
      </c>
      <c r="B2" s="19" t="inlineStr">
        <is>
          <t>https://www.amazon.com/dp/</t>
        </is>
      </c>
      <c r="C2" s="20" t="inlineStr">
        <is>
          <t>B0CMGBLQDT</t>
        </is>
      </c>
      <c r="D2" s="44" t="n"/>
      <c r="E2" s="23" t="inlineStr">
        <is>
          <t>?th=1&amp;psc=1&amp;tag=sdcdeals03-20</t>
        </is>
      </c>
      <c r="F2" s="19">
        <f>HYPERLINK("https://redirect.sdcdeals.com/redirect?destination=https%3A%2F%2Fwww.amazon.com%2Fdp%2FB0CMGBLQDT%3Fth%3D1%26psc%3D1%26tag%3Dsdcdeals03-20", "Amazon Link")</f>
        <v/>
      </c>
      <c r="G2" s="19" t="inlineStr">
        <is>
          <t>https://www.jcpenney.com/s?searchTerm={search_term}</t>
        </is>
      </c>
      <c r="H2" s="23" t="inlineStr">
        <is>
          <t>196478206065</t>
        </is>
      </c>
      <c r="I2" s="19">
        <f>HYPERLINK("https://www.jcpenney.com/s?searchTerm=196478206065", "Retail Link")</f>
        <v/>
      </c>
      <c r="J2" s="23" t="inlineStr">
        <is>
          <t>8</t>
        </is>
      </c>
      <c r="K2" s="21" t="inlineStr">
        <is>
          <t>adidas Women's VL Court Sneaker, Preloved Green/Pink Spark/Ivory, 5</t>
        </is>
      </c>
      <c r="L2" s="24" t="n">
        <v>71.2405</v>
      </c>
      <c r="M2" s="24" t="n">
        <v>79.95</v>
      </c>
      <c r="N2" s="24" t="n">
        <v>-9.893000000000001</v>
      </c>
      <c r="O2" s="24">
        <f>V2-M2</f>
        <v/>
      </c>
      <c r="P2" s="25">
        <f>N2/L2</f>
        <v/>
      </c>
      <c r="Q2" s="23" t="n">
        <v>66267</v>
      </c>
      <c r="R2" s="23" t="n"/>
      <c r="S2" s="26" t="n">
        <v>1.8959732</v>
      </c>
      <c r="T2" s="24" t="n">
        <v>79.95</v>
      </c>
      <c r="U2" s="24" t="n">
        <v>79.95</v>
      </c>
      <c r="V2" s="24" t="n">
        <v>79.95</v>
      </c>
      <c r="W2" s="26" t="inlineStr">
        <is>
          <t>adidas Vl Court Bold Womens Sneakers</t>
        </is>
      </c>
      <c r="X2" s="23" t="n">
        <v>1</v>
      </c>
      <c r="Y2" s="18">
        <f>AC2-AB2</f>
        <v/>
      </c>
      <c r="Z2" s="27" t="n">
        <v>10</v>
      </c>
      <c r="AA2" s="27" t="n">
        <v>31</v>
      </c>
      <c r="AB2" s="27" t="n">
        <v>0</v>
      </c>
      <c r="AC2" s="27" t="n">
        <v>13</v>
      </c>
      <c r="AD2" s="1" t="inlineStr">
        <is>
          <t>IH0365</t>
        </is>
      </c>
      <c r="AE2" s="1" t="inlineStr">
        <is>
          <t>Preloved Green/Pink Spark/Ivory</t>
        </is>
      </c>
      <c r="AF2" s="4" t="n">
        <v>11.99</v>
      </c>
      <c r="AG2" s="4" t="n">
        <v>6.61</v>
      </c>
    </row>
    <row r="3" ht="47.25" customHeight="1">
      <c r="A3" s="18" t="inlineStr">
        <is>
          <t>196478206102</t>
        </is>
      </c>
      <c r="B3" s="19" t="inlineStr">
        <is>
          <t>https://www.amazon.com/dp/</t>
        </is>
      </c>
      <c r="C3" s="20" t="inlineStr">
        <is>
          <t>B0CMGP571B</t>
        </is>
      </c>
      <c r="D3" s="44" t="n"/>
      <c r="E3" s="23" t="inlineStr">
        <is>
          <t>?th=1&amp;psc=1&amp;tag=sdcdeals03-20</t>
        </is>
      </c>
      <c r="F3" s="19">
        <f>HYPERLINK("https://redirect.sdcdeals.com/redirect?destination=https%3A%2F%2Fwww.amazon.com%2Fdp%2FB0CMGP571B%3Fth%3D1%26psc%3D1%26tag%3Dsdcdeals03-20", "Amazon Link")</f>
        <v/>
      </c>
      <c r="G3" s="19" t="inlineStr">
        <is>
          <t>https://www.jcpenney.com/s?searchTerm={search_term}</t>
        </is>
      </c>
      <c r="H3" s="23" t="inlineStr">
        <is>
          <t>196478206102</t>
        </is>
      </c>
      <c r="I3" s="19">
        <f>HYPERLINK("https://www.jcpenney.com/s?searchTerm=196478206102", "Retail Link")</f>
        <v/>
      </c>
      <c r="J3" s="23" t="inlineStr">
        <is>
          <t>8</t>
        </is>
      </c>
      <c r="K3" s="21" t="inlineStr">
        <is>
          <t>adidas Women's VL Court Sneaker, Preloved Green/Pink Spark/Ivory, 5.5</t>
        </is>
      </c>
      <c r="L3" s="24" t="n">
        <v>71.2405</v>
      </c>
      <c r="M3" s="24" t="n">
        <v>79.95</v>
      </c>
      <c r="N3" s="24" t="n">
        <v>-11.143</v>
      </c>
      <c r="O3" s="24">
        <f>V3-M3</f>
        <v/>
      </c>
      <c r="P3" s="25">
        <f>N3/L3</f>
        <v/>
      </c>
      <c r="Q3" s="23" t="n">
        <v>66267</v>
      </c>
      <c r="R3" s="23" t="n"/>
      <c r="S3" s="26" t="n">
        <v>1.99959034</v>
      </c>
      <c r="T3" s="24" t="n">
        <v>79.95</v>
      </c>
      <c r="U3" s="24" t="n">
        <v>79.95</v>
      </c>
      <c r="V3" s="24" t="n">
        <v>79.95</v>
      </c>
      <c r="W3" s="26" t="inlineStr">
        <is>
          <t>adidas Vl Court Bold Womens Sneakers</t>
        </is>
      </c>
      <c r="X3" s="23" t="n">
        <v>1</v>
      </c>
      <c r="Y3" s="18">
        <f>AC3-AB3</f>
        <v/>
      </c>
      <c r="Z3" s="27" t="n">
        <v>12</v>
      </c>
      <c r="AA3" s="27" t="n">
        <v>27</v>
      </c>
      <c r="AB3" s="27" t="n">
        <v>1</v>
      </c>
      <c r="AC3" s="27" t="n">
        <v>13</v>
      </c>
      <c r="AD3" s="1" t="inlineStr">
        <is>
          <t>IH0365</t>
        </is>
      </c>
      <c r="AE3" s="1" t="inlineStr">
        <is>
          <t>Preloved Green/Pink Spark/Ivory</t>
        </is>
      </c>
      <c r="AF3" s="4" t="n">
        <v>11.99</v>
      </c>
      <c r="AG3" s="4" t="n">
        <v>7.86</v>
      </c>
    </row>
    <row r="4" ht="47.25" customHeight="1">
      <c r="A4" s="18" t="inlineStr">
        <is>
          <t>196478206058</t>
        </is>
      </c>
      <c r="B4" s="19" t="inlineStr">
        <is>
          <t>https://www.amazon.com/dp/</t>
        </is>
      </c>
      <c r="C4" s="20" t="inlineStr">
        <is>
          <t>B0CMGH517K</t>
        </is>
      </c>
      <c r="D4" s="44" t="n"/>
      <c r="E4" s="23" t="inlineStr">
        <is>
          <t>?th=1&amp;psc=1&amp;tag=sdcdeals03-20</t>
        </is>
      </c>
      <c r="F4" s="19">
        <f>HYPERLINK("https://redirect.sdcdeals.com/redirect?destination=https%3A%2F%2Fwww.amazon.com%2Fdp%2FB0CMGH517K%3Fth%3D1%26psc%3D1%26tag%3Dsdcdeals03-20", "Amazon Link")</f>
        <v/>
      </c>
      <c r="G4" s="19" t="inlineStr">
        <is>
          <t>https://www.jcpenney.com/s?searchTerm={search_term}</t>
        </is>
      </c>
      <c r="H4" s="23" t="inlineStr">
        <is>
          <t>196478206058</t>
        </is>
      </c>
      <c r="I4" s="19">
        <f>HYPERLINK("https://www.jcpenney.com/s?searchTerm=196478206058", "Retail Link")</f>
        <v/>
      </c>
      <c r="J4" s="23" t="inlineStr">
        <is>
          <t>8</t>
        </is>
      </c>
      <c r="K4" s="21" t="inlineStr">
        <is>
          <t>adidas Women's VL Court Sneaker, Preloved Green/Pink Spark/Ivory, 6</t>
        </is>
      </c>
      <c r="L4" s="24" t="n">
        <v>71.2405</v>
      </c>
      <c r="M4" s="24" t="n">
        <v>79.95</v>
      </c>
      <c r="N4" s="24" t="n">
        <v>-9.893000000000001</v>
      </c>
      <c r="O4" s="24">
        <f>V4-M4</f>
        <v/>
      </c>
      <c r="P4" s="25">
        <f>N4/L4</f>
        <v/>
      </c>
      <c r="Q4" s="23" t="n">
        <v>66267</v>
      </c>
      <c r="R4" s="23" t="n"/>
      <c r="S4" s="26" t="n">
        <v>1.984158</v>
      </c>
      <c r="T4" s="24" t="n">
        <v>79.95</v>
      </c>
      <c r="U4" s="24" t="n">
        <v>79.95</v>
      </c>
      <c r="V4" s="24" t="n">
        <v>79.95</v>
      </c>
      <c r="W4" s="26" t="inlineStr">
        <is>
          <t>adidas Vl Court Bold Womens Sneakers</t>
        </is>
      </c>
      <c r="X4" s="23" t="n">
        <v>2</v>
      </c>
      <c r="Y4" s="18">
        <f>AC4-AB4</f>
        <v/>
      </c>
      <c r="Z4" s="27" t="n">
        <v>18</v>
      </c>
      <c r="AA4" s="27" t="n">
        <v>48</v>
      </c>
      <c r="AB4" s="27" t="n">
        <v>0</v>
      </c>
      <c r="AC4" s="27" t="n">
        <v>13</v>
      </c>
      <c r="AD4" s="1" t="inlineStr">
        <is>
          <t>IH0365</t>
        </is>
      </c>
      <c r="AE4" s="1" t="inlineStr">
        <is>
          <t>Preloved Green/Pink Spark/Ivory</t>
        </is>
      </c>
      <c r="AF4" s="4" t="n">
        <v>11.99</v>
      </c>
      <c r="AG4" s="4" t="n">
        <v>6.61</v>
      </c>
    </row>
    <row r="5" ht="47.25" customHeight="1">
      <c r="A5" s="18" t="inlineStr">
        <is>
          <t>196478206096</t>
        </is>
      </c>
      <c r="B5" s="19" t="inlineStr">
        <is>
          <t>https://www.amazon.com/dp/</t>
        </is>
      </c>
      <c r="C5" s="20" t="inlineStr">
        <is>
          <t>B0CMGPLTMQ</t>
        </is>
      </c>
      <c r="D5" s="44" t="n"/>
      <c r="E5" s="23" t="inlineStr">
        <is>
          <t>?th=1&amp;psc=1&amp;tag=sdcdeals03-20</t>
        </is>
      </c>
      <c r="F5" s="19">
        <f>HYPERLINK("https://redirect.sdcdeals.com/redirect?destination=https%3A%2F%2Fwww.amazon.com%2Fdp%2FB0CMGPLTMQ%3Fth%3D1%26psc%3D1%26tag%3Dsdcdeals03-20", "Amazon Link")</f>
        <v/>
      </c>
      <c r="G5" s="19" t="inlineStr">
        <is>
          <t>https://www.jcpenney.com/s?searchTerm={search_term}</t>
        </is>
      </c>
      <c r="H5" s="23" t="inlineStr">
        <is>
          <t>196478206096</t>
        </is>
      </c>
      <c r="I5" s="19">
        <f>HYPERLINK("https://www.jcpenney.com/s?searchTerm=196478206096", "Retail Link")</f>
        <v/>
      </c>
      <c r="J5" s="23" t="inlineStr">
        <is>
          <t>8</t>
        </is>
      </c>
      <c r="K5" s="21" t="inlineStr">
        <is>
          <t>adidas Women's VL Court Sneaker, Preloved Green/Pink Spark/Ivory, 6.5</t>
        </is>
      </c>
      <c r="L5" s="24" t="n">
        <v>71.2405</v>
      </c>
      <c r="M5" s="24" t="n">
        <v>79.95</v>
      </c>
      <c r="N5" s="24" t="n">
        <v>-10.313</v>
      </c>
      <c r="O5" s="24">
        <f>V5-M5</f>
        <v/>
      </c>
      <c r="P5" s="25">
        <f>N5/L5</f>
        <v/>
      </c>
      <c r="Q5" s="23" t="n">
        <v>66267</v>
      </c>
      <c r="R5" s="23" t="n"/>
      <c r="S5" s="26" t="n">
        <v>2.0502966</v>
      </c>
      <c r="T5" s="24" t="n">
        <v>79.95</v>
      </c>
      <c r="U5" s="24" t="n">
        <v>84.91</v>
      </c>
      <c r="V5" s="24" t="n">
        <v>87.98999999999999</v>
      </c>
      <c r="W5" s="26" t="inlineStr">
        <is>
          <t>adidas Vl Court Bold Womens Sneakers</t>
        </is>
      </c>
      <c r="X5" s="23" t="n">
        <v>2</v>
      </c>
      <c r="Y5" s="18">
        <f>AC5-AB5</f>
        <v/>
      </c>
      <c r="Z5" s="27" t="n">
        <v>24</v>
      </c>
      <c r="AA5" s="27" t="n">
        <v>68</v>
      </c>
      <c r="AB5" s="27" t="n">
        <v>2</v>
      </c>
      <c r="AC5" s="27" t="n">
        <v>13</v>
      </c>
      <c r="AD5" s="1" t="inlineStr">
        <is>
          <t>IH0365</t>
        </is>
      </c>
      <c r="AE5" s="1" t="inlineStr">
        <is>
          <t>Preloved Green/Pink Spark/Ivory</t>
        </is>
      </c>
      <c r="AF5" s="4" t="n">
        <v>11.99</v>
      </c>
      <c r="AG5" s="4" t="n">
        <v>7.03</v>
      </c>
    </row>
    <row r="6" ht="47.25" customHeight="1">
      <c r="A6" s="18" t="inlineStr">
        <is>
          <t>196478206126</t>
        </is>
      </c>
      <c r="B6" s="19" t="inlineStr">
        <is>
          <t>https://www.amazon.com/dp/</t>
        </is>
      </c>
      <c r="C6" s="20" t="inlineStr">
        <is>
          <t>B0CMGLTK4Q</t>
        </is>
      </c>
      <c r="D6" s="44" t="n"/>
      <c r="E6" s="23" t="inlineStr">
        <is>
          <t>?th=1&amp;psc=1&amp;tag=sdcdeals03-20</t>
        </is>
      </c>
      <c r="F6" s="19">
        <f>HYPERLINK("https://redirect.sdcdeals.com/redirect?destination=https%3A%2F%2Fwww.amazon.com%2Fdp%2FB0CMGLTK4Q%3Fth%3D1%26psc%3D1%26tag%3Dsdcdeals03-20", "Amazon Link")</f>
        <v/>
      </c>
      <c r="G6" s="19" t="inlineStr">
        <is>
          <t>https://www.jcpenney.com/s?searchTerm={search_term}</t>
        </is>
      </c>
      <c r="H6" s="23" t="inlineStr">
        <is>
          <t>196478206126</t>
        </is>
      </c>
      <c r="I6" s="19">
        <f>HYPERLINK("https://www.jcpenney.com/s?searchTerm=196478206126", "Retail Link")</f>
        <v/>
      </c>
      <c r="J6" s="23" t="inlineStr">
        <is>
          <t>8</t>
        </is>
      </c>
      <c r="K6" s="21" t="inlineStr">
        <is>
          <t>adidas Women's VL Court Sneaker, Preloved Green/Pink Spark/Ivory, 7</t>
        </is>
      </c>
      <c r="L6" s="24" t="n">
        <v>71.2405</v>
      </c>
      <c r="M6" s="24" t="n">
        <v>79.95</v>
      </c>
      <c r="N6" s="24" t="n">
        <v>-10.823</v>
      </c>
      <c r="O6" s="24">
        <f>V6-M6</f>
        <v/>
      </c>
      <c r="P6" s="25">
        <f>N6/L6</f>
        <v/>
      </c>
      <c r="Q6" s="23" t="n">
        <v>69478</v>
      </c>
      <c r="R6" s="23" t="n">
        <v>50</v>
      </c>
      <c r="S6" s="26" t="n">
        <v>2.0502966</v>
      </c>
      <c r="T6" s="24" t="n">
        <v>79.95</v>
      </c>
      <c r="U6" s="24" t="n">
        <v>83.69</v>
      </c>
      <c r="V6" s="24" t="n">
        <v>92.64</v>
      </c>
      <c r="W6" s="26" t="inlineStr">
        <is>
          <t>adidas Vl Court Bold Womens Sneakers</t>
        </is>
      </c>
      <c r="X6" s="23" t="n">
        <v>2</v>
      </c>
      <c r="Y6" s="18">
        <f>AC6-AB6</f>
        <v/>
      </c>
      <c r="Z6" s="27" t="n">
        <v>20</v>
      </c>
      <c r="AA6" s="27" t="n">
        <v>58</v>
      </c>
      <c r="AB6" s="27" t="n">
        <v>0</v>
      </c>
      <c r="AC6" s="27" t="n">
        <v>13</v>
      </c>
      <c r="AD6" s="1" t="inlineStr">
        <is>
          <t>IH0365</t>
        </is>
      </c>
      <c r="AE6" s="1" t="inlineStr">
        <is>
          <t>Preloved Green/Pink Spark/Ivory</t>
        </is>
      </c>
      <c r="AF6" s="4" t="n">
        <v>11.99</v>
      </c>
      <c r="AG6" s="4" t="n">
        <v>7.54</v>
      </c>
    </row>
    <row r="7" ht="47.25" customHeight="1">
      <c r="A7" s="18" t="inlineStr">
        <is>
          <t>196478206119</t>
        </is>
      </c>
      <c r="B7" s="19" t="inlineStr">
        <is>
          <t>https://www.amazon.com/dp/</t>
        </is>
      </c>
      <c r="C7" s="20" t="inlineStr">
        <is>
          <t>B0CMGN46DT</t>
        </is>
      </c>
      <c r="D7" s="44" t="n"/>
      <c r="E7" s="23" t="inlineStr">
        <is>
          <t>?th=1&amp;psc=1&amp;tag=sdcdeals03-20</t>
        </is>
      </c>
      <c r="F7" s="19">
        <f>HYPERLINK("https://redirect.sdcdeals.com/redirect?destination=https%3A%2F%2Fwww.amazon.com%2Fdp%2FB0CMGN46DT%3Fth%3D1%26psc%3D1%26tag%3Dsdcdeals03-20", "Amazon Link")</f>
        <v/>
      </c>
      <c r="G7" s="19" t="inlineStr">
        <is>
          <t>https://www.jcpenney.com/s?searchTerm={search_term}</t>
        </is>
      </c>
      <c r="H7" s="23" t="inlineStr">
        <is>
          <t>196478206119</t>
        </is>
      </c>
      <c r="I7" s="19">
        <f>HYPERLINK("https://www.jcpenney.com/s?searchTerm=196478206119", "Retail Link")</f>
        <v/>
      </c>
      <c r="J7" s="23" t="inlineStr">
        <is>
          <t>8</t>
        </is>
      </c>
      <c r="K7" s="21" t="inlineStr">
        <is>
          <t>adidas Women's VL Court Sneaker, Preloved Green/Pink Spark/Ivory, 7.5</t>
        </is>
      </c>
      <c r="L7" s="24" t="n">
        <v>71.2405</v>
      </c>
      <c r="M7" s="24" t="n">
        <v>79.95</v>
      </c>
      <c r="N7" s="24" t="n">
        <v>-10.823</v>
      </c>
      <c r="O7" s="24">
        <f>V7-M7</f>
        <v/>
      </c>
      <c r="P7" s="25">
        <f>N7/L7</f>
        <v/>
      </c>
      <c r="Q7" s="23" t="n">
        <v>66267</v>
      </c>
      <c r="R7" s="23" t="n">
        <v>50</v>
      </c>
      <c r="S7" s="26" t="n">
        <v>2.07013818</v>
      </c>
      <c r="T7" s="24" t="n">
        <v>79.95</v>
      </c>
      <c r="U7" s="24" t="n">
        <v>82.45</v>
      </c>
      <c r="V7" s="24" t="n">
        <v>89.25</v>
      </c>
      <c r="W7" s="26" t="inlineStr">
        <is>
          <t>adidas Vl Court Bold Womens Sneakers</t>
        </is>
      </c>
      <c r="X7" s="23" t="n">
        <v>1</v>
      </c>
      <c r="Y7" s="18">
        <f>AC7-AB7</f>
        <v/>
      </c>
      <c r="Z7" s="27" t="n">
        <v>21</v>
      </c>
      <c r="AA7" s="27" t="n">
        <v>63</v>
      </c>
      <c r="AB7" s="27" t="n">
        <v>1</v>
      </c>
      <c r="AC7" s="27" t="n">
        <v>13</v>
      </c>
      <c r="AD7" s="1" t="inlineStr">
        <is>
          <t>IH0365</t>
        </is>
      </c>
      <c r="AE7" s="1" t="inlineStr">
        <is>
          <t>Preloved Green/Pink Spark/Ivory</t>
        </is>
      </c>
      <c r="AF7" s="4" t="n">
        <v>11.99</v>
      </c>
      <c r="AG7" s="4" t="n">
        <v>7.54</v>
      </c>
    </row>
    <row r="8" ht="47.25" customHeight="1">
      <c r="A8" s="18" t="inlineStr">
        <is>
          <t>196478206881</t>
        </is>
      </c>
      <c r="B8" s="19" t="inlineStr">
        <is>
          <t>https://www.amazon.com/dp/</t>
        </is>
      </c>
      <c r="C8" s="20" t="inlineStr">
        <is>
          <t>B0CMGNR2GD</t>
        </is>
      </c>
      <c r="D8" s="44" t="n"/>
      <c r="E8" s="23" t="inlineStr">
        <is>
          <t>?th=1&amp;psc=1&amp;tag=sdcdeals03-20</t>
        </is>
      </c>
      <c r="F8" s="19">
        <f>HYPERLINK("https://redirect.sdcdeals.com/redirect?destination=https%3A%2F%2Fwww.amazon.com%2Fdp%2FB0CMGNR2GD%3Fth%3D1%26psc%3D1%26tag%3Dsdcdeals03-20", "Amazon Link")</f>
        <v/>
      </c>
      <c r="G8" s="19" t="inlineStr">
        <is>
          <t>https://www.jcpenney.com/s?searchTerm={search_term}</t>
        </is>
      </c>
      <c r="H8" s="23" t="inlineStr">
        <is>
          <t>196478206881</t>
        </is>
      </c>
      <c r="I8" s="19">
        <f>HYPERLINK("https://www.jcpenney.com/s?searchTerm=196478206881", "Retail Link")</f>
        <v/>
      </c>
      <c r="J8" s="23" t="inlineStr">
        <is>
          <t>8</t>
        </is>
      </c>
      <c r="K8" s="21" t="inlineStr">
        <is>
          <t>adidas Women's VL Court Sneaker, Preloved Green/Pink Spark/Ivory, 8</t>
        </is>
      </c>
      <c r="L8" s="24" t="n">
        <v>71.2405</v>
      </c>
      <c r="M8" s="24" t="n">
        <v>79.95</v>
      </c>
      <c r="N8" s="24" t="n">
        <v>-10.823</v>
      </c>
      <c r="O8" s="24">
        <f>V8-M8</f>
        <v/>
      </c>
      <c r="P8" s="25">
        <f>N8/L8</f>
        <v/>
      </c>
      <c r="Q8" s="23" t="n">
        <v>66267</v>
      </c>
      <c r="R8" s="23" t="n">
        <v>50</v>
      </c>
      <c r="S8" s="26" t="n">
        <v>2.0502966</v>
      </c>
      <c r="T8" s="24" t="n">
        <v>79.95</v>
      </c>
      <c r="U8" s="24" t="n">
        <v>84.47</v>
      </c>
      <c r="V8" s="24" t="n">
        <v>89.04000000000001</v>
      </c>
      <c r="W8" s="26" t="inlineStr">
        <is>
          <t>adidas Vl Court Bold Womens Sneakers</t>
        </is>
      </c>
      <c r="X8" s="23" t="n">
        <v>2</v>
      </c>
      <c r="Y8" s="18">
        <f>AC8-AB8</f>
        <v/>
      </c>
      <c r="Z8" s="27" t="n">
        <v>39</v>
      </c>
      <c r="AA8" s="27" t="n">
        <v>101</v>
      </c>
      <c r="AB8" s="27" t="n">
        <v>3</v>
      </c>
      <c r="AC8" s="27" t="n">
        <v>13</v>
      </c>
      <c r="AD8" s="1" t="inlineStr">
        <is>
          <t>IH0365</t>
        </is>
      </c>
      <c r="AE8" s="1" t="inlineStr">
        <is>
          <t>Preloved Green/Pink Spark/Ivory</t>
        </is>
      </c>
      <c r="AF8" s="4" t="n">
        <v>11.99</v>
      </c>
      <c r="AG8" s="4" t="n">
        <v>7.54</v>
      </c>
    </row>
    <row r="9" ht="47.25" customHeight="1">
      <c r="A9" s="18" t="inlineStr">
        <is>
          <t>196478206072</t>
        </is>
      </c>
      <c r="B9" s="19" t="inlineStr">
        <is>
          <t>https://www.amazon.com/dp/</t>
        </is>
      </c>
      <c r="C9" s="20" t="inlineStr">
        <is>
          <t>B0CMGN6BK3</t>
        </is>
      </c>
      <c r="D9" s="44" t="n"/>
      <c r="E9" s="23" t="inlineStr">
        <is>
          <t>?th=1&amp;psc=1&amp;tag=sdcdeals03-20</t>
        </is>
      </c>
      <c r="F9" s="19">
        <f>HYPERLINK("https://redirect.sdcdeals.com/redirect?destination=https%3A%2F%2Fwww.amazon.com%2Fdp%2FB0CMGN6BK3%3Fth%3D1%26psc%3D1%26tag%3Dsdcdeals03-20", "Amazon Link")</f>
        <v/>
      </c>
      <c r="G9" s="19" t="inlineStr">
        <is>
          <t>https://www.jcpenney.com/s?searchTerm={search_term}</t>
        </is>
      </c>
      <c r="H9" s="23" t="inlineStr">
        <is>
          <t>196478206072</t>
        </is>
      </c>
      <c r="I9" s="19">
        <f>HYPERLINK("https://www.jcpenney.com/s?searchTerm=196478206072", "Retail Link")</f>
        <v/>
      </c>
      <c r="J9" s="23" t="inlineStr">
        <is>
          <t>8</t>
        </is>
      </c>
      <c r="K9" s="21" t="inlineStr">
        <is>
          <t>adidas Women's VL Court Sneaker, Preloved Green/Pink Spark/Ivory, 8.5</t>
        </is>
      </c>
      <c r="L9" s="24" t="n">
        <v>71.2405</v>
      </c>
      <c r="M9" s="24" t="n">
        <v>79.95</v>
      </c>
      <c r="N9" s="24" t="n">
        <v>-10.983</v>
      </c>
      <c r="O9" s="24">
        <f>V9-M9</f>
        <v/>
      </c>
      <c r="P9" s="25">
        <f>N9/L9</f>
        <v/>
      </c>
      <c r="Q9" s="23" t="n">
        <v>66267</v>
      </c>
      <c r="R9" s="23" t="n">
        <v>50</v>
      </c>
      <c r="S9" s="26" t="n">
        <v>2.3589434</v>
      </c>
      <c r="T9" s="24" t="n">
        <v>79.95</v>
      </c>
      <c r="U9" s="24" t="n">
        <v>84.40000000000001</v>
      </c>
      <c r="V9" s="24" t="n">
        <v>88.95999999999999</v>
      </c>
      <c r="W9" s="26" t="inlineStr">
        <is>
          <t>adidas Vl Court Bold Womens Sneakers</t>
        </is>
      </c>
      <c r="X9" s="23" t="n">
        <v>2</v>
      </c>
      <c r="Y9" s="18">
        <f>AC9-AB9</f>
        <v/>
      </c>
      <c r="Z9" s="27" t="n">
        <v>23</v>
      </c>
      <c r="AA9" s="27" t="n">
        <v>60</v>
      </c>
      <c r="AB9" s="27" t="n">
        <v>2</v>
      </c>
      <c r="AC9" s="27" t="n">
        <v>13</v>
      </c>
      <c r="AD9" s="1" t="inlineStr">
        <is>
          <t>IH0365</t>
        </is>
      </c>
      <c r="AE9" s="1" t="inlineStr">
        <is>
          <t>Preloved Green/Pink Spark/Ivory</t>
        </is>
      </c>
      <c r="AF9" s="4" t="n">
        <v>11.99</v>
      </c>
      <c r="AG9" s="4" t="n">
        <v>7.7</v>
      </c>
    </row>
    <row r="10" ht="47.25" customHeight="1">
      <c r="A10" s="18" t="inlineStr">
        <is>
          <t>196478206133</t>
        </is>
      </c>
      <c r="B10" s="19" t="inlineStr">
        <is>
          <t>https://www.amazon.com/dp/</t>
        </is>
      </c>
      <c r="C10" s="20" t="inlineStr">
        <is>
          <t>B0CMG9FGYW</t>
        </is>
      </c>
      <c r="D10" s="44" t="n"/>
      <c r="E10" s="23" t="inlineStr">
        <is>
          <t>?th=1&amp;psc=1&amp;tag=sdcdeals03-20</t>
        </is>
      </c>
      <c r="F10" s="19">
        <f>HYPERLINK("https://redirect.sdcdeals.com/redirect?destination=https%3A%2F%2Fwww.amazon.com%2Fdp%2FB0CMG9FGYW%3Fth%3D1%26psc%3D1%26tag%3Dsdcdeals03-20", "Amazon Link")</f>
        <v/>
      </c>
      <c r="G10" s="19" t="inlineStr">
        <is>
          <t>https://www.jcpenney.com/s?searchTerm={search_term}</t>
        </is>
      </c>
      <c r="H10" s="23" t="inlineStr">
        <is>
          <t>196478206133</t>
        </is>
      </c>
      <c r="I10" s="19">
        <f>HYPERLINK("https://www.jcpenney.com/s?searchTerm=196478206133", "Retail Link")</f>
        <v/>
      </c>
      <c r="J10" s="23" t="inlineStr">
        <is>
          <t>8</t>
        </is>
      </c>
      <c r="K10" s="21" t="inlineStr">
        <is>
          <t>adidas Women's VL Court Sneaker, Preloved Green/Pink Spark/Ivory, 9</t>
        </is>
      </c>
      <c r="L10" s="24" t="n">
        <v>71.2405</v>
      </c>
      <c r="M10" s="24" t="n">
        <v>79.95</v>
      </c>
      <c r="N10" s="24" t="n">
        <v>-11.063</v>
      </c>
      <c r="O10" s="24">
        <f>V10-M10</f>
        <v/>
      </c>
      <c r="P10" s="25">
        <f>N10/L10</f>
        <v/>
      </c>
      <c r="Q10" s="23" t="n">
        <v>66267</v>
      </c>
      <c r="R10" s="23" t="n">
        <v>50</v>
      </c>
      <c r="S10" s="26" t="n">
        <v>2.425082</v>
      </c>
      <c r="T10" s="24" t="n">
        <v>79.95</v>
      </c>
      <c r="U10" s="24" t="n">
        <v>84.95</v>
      </c>
      <c r="V10" s="24" t="n">
        <v>88.37</v>
      </c>
      <c r="W10" s="26" t="inlineStr">
        <is>
          <t>adidas Vl Court Bold Womens Sneakers</t>
        </is>
      </c>
      <c r="X10" s="23" t="n">
        <v>2</v>
      </c>
      <c r="Y10" s="18">
        <f>AC10-AB10</f>
        <v/>
      </c>
      <c r="Z10" s="27" t="n">
        <v>29</v>
      </c>
      <c r="AA10" s="27" t="n">
        <v>78</v>
      </c>
      <c r="AB10" s="27" t="n">
        <v>1</v>
      </c>
      <c r="AC10" s="27" t="n">
        <v>13</v>
      </c>
      <c r="AD10" s="1" t="inlineStr">
        <is>
          <t>IH0365</t>
        </is>
      </c>
      <c r="AE10" s="1" t="inlineStr">
        <is>
          <t>Preloved Green/Pink Spark/Ivory</t>
        </is>
      </c>
      <c r="AF10" s="4" t="n">
        <v>11.99</v>
      </c>
      <c r="AG10" s="4" t="n">
        <v>7.78</v>
      </c>
    </row>
    <row r="11" ht="47.25" customHeight="1">
      <c r="A11" s="18" t="inlineStr">
        <is>
          <t>196478206911</t>
        </is>
      </c>
      <c r="B11" s="19" t="inlineStr">
        <is>
          <t>https://www.amazon.com/dp/</t>
        </is>
      </c>
      <c r="C11" s="20" t="inlineStr">
        <is>
          <t>B0CMGN1X9F</t>
        </is>
      </c>
      <c r="D11" s="44" t="n"/>
      <c r="E11" s="23" t="inlineStr">
        <is>
          <t>?th=1&amp;psc=1&amp;tag=sdcdeals03-20</t>
        </is>
      </c>
      <c r="F11" s="19">
        <f>HYPERLINK("https://redirect.sdcdeals.com/redirect?destination=https%3A%2F%2Fwww.amazon.com%2Fdp%2FB0CMGN1X9F%3Fth%3D1%26psc%3D1%26tag%3Dsdcdeals03-20", "Amazon Link")</f>
        <v/>
      </c>
      <c r="G11" s="19" t="inlineStr">
        <is>
          <t>https://www.jcpenney.com/s?searchTerm={search_term}</t>
        </is>
      </c>
      <c r="H11" s="23" t="inlineStr">
        <is>
          <t>196478206911</t>
        </is>
      </c>
      <c r="I11" s="19">
        <f>HYPERLINK("https://www.jcpenney.com/s?searchTerm=196478206911", "Retail Link")</f>
        <v/>
      </c>
      <c r="J11" s="23" t="inlineStr">
        <is>
          <t>8</t>
        </is>
      </c>
      <c r="K11" s="21" t="inlineStr">
        <is>
          <t>adidas Women's VL Court Sneaker, Preloved Green/Pink Spark/Ivory, 9.5</t>
        </is>
      </c>
      <c r="L11" s="24" t="n">
        <v>71.2405</v>
      </c>
      <c r="M11" s="24" t="n">
        <v>79.95</v>
      </c>
      <c r="N11" s="24" t="n">
        <v>-11.063</v>
      </c>
      <c r="O11" s="24">
        <f>V11-M11</f>
        <v/>
      </c>
      <c r="P11" s="25">
        <f>N11/L11</f>
        <v/>
      </c>
      <c r="Q11" s="23" t="n">
        <v>66267</v>
      </c>
      <c r="R11" s="23" t="n"/>
      <c r="S11" s="26" t="n">
        <v>2.3589434</v>
      </c>
      <c r="T11" s="24" t="n">
        <v>79.95</v>
      </c>
      <c r="U11" s="24" t="n">
        <v>84.81</v>
      </c>
      <c r="V11" s="24" t="n">
        <v>89.29000000000001</v>
      </c>
      <c r="W11" s="26" t="inlineStr">
        <is>
          <t>adidas Vl Court Bold Womens Sneakers</t>
        </is>
      </c>
      <c r="X11" s="23" t="n">
        <v>2</v>
      </c>
      <c r="Y11" s="18">
        <f>AC11-AB11</f>
        <v/>
      </c>
      <c r="Z11" s="27" t="n">
        <v>16</v>
      </c>
      <c r="AA11" s="27" t="n">
        <v>47</v>
      </c>
      <c r="AB11" s="27" t="n">
        <v>1</v>
      </c>
      <c r="AC11" s="27" t="n">
        <v>13</v>
      </c>
      <c r="AD11" s="1" t="inlineStr">
        <is>
          <t>IH0365</t>
        </is>
      </c>
      <c r="AE11" s="1" t="inlineStr">
        <is>
          <t>Preloved Green/Pink Spark/Ivory</t>
        </is>
      </c>
      <c r="AF11" s="4" t="n">
        <v>11.99</v>
      </c>
      <c r="AG11" s="4" t="n">
        <v>7.78</v>
      </c>
    </row>
    <row r="12" ht="47.25" customHeight="1">
      <c r="A12" s="18" t="inlineStr">
        <is>
          <t>196478206089</t>
        </is>
      </c>
      <c r="B12" s="19" t="inlineStr">
        <is>
          <t>https://www.amazon.com/dp/</t>
        </is>
      </c>
      <c r="C12" s="20" t="inlineStr">
        <is>
          <t>B0CMGTR7ZZ</t>
        </is>
      </c>
      <c r="D12" s="44" t="n"/>
      <c r="E12" s="23" t="inlineStr">
        <is>
          <t>?th=1&amp;psc=1&amp;tag=sdcdeals03-20</t>
        </is>
      </c>
      <c r="F12" s="19">
        <f>HYPERLINK("https://redirect.sdcdeals.com/redirect?destination=https%3A%2F%2Fwww.amazon.com%2Fdp%2FB0CMGTR7ZZ%3Fth%3D1%26psc%3D1%26tag%3Dsdcdeals03-20", "Amazon Link")</f>
        <v/>
      </c>
      <c r="G12" s="19" t="inlineStr">
        <is>
          <t>https://www.jcpenney.com/s?searchTerm={search_term}</t>
        </is>
      </c>
      <c r="H12" s="23" t="inlineStr">
        <is>
          <t>196478206089</t>
        </is>
      </c>
      <c r="I12" s="19">
        <f>HYPERLINK("https://www.jcpenney.com/s?searchTerm=196478206089", "Retail Link")</f>
        <v/>
      </c>
      <c r="J12" s="23" t="inlineStr">
        <is>
          <t>8</t>
        </is>
      </c>
      <c r="K12" s="21" t="inlineStr">
        <is>
          <t>adidas Women's VL Court Sneaker, Preloved Green/Pink Spark/Ivory, 10</t>
        </is>
      </c>
      <c r="L12" s="24" t="n">
        <v>71.2405</v>
      </c>
      <c r="M12" s="24" t="n">
        <v>79.95</v>
      </c>
      <c r="N12" s="24" t="n">
        <v>-11.063</v>
      </c>
      <c r="O12" s="24">
        <f>V12-M12</f>
        <v/>
      </c>
      <c r="P12" s="25">
        <f>N12/L12</f>
        <v/>
      </c>
      <c r="Q12" s="23" t="n">
        <v>66267</v>
      </c>
      <c r="R12" s="23" t="n"/>
      <c r="S12" s="26" t="n">
        <v>2.5573592</v>
      </c>
      <c r="T12" s="24" t="n">
        <v>79.95</v>
      </c>
      <c r="U12" s="24" t="n">
        <v>84.45</v>
      </c>
      <c r="V12" s="24" t="n">
        <v>90.34</v>
      </c>
      <c r="W12" s="26" t="inlineStr">
        <is>
          <t>adidas Vl Court Bold Womens Sneakers</t>
        </is>
      </c>
      <c r="X12" s="23" t="n">
        <v>2</v>
      </c>
      <c r="Y12" s="18">
        <f>AC12-AB12</f>
        <v/>
      </c>
      <c r="Z12" s="27" t="n">
        <v>33</v>
      </c>
      <c r="AA12" s="27" t="n">
        <v>90</v>
      </c>
      <c r="AB12" s="27" t="n">
        <v>2</v>
      </c>
      <c r="AC12" s="27" t="n">
        <v>13</v>
      </c>
      <c r="AD12" s="1" t="inlineStr">
        <is>
          <t>IH0365</t>
        </is>
      </c>
      <c r="AE12" s="1" t="inlineStr">
        <is>
          <t>Preloved Green/Pink Spark/Ivory</t>
        </is>
      </c>
      <c r="AF12" s="4" t="n">
        <v>11.99</v>
      </c>
      <c r="AG12" s="4" t="n">
        <v>7.78</v>
      </c>
    </row>
    <row r="13" ht="47.25" customHeight="1">
      <c r="A13" s="18" t="inlineStr">
        <is>
          <t>196478206140</t>
        </is>
      </c>
      <c r="B13" s="19" t="inlineStr">
        <is>
          <t>https://www.amazon.com/dp/</t>
        </is>
      </c>
      <c r="C13" s="20" t="inlineStr">
        <is>
          <t>B0CMGKTX16</t>
        </is>
      </c>
      <c r="D13" s="44" t="n"/>
      <c r="E13" s="23" t="inlineStr">
        <is>
          <t>?th=1&amp;psc=1&amp;tag=sdcdeals03-20</t>
        </is>
      </c>
      <c r="F13" s="19">
        <f>HYPERLINK("https://redirect.sdcdeals.com/redirect?destination=https%3A%2F%2Fwww.amazon.com%2Fdp%2FB0CMGKTX16%3Fth%3D1%26psc%3D1%26tag%3Dsdcdeals03-20", "Amazon Link")</f>
        <v/>
      </c>
      <c r="G13" s="19" t="inlineStr">
        <is>
          <t>https://www.jcpenney.com/s?searchTerm={search_term}</t>
        </is>
      </c>
      <c r="H13" s="23" t="inlineStr">
        <is>
          <t>196478206140</t>
        </is>
      </c>
      <c r="I13" s="19">
        <f>HYPERLINK("https://www.jcpenney.com/s?searchTerm=196478206140", "Retail Link")</f>
        <v/>
      </c>
      <c r="J13" s="23" t="inlineStr">
        <is>
          <t>8</t>
        </is>
      </c>
      <c r="K13" s="21" t="inlineStr">
        <is>
          <t>adidas Women's VL Court Sneaker, Preloved Green/Pink Spark/Ivory, 11</t>
        </is>
      </c>
      <c r="L13" s="24" t="n">
        <v>71.2405</v>
      </c>
      <c r="M13" s="24" t="n">
        <v>79.95</v>
      </c>
      <c r="N13" s="24" t="n">
        <v>-11.143</v>
      </c>
      <c r="O13" s="24">
        <f>V13-M13</f>
        <v/>
      </c>
      <c r="P13" s="25">
        <f>N13/L13</f>
        <v/>
      </c>
      <c r="Q13" s="23" t="n">
        <v>66267</v>
      </c>
      <c r="R13" s="23" t="n"/>
      <c r="S13" s="26" t="n">
        <v>2.66979482</v>
      </c>
      <c r="T13" s="24" t="n">
        <v>79.95</v>
      </c>
      <c r="U13" s="24" t="n">
        <v>84.91</v>
      </c>
      <c r="V13" s="24" t="n">
        <v>85.72</v>
      </c>
      <c r="W13" s="26" t="inlineStr">
        <is>
          <t>adidas Vl Court Bold Womens Sneakers</t>
        </is>
      </c>
      <c r="X13" s="23" t="n">
        <v>2</v>
      </c>
      <c r="Y13" s="18">
        <f>AC13-AB13</f>
        <v/>
      </c>
      <c r="Z13" s="27" t="n">
        <v>21</v>
      </c>
      <c r="AA13" s="27" t="n">
        <v>54</v>
      </c>
      <c r="AB13" s="27" t="n">
        <v>0</v>
      </c>
      <c r="AC13" s="27" t="n">
        <v>13</v>
      </c>
      <c r="AD13" s="1" t="inlineStr">
        <is>
          <t>IH0365</t>
        </is>
      </c>
      <c r="AE13" s="1" t="inlineStr">
        <is>
          <t>Preloved Green/Pink Spark/Ivory</t>
        </is>
      </c>
      <c r="AF13" s="4" t="n">
        <v>11.99</v>
      </c>
      <c r="AG13" s="4" t="n">
        <v>7.86</v>
      </c>
    </row>
    <row r="14" ht="47.25" customHeight="1">
      <c r="A14" s="18" t="inlineStr">
        <is>
          <t>196479358220</t>
        </is>
      </c>
      <c r="B14" s="19" t="inlineStr">
        <is>
          <t>https://www.amazon.com/dp/</t>
        </is>
      </c>
      <c r="C14" s="20" t="inlineStr">
        <is>
          <t>B0CMS2W8ZP</t>
        </is>
      </c>
      <c r="D14" s="44" t="n"/>
      <c r="E14" s="23" t="inlineStr">
        <is>
          <t>?th=1&amp;psc=1&amp;tag=sdcdeals03-20</t>
        </is>
      </c>
      <c r="F14" s="19">
        <f>HYPERLINK("https://redirect.sdcdeals.com/redirect?destination=https%3A%2F%2Fwww.amazon.com%2Fdp%2FB0CMS2W8ZP%3Fth%3D1%26psc%3D1%26tag%3Dsdcdeals03-20", "Amazon Link")</f>
        <v/>
      </c>
      <c r="G14" s="19" t="inlineStr">
        <is>
          <t>https://www.jcpenney.com/s?searchTerm={search_term}</t>
        </is>
      </c>
      <c r="H14" s="23" t="inlineStr">
        <is>
          <t>196479358220</t>
        </is>
      </c>
      <c r="I14" s="19">
        <f>HYPERLINK("https://www.jcpenney.com/s?searchTerm=196479358220", "Retail Link")</f>
        <v/>
      </c>
      <c r="J14" s="23" t="inlineStr">
        <is>
          <t>8</t>
        </is>
      </c>
      <c r="K14" s="21" t="inlineStr">
        <is>
          <t>adidas Women's VL Court Bold Sneaker, Wonder Quartz/Black/Wonder Beige, 5</t>
        </is>
      </c>
      <c r="L14" s="24" t="n">
        <v>71.2405</v>
      </c>
      <c r="M14" s="24" t="n">
        <v>80</v>
      </c>
      <c r="N14" s="24" t="n">
        <v>-9.850499999999997</v>
      </c>
      <c r="O14" s="24">
        <f>V14-M14</f>
        <v/>
      </c>
      <c r="P14" s="25">
        <f>N14/L14</f>
        <v/>
      </c>
      <c r="Q14" s="23" t="n">
        <v>112713</v>
      </c>
      <c r="R14" s="23" t="n"/>
      <c r="S14" s="26" t="n">
        <v>1.9400656</v>
      </c>
      <c r="T14" s="24" t="n">
        <v>80</v>
      </c>
      <c r="U14" s="24" t="n">
        <v>79.04000000000001</v>
      </c>
      <c r="V14" s="24" t="n">
        <v>79.45</v>
      </c>
      <c r="W14" s="26" t="inlineStr">
        <is>
          <t>adidas Vl Court Bold Womens Sneakers</t>
        </is>
      </c>
      <c r="X14" s="23" t="n">
        <v>1</v>
      </c>
      <c r="Y14" s="18">
        <f>AC14-AB14</f>
        <v/>
      </c>
      <c r="Z14" s="27" t="n">
        <v>13</v>
      </c>
      <c r="AA14" s="27" t="n">
        <v>32</v>
      </c>
      <c r="AB14" s="27" t="n">
        <v>0</v>
      </c>
      <c r="AC14" s="27" t="n">
        <v>5</v>
      </c>
      <c r="AD14" s="1" t="inlineStr">
        <is>
          <t>NLK49</t>
        </is>
      </c>
      <c r="AE14" s="1" t="inlineStr">
        <is>
          <t>Wonder Quartz/Black/Wonder Beige</t>
        </is>
      </c>
      <c r="AF14" s="4" t="n">
        <v>12</v>
      </c>
      <c r="AG14" s="4" t="n">
        <v>6.61</v>
      </c>
    </row>
    <row r="15" ht="47.25" customHeight="1">
      <c r="A15" s="18" t="inlineStr">
        <is>
          <t>196479358152</t>
        </is>
      </c>
      <c r="B15" s="19" t="inlineStr">
        <is>
          <t>https://www.amazon.com/dp/</t>
        </is>
      </c>
      <c r="C15" s="20" t="inlineStr">
        <is>
          <t>B0CMS77LS3</t>
        </is>
      </c>
      <c r="D15" s="44" t="n"/>
      <c r="E15" s="23" t="inlineStr">
        <is>
          <t>?th=1&amp;psc=1&amp;tag=sdcdeals03-20</t>
        </is>
      </c>
      <c r="F15" s="19">
        <f>HYPERLINK("https://redirect.sdcdeals.com/redirect?destination=https%3A%2F%2Fwww.amazon.com%2Fdp%2FB0CMS77LS3%3Fth%3D1%26psc%3D1%26tag%3Dsdcdeals03-20", "Amazon Link")</f>
        <v/>
      </c>
      <c r="G15" s="19" t="inlineStr">
        <is>
          <t>https://www.jcpenney.com/s?searchTerm={search_term}</t>
        </is>
      </c>
      <c r="H15" s="23" t="inlineStr">
        <is>
          <t>196479358152</t>
        </is>
      </c>
      <c r="I15" s="19">
        <f>HYPERLINK("https://www.jcpenney.com/s?searchTerm=196479358152", "Retail Link")</f>
        <v/>
      </c>
      <c r="J15" s="23" t="inlineStr">
        <is>
          <t>8</t>
        </is>
      </c>
      <c r="K15" s="21" t="inlineStr">
        <is>
          <t>adidas Women's VL Court Bold Sneaker, Wonder Quartz/Black/Wonder Beige, 5.5</t>
        </is>
      </c>
      <c r="L15" s="24" t="n">
        <v>71.2405</v>
      </c>
      <c r="M15" s="24" t="n">
        <v>79.95999999999999</v>
      </c>
      <c r="N15" s="24" t="n">
        <v>-9.884500000000003</v>
      </c>
      <c r="O15" s="24">
        <f>V15-M15</f>
        <v/>
      </c>
      <c r="P15" s="25">
        <f>N15/L15</f>
        <v/>
      </c>
      <c r="Q15" s="23" t="n"/>
      <c r="R15" s="23" t="n"/>
      <c r="S15" s="26" t="n">
        <v>1.97974876</v>
      </c>
      <c r="T15" s="24" t="inlineStr"/>
      <c r="U15" s="24" t="n">
        <v>79.95999999999999</v>
      </c>
      <c r="V15" s="24" t="n">
        <v>79.95</v>
      </c>
      <c r="W15" s="26" t="inlineStr">
        <is>
          <t>adidas Vl Court Bold Womens Sneakers</t>
        </is>
      </c>
      <c r="X15" s="23" t="n">
        <v>1</v>
      </c>
      <c r="Y15" s="18">
        <f>AC15-AB15</f>
        <v/>
      </c>
      <c r="Z15" s="27" t="n">
        <v>9</v>
      </c>
      <c r="AA15" s="27" t="n">
        <v>27</v>
      </c>
      <c r="AB15" s="27" t="n">
        <v>0</v>
      </c>
      <c r="AC15" s="27" t="n">
        <v>4</v>
      </c>
      <c r="AD15" s="1" t="inlineStr">
        <is>
          <t>NLK49</t>
        </is>
      </c>
      <c r="AE15" s="1" t="inlineStr">
        <is>
          <t>Wonder Quartz/Black/Wonder Beige</t>
        </is>
      </c>
      <c r="AF15" s="4" t="inlineStr"/>
      <c r="AG15" s="4" t="n">
        <v>6.61</v>
      </c>
    </row>
    <row r="16" ht="47.25" customHeight="1">
      <c r="A16" s="18" t="inlineStr">
        <is>
          <t>196479358138</t>
        </is>
      </c>
      <c r="B16" s="19" t="inlineStr">
        <is>
          <t>https://www.amazon.com/dp/</t>
        </is>
      </c>
      <c r="C16" s="20" t="inlineStr">
        <is>
          <t>B0CMS4JVC1</t>
        </is>
      </c>
      <c r="D16" s="44" t="n"/>
      <c r="E16" s="23" t="inlineStr">
        <is>
          <t>?th=1&amp;psc=1&amp;tag=sdcdeals03-20</t>
        </is>
      </c>
      <c r="F16" s="19">
        <f>HYPERLINK("https://redirect.sdcdeals.com/redirect?destination=https%3A%2F%2Fwww.amazon.com%2Fdp%2FB0CMS4JVC1%3Fth%3D1%26psc%3D1%26tag%3Dsdcdeals03-20", "Amazon Link")</f>
        <v/>
      </c>
      <c r="G16" s="19" t="inlineStr">
        <is>
          <t>https://www.jcpenney.com/s?searchTerm={search_term}</t>
        </is>
      </c>
      <c r="H16" s="23" t="inlineStr">
        <is>
          <t>196479358138</t>
        </is>
      </c>
      <c r="I16" s="19">
        <f>HYPERLINK("https://www.jcpenney.com/s?searchTerm=196479358138", "Retail Link")</f>
        <v/>
      </c>
      <c r="J16" s="23" t="inlineStr">
        <is>
          <t>8</t>
        </is>
      </c>
      <c r="K16" s="21" t="inlineStr">
        <is>
          <t>adidas Women's VL Court Bold Sneaker, Wonder Quartz/Black/Wonder Beige, 6</t>
        </is>
      </c>
      <c r="L16" s="24" t="n">
        <v>71.2405</v>
      </c>
      <c r="M16" s="24" t="n">
        <v>80</v>
      </c>
      <c r="N16" s="24" t="n">
        <v>-9.850499999999997</v>
      </c>
      <c r="O16" s="24">
        <f>V16-M16</f>
        <v/>
      </c>
      <c r="P16" s="25">
        <f>N16/L16</f>
        <v/>
      </c>
      <c r="Q16" s="23" t="n">
        <v>112713</v>
      </c>
      <c r="R16" s="23" t="n"/>
      <c r="S16" s="26" t="n">
        <v>1.95990718</v>
      </c>
      <c r="T16" s="24" t="n">
        <v>80</v>
      </c>
      <c r="U16" s="24" t="n">
        <v>78.36</v>
      </c>
      <c r="V16" s="24" t="n">
        <v>78.40000000000001</v>
      </c>
      <c r="W16" s="26" t="inlineStr">
        <is>
          <t>adidas Vl Court Bold Womens Sneakers</t>
        </is>
      </c>
      <c r="X16" s="23" t="n">
        <v>1</v>
      </c>
      <c r="Y16" s="18">
        <f>AC16-AB16</f>
        <v/>
      </c>
      <c r="Z16" s="27" t="n">
        <v>10</v>
      </c>
      <c r="AA16" s="27" t="n">
        <v>45</v>
      </c>
      <c r="AB16" s="27" t="n">
        <v>0</v>
      </c>
      <c r="AC16" s="27" t="n">
        <v>5</v>
      </c>
      <c r="AD16" s="1" t="inlineStr">
        <is>
          <t>NLK49</t>
        </is>
      </c>
      <c r="AE16" s="1" t="inlineStr">
        <is>
          <t>Wonder Quartz/Black/Wonder Beige</t>
        </is>
      </c>
      <c r="AF16" s="4" t="n">
        <v>12</v>
      </c>
      <c r="AG16" s="4" t="n">
        <v>6.61</v>
      </c>
    </row>
    <row r="17" ht="47.25" customHeight="1">
      <c r="A17" s="18" t="inlineStr">
        <is>
          <t>196479358213</t>
        </is>
      </c>
      <c r="B17" s="19" t="inlineStr">
        <is>
          <t>https://www.amazon.com/dp/</t>
        </is>
      </c>
      <c r="C17" s="20" t="inlineStr">
        <is>
          <t>B0CMS2V1C1</t>
        </is>
      </c>
      <c r="D17" s="44" t="n"/>
      <c r="E17" s="23" t="inlineStr">
        <is>
          <t>?th=1&amp;psc=1&amp;tag=sdcdeals03-20</t>
        </is>
      </c>
      <c r="F17" s="19">
        <f>HYPERLINK("https://redirect.sdcdeals.com/redirect?destination=https%3A%2F%2Fwww.amazon.com%2Fdp%2FB0CMS2V1C1%3Fth%3D1%26psc%3D1%26tag%3Dsdcdeals03-20", "Amazon Link")</f>
        <v/>
      </c>
      <c r="G17" s="19" t="inlineStr">
        <is>
          <t>https://www.jcpenney.com/s?searchTerm={search_term}</t>
        </is>
      </c>
      <c r="H17" s="23" t="inlineStr">
        <is>
          <t>196479358213</t>
        </is>
      </c>
      <c r="I17" s="19">
        <f>HYPERLINK("https://www.jcpenney.com/s?searchTerm=196479358213", "Retail Link")</f>
        <v/>
      </c>
      <c r="J17" s="23" t="inlineStr">
        <is>
          <t>8</t>
        </is>
      </c>
      <c r="K17" s="21" t="inlineStr">
        <is>
          <t>adidas Women's VL Court Bold Sneaker, Wonder Quartz/Black/Wonder Beige, 6.5</t>
        </is>
      </c>
      <c r="L17" s="24" t="n">
        <v>71.2405</v>
      </c>
      <c r="M17" s="24" t="n">
        <v>79.47</v>
      </c>
      <c r="N17" s="24" t="n">
        <v>-10.721</v>
      </c>
      <c r="O17" s="24">
        <f>V17-M17</f>
        <v/>
      </c>
      <c r="P17" s="25">
        <f>N17/L17</f>
        <v/>
      </c>
      <c r="Q17" s="23" t="n">
        <v>112713</v>
      </c>
      <c r="R17" s="23" t="n"/>
      <c r="S17" s="26" t="n">
        <v>1.9731349</v>
      </c>
      <c r="T17" s="24" t="inlineStr"/>
      <c r="U17" s="24" t="n">
        <v>79.47</v>
      </c>
      <c r="V17" s="24" t="n">
        <v>79.13</v>
      </c>
      <c r="W17" s="26" t="inlineStr">
        <is>
          <t>adidas Vl Court Bold Womens Sneakers</t>
        </is>
      </c>
      <c r="X17" s="23" t="n">
        <v>1</v>
      </c>
      <c r="Y17" s="18">
        <f>AC17-AB17</f>
        <v/>
      </c>
      <c r="Z17" s="27" t="n">
        <v>24</v>
      </c>
      <c r="AA17" s="27" t="n">
        <v>70</v>
      </c>
      <c r="AB17" s="27" t="n">
        <v>1</v>
      </c>
      <c r="AC17" s="27" t="n">
        <v>5</v>
      </c>
      <c r="AD17" s="1" t="inlineStr">
        <is>
          <t>NLK49</t>
        </is>
      </c>
      <c r="AE17" s="1" t="inlineStr">
        <is>
          <t>Wonder Quartz/Black/Wonder Beige</t>
        </is>
      </c>
      <c r="AF17" s="4" t="inlineStr"/>
      <c r="AG17" s="4" t="n">
        <v>7.03</v>
      </c>
    </row>
    <row r="18" ht="47.25" customHeight="1">
      <c r="A18" s="18" t="inlineStr">
        <is>
          <t>196479358206</t>
        </is>
      </c>
      <c r="B18" s="19" t="inlineStr">
        <is>
          <t>https://www.amazon.com/dp/</t>
        </is>
      </c>
      <c r="C18" s="20" t="inlineStr">
        <is>
          <t>B0CMSRB7QY</t>
        </is>
      </c>
      <c r="D18" s="44" t="n"/>
      <c r="E18" s="23" t="inlineStr">
        <is>
          <t>?th=1&amp;psc=1&amp;tag=sdcdeals03-20</t>
        </is>
      </c>
      <c r="F18" s="19">
        <f>HYPERLINK("https://redirect.sdcdeals.com/redirect?destination=https%3A%2F%2Fwww.amazon.com%2Fdp%2FB0CMSRB7QY%3Fth%3D1%26psc%3D1%26tag%3Dsdcdeals03-20", "Amazon Link")</f>
        <v/>
      </c>
      <c r="G18" s="19" t="inlineStr">
        <is>
          <t>https://www.jcpenney.com/s?searchTerm={search_term}</t>
        </is>
      </c>
      <c r="H18" s="23" t="inlineStr">
        <is>
          <t>196479358206</t>
        </is>
      </c>
      <c r="I18" s="19">
        <f>HYPERLINK("https://www.jcpenney.com/s?searchTerm=196479358206", "Retail Link")</f>
        <v/>
      </c>
      <c r="J18" s="23" t="inlineStr">
        <is>
          <t>8</t>
        </is>
      </c>
      <c r="K18" s="21" t="inlineStr">
        <is>
          <t>adidas Women's VL Court Bold Sneaker, Wonder Quartz/Black/Wonder Beige, 7</t>
        </is>
      </c>
      <c r="L18" s="24" t="n">
        <v>71.2405</v>
      </c>
      <c r="M18" s="24" t="n">
        <v>80.76000000000001</v>
      </c>
      <c r="N18" s="24" t="n">
        <v>-10.1345</v>
      </c>
      <c r="O18" s="24">
        <f>V18-M18</f>
        <v/>
      </c>
      <c r="P18" s="25">
        <f>N18/L18</f>
        <v/>
      </c>
      <c r="Q18" s="23" t="n"/>
      <c r="R18" s="23" t="n"/>
      <c r="S18" s="26" t="n">
        <v>2.20021076</v>
      </c>
      <c r="T18" s="24" t="inlineStr"/>
      <c r="U18" s="24" t="n">
        <v>80.76000000000001</v>
      </c>
      <c r="V18" s="24" t="n">
        <v>89.33</v>
      </c>
      <c r="W18" s="26" t="inlineStr">
        <is>
          <t>adidas Vl Court Bold Womens Sneakers</t>
        </is>
      </c>
      <c r="X18" s="23" t="n">
        <v>2</v>
      </c>
      <c r="Y18" s="18">
        <f>AC18-AB18</f>
        <v/>
      </c>
      <c r="Z18" s="27" t="n">
        <v>18</v>
      </c>
      <c r="AA18" s="27" t="n">
        <v>94</v>
      </c>
      <c r="AB18" s="27" t="n">
        <v>2</v>
      </c>
      <c r="AC18" s="27" t="n">
        <v>56</v>
      </c>
      <c r="AD18" s="1" t="inlineStr">
        <is>
          <t>NLK49</t>
        </is>
      </c>
      <c r="AE18" s="1" t="inlineStr">
        <is>
          <t>Wonder Quartz/Black/Wonder Beige</t>
        </is>
      </c>
      <c r="AF18" s="4" t="inlineStr"/>
      <c r="AG18" s="4" t="n">
        <v>7.54</v>
      </c>
    </row>
    <row r="19" ht="47.25" customHeight="1">
      <c r="A19" s="18" t="inlineStr">
        <is>
          <t>196479358237</t>
        </is>
      </c>
      <c r="B19" s="19" t="inlineStr">
        <is>
          <t>https://www.amazon.com/dp/</t>
        </is>
      </c>
      <c r="C19" s="20" t="inlineStr">
        <is>
          <t>B0CMS2XRXD</t>
        </is>
      </c>
      <c r="D19" s="44" t="n"/>
      <c r="E19" s="23" t="inlineStr">
        <is>
          <t>?th=1&amp;psc=1&amp;tag=sdcdeals03-20</t>
        </is>
      </c>
      <c r="F19" s="19">
        <f>HYPERLINK("https://redirect.sdcdeals.com/redirect?destination=https%3A%2F%2Fwww.amazon.com%2Fdp%2FB0CMS2XRXD%3Fth%3D1%26psc%3D1%26tag%3Dsdcdeals03-20", "Amazon Link")</f>
        <v/>
      </c>
      <c r="G19" s="19" t="inlineStr">
        <is>
          <t>https://www.jcpenney.com/s?searchTerm={search_term}</t>
        </is>
      </c>
      <c r="H19" s="23" t="inlineStr">
        <is>
          <t>196479358237</t>
        </is>
      </c>
      <c r="I19" s="19">
        <f>HYPERLINK("https://www.jcpenney.com/s?searchTerm=196479358237", "Retail Link")</f>
        <v/>
      </c>
      <c r="J19" s="23" t="inlineStr">
        <is>
          <t>8</t>
        </is>
      </c>
      <c r="K19" s="21" t="inlineStr">
        <is>
          <t>adidas Women's VL Court Bold Sneaker, Wonder Quartz/Black/Wonder Beige, 7.5</t>
        </is>
      </c>
      <c r="L19" s="24" t="n">
        <v>71.2405</v>
      </c>
      <c r="M19" s="24" t="n">
        <v>80</v>
      </c>
      <c r="N19" s="24" t="n">
        <v>-10.86049999999999</v>
      </c>
      <c r="O19" s="24">
        <f>V19-M19</f>
        <v/>
      </c>
      <c r="P19" s="25">
        <f>N19/L19</f>
        <v/>
      </c>
      <c r="Q19" s="23" t="n">
        <v>124456</v>
      </c>
      <c r="R19" s="23" t="n"/>
      <c r="S19" s="26" t="n">
        <v>2.25091702</v>
      </c>
      <c r="T19" s="24" t="n">
        <v>80</v>
      </c>
      <c r="U19" s="24" t="n">
        <v>79.02</v>
      </c>
      <c r="V19" s="24" t="n">
        <v>78.65000000000001</v>
      </c>
      <c r="W19" s="26" t="inlineStr">
        <is>
          <t>adidas Vl Court Bold Womens Sneakers</t>
        </is>
      </c>
      <c r="X19" s="23" t="n">
        <v>1</v>
      </c>
      <c r="Y19" s="18">
        <f>AC19-AB19</f>
        <v/>
      </c>
      <c r="Z19" s="27" t="n">
        <v>20</v>
      </c>
      <c r="AA19" s="27" t="n">
        <v>74</v>
      </c>
      <c r="AB19" s="27" t="n">
        <v>1</v>
      </c>
      <c r="AC19" s="27" t="n">
        <v>5</v>
      </c>
      <c r="AD19" s="1" t="inlineStr">
        <is>
          <t>NLK49</t>
        </is>
      </c>
      <c r="AE19" s="1" t="inlineStr">
        <is>
          <t>Wonder Quartz/Black/Wonder Beige</t>
        </is>
      </c>
      <c r="AF19" s="4" t="n">
        <v>12</v>
      </c>
      <c r="AG19" s="4" t="n">
        <v>7.62</v>
      </c>
    </row>
    <row r="20" ht="47.25" customHeight="1">
      <c r="A20" s="18" t="inlineStr">
        <is>
          <t>196479358145</t>
        </is>
      </c>
      <c r="B20" s="19" t="inlineStr">
        <is>
          <t>https://www.amazon.com/dp/</t>
        </is>
      </c>
      <c r="C20" s="20" t="inlineStr">
        <is>
          <t>B0CMSBL54D</t>
        </is>
      </c>
      <c r="D20" s="44" t="n"/>
      <c r="E20" s="23" t="inlineStr">
        <is>
          <t>?th=1&amp;psc=1&amp;tag=sdcdeals03-20</t>
        </is>
      </c>
      <c r="F20" s="19">
        <f>HYPERLINK("https://redirect.sdcdeals.com/redirect?destination=https%3A%2F%2Fwww.amazon.com%2Fdp%2FB0CMSBL54D%3Fth%3D1%26psc%3D1%26tag%3Dsdcdeals03-20", "Amazon Link")</f>
        <v/>
      </c>
      <c r="G20" s="19" t="inlineStr">
        <is>
          <t>https://www.jcpenney.com/s?searchTerm={search_term}</t>
        </is>
      </c>
      <c r="H20" s="23" t="inlineStr">
        <is>
          <t>196479358145</t>
        </is>
      </c>
      <c r="I20" s="19">
        <f>HYPERLINK("https://www.jcpenney.com/s?searchTerm=196479358145", "Retail Link")</f>
        <v/>
      </c>
      <c r="J20" s="23" t="inlineStr">
        <is>
          <t>8</t>
        </is>
      </c>
      <c r="K20" s="21" t="inlineStr">
        <is>
          <t>adidas Women's VL Court Bold Sneaker, Wonder Quartz/Black/Wonder Beige, 8</t>
        </is>
      </c>
      <c r="L20" s="24" t="n">
        <v>71.2405</v>
      </c>
      <c r="M20" s="24" t="n">
        <v>80</v>
      </c>
      <c r="N20" s="24" t="n">
        <v>-10.7805</v>
      </c>
      <c r="O20" s="24">
        <f>V20-M20</f>
        <v/>
      </c>
      <c r="P20" s="25">
        <f>N20/L20</f>
        <v/>
      </c>
      <c r="Q20" s="23" t="n">
        <v>112713</v>
      </c>
      <c r="R20" s="23" t="n"/>
      <c r="S20" s="26" t="n">
        <v>2.1605276</v>
      </c>
      <c r="T20" s="24" t="n">
        <v>79.95</v>
      </c>
      <c r="U20" s="24" t="n">
        <v>80.09999999999999</v>
      </c>
      <c r="V20" s="24" t="n">
        <v>79.11</v>
      </c>
      <c r="W20" s="26" t="inlineStr">
        <is>
          <t>adidas Vl Court Bold Womens Sneakers</t>
        </is>
      </c>
      <c r="X20" s="23" t="n">
        <v>2</v>
      </c>
      <c r="Y20" s="18">
        <f>AC20-AB20</f>
        <v/>
      </c>
      <c r="Z20" s="27" t="n">
        <v>27</v>
      </c>
      <c r="AA20" s="27" t="n">
        <v>86</v>
      </c>
      <c r="AB20" s="27" t="n">
        <v>2</v>
      </c>
      <c r="AC20" s="27" t="n">
        <v>5</v>
      </c>
      <c r="AD20" s="1" t="inlineStr">
        <is>
          <t>NLK49</t>
        </is>
      </c>
      <c r="AE20" s="1" t="inlineStr">
        <is>
          <t>Wonder Quartz/Black/Wonder Beige</t>
        </is>
      </c>
      <c r="AF20" s="4" t="n">
        <v>12</v>
      </c>
      <c r="AG20" s="4" t="n">
        <v>7.54</v>
      </c>
    </row>
    <row r="21" ht="47.25" customHeight="1">
      <c r="A21" s="18" t="inlineStr">
        <is>
          <t>196479358121</t>
        </is>
      </c>
      <c r="B21" s="19" t="inlineStr">
        <is>
          <t>https://www.amazon.com/dp/</t>
        </is>
      </c>
      <c r="C21" s="20" t="inlineStr">
        <is>
          <t>B0CMS6WXC6</t>
        </is>
      </c>
      <c r="D21" s="44" t="n"/>
      <c r="E21" s="23" t="inlineStr">
        <is>
          <t>?th=1&amp;psc=1&amp;tag=sdcdeals03-20</t>
        </is>
      </c>
      <c r="F21" s="19">
        <f>HYPERLINK("https://redirect.sdcdeals.com/redirect?destination=https%3A%2F%2Fwww.amazon.com%2Fdp%2FB0CMS6WXC6%3Fth%3D1%26psc%3D1%26tag%3Dsdcdeals03-20", "Amazon Link")</f>
        <v/>
      </c>
      <c r="G21" s="19" t="inlineStr">
        <is>
          <t>https://www.jcpenney.com/s?searchTerm={search_term}</t>
        </is>
      </c>
      <c r="H21" s="23" t="inlineStr">
        <is>
          <t>196479358121</t>
        </is>
      </c>
      <c r="I21" s="19">
        <f>HYPERLINK("https://www.jcpenney.com/s?searchTerm=196479358121", "Retail Link")</f>
        <v/>
      </c>
      <c r="J21" s="23" t="inlineStr">
        <is>
          <t>8</t>
        </is>
      </c>
      <c r="K21" s="21" t="inlineStr">
        <is>
          <t>adidas Women's VL Court Bold Sneaker, Wonder Quartz/Black/Wonder Beige, 8.5</t>
        </is>
      </c>
      <c r="L21" s="24" t="n">
        <v>71.2405</v>
      </c>
      <c r="M21" s="24" t="n">
        <v>80</v>
      </c>
      <c r="N21" s="24" t="n">
        <v>-10.9405</v>
      </c>
      <c r="O21" s="24">
        <f>V21-M21</f>
        <v/>
      </c>
      <c r="P21" s="25">
        <f>N21/L21</f>
        <v/>
      </c>
      <c r="Q21" s="23" t="n">
        <v>112713</v>
      </c>
      <c r="R21" s="23" t="n">
        <v>50</v>
      </c>
      <c r="S21" s="26" t="n">
        <v>2.33910182</v>
      </c>
      <c r="T21" s="24" t="n">
        <v>80</v>
      </c>
      <c r="U21" s="24" t="n">
        <v>79.42</v>
      </c>
      <c r="V21" s="24" t="n">
        <v>80.27</v>
      </c>
      <c r="W21" s="26" t="inlineStr">
        <is>
          <t>adidas Vl Court Bold Womens Sneakers</t>
        </is>
      </c>
      <c r="X21" s="23" t="n">
        <v>2</v>
      </c>
      <c r="Y21" s="18">
        <f>AC21-AB21</f>
        <v/>
      </c>
      <c r="Z21" s="27" t="n">
        <v>31</v>
      </c>
      <c r="AA21" s="27" t="n">
        <v>87</v>
      </c>
      <c r="AB21" s="27" t="n">
        <v>1</v>
      </c>
      <c r="AC21" s="27" t="n">
        <v>5</v>
      </c>
      <c r="AD21" s="1" t="inlineStr">
        <is>
          <t>NLK49</t>
        </is>
      </c>
      <c r="AE21" s="1" t="inlineStr">
        <is>
          <t>Wonder Quartz/Black/Wonder Beige</t>
        </is>
      </c>
      <c r="AF21" s="4" t="n">
        <v>12</v>
      </c>
      <c r="AG21" s="4" t="n">
        <v>7.7</v>
      </c>
    </row>
    <row r="22" ht="47.25" customHeight="1">
      <c r="A22" s="18" t="inlineStr">
        <is>
          <t>196479358190</t>
        </is>
      </c>
      <c r="B22" s="19" t="inlineStr">
        <is>
          <t>https://www.amazon.com/dp/</t>
        </is>
      </c>
      <c r="C22" s="20" t="inlineStr">
        <is>
          <t>B0CMSNG82Q</t>
        </is>
      </c>
      <c r="D22" s="44" t="n"/>
      <c r="E22" s="23" t="inlineStr">
        <is>
          <t>?th=1&amp;psc=1&amp;tag=sdcdeals03-20</t>
        </is>
      </c>
      <c r="F22" s="19">
        <f>HYPERLINK("https://redirect.sdcdeals.com/redirect?destination=https%3A%2F%2Fwww.amazon.com%2Fdp%2FB0CMSNG82Q%3Fth%3D1%26psc%3D1%26tag%3Dsdcdeals03-20", "Amazon Link")</f>
        <v/>
      </c>
      <c r="G22" s="19" t="inlineStr">
        <is>
          <t>https://www.jcpenney.com/s?searchTerm={search_term}</t>
        </is>
      </c>
      <c r="H22" s="23" t="inlineStr">
        <is>
          <t>196479358190</t>
        </is>
      </c>
      <c r="I22" s="19">
        <f>HYPERLINK("https://www.jcpenney.com/s?searchTerm=196479358190", "Retail Link")</f>
        <v/>
      </c>
      <c r="J22" s="23" t="inlineStr">
        <is>
          <t>8</t>
        </is>
      </c>
      <c r="K22" s="21" t="inlineStr">
        <is>
          <t>adidas Women's VL Court Bold Sneaker, Wonder Quartz/Black/Wonder Beige, 9</t>
        </is>
      </c>
      <c r="L22" s="24" t="n">
        <v>71.2405</v>
      </c>
      <c r="M22" s="24" t="n">
        <v>80</v>
      </c>
      <c r="N22" s="24" t="n">
        <v>-10.9405</v>
      </c>
      <c r="O22" s="24">
        <f>V22-M22</f>
        <v/>
      </c>
      <c r="P22" s="25">
        <f>N22/L22</f>
        <v/>
      </c>
      <c r="Q22" s="23" t="n">
        <v>112713</v>
      </c>
      <c r="R22" s="23" t="n"/>
      <c r="S22" s="26" t="n">
        <v>2.2707586</v>
      </c>
      <c r="T22" s="24" t="n">
        <v>80</v>
      </c>
      <c r="U22" s="24" t="n">
        <v>79.22</v>
      </c>
      <c r="V22" s="24" t="n">
        <v>79.48</v>
      </c>
      <c r="W22" s="26" t="inlineStr">
        <is>
          <t>adidas Vl Court Bold Womens Sneakers</t>
        </is>
      </c>
      <c r="X22" s="23" t="n">
        <v>2</v>
      </c>
      <c r="Y22" s="18">
        <f>AC22-AB22</f>
        <v/>
      </c>
      <c r="Z22" s="27" t="n">
        <v>24</v>
      </c>
      <c r="AA22" s="27" t="n">
        <v>77</v>
      </c>
      <c r="AB22" s="27" t="n">
        <v>0</v>
      </c>
      <c r="AC22" s="27" t="n">
        <v>5</v>
      </c>
      <c r="AD22" s="1" t="inlineStr">
        <is>
          <t>NLK49</t>
        </is>
      </c>
      <c r="AE22" s="1" t="inlineStr">
        <is>
          <t>Wonder Quartz/Black/Wonder Beige</t>
        </is>
      </c>
      <c r="AF22" s="4" t="n">
        <v>12</v>
      </c>
      <c r="AG22" s="4" t="n">
        <v>7.7</v>
      </c>
    </row>
    <row r="23" ht="47.25" customHeight="1">
      <c r="A23" s="18" t="inlineStr">
        <is>
          <t>196479358176</t>
        </is>
      </c>
      <c r="B23" s="19" t="inlineStr">
        <is>
          <t>https://www.amazon.com/dp/</t>
        </is>
      </c>
      <c r="C23" s="20" t="inlineStr">
        <is>
          <t>B0CMSC15WQ</t>
        </is>
      </c>
      <c r="D23" s="44" t="n"/>
      <c r="E23" s="23" t="inlineStr">
        <is>
          <t>?th=1&amp;psc=1&amp;tag=sdcdeals03-20</t>
        </is>
      </c>
      <c r="F23" s="19">
        <f>HYPERLINK("https://redirect.sdcdeals.com/redirect?destination=https%3A%2F%2Fwww.amazon.com%2Fdp%2FB0CMSC15WQ%3Fth%3D1%26psc%3D1%26tag%3Dsdcdeals03-20", "Amazon Link")</f>
        <v/>
      </c>
      <c r="G23" s="19" t="inlineStr">
        <is>
          <t>https://www.jcpenney.com/s?searchTerm={search_term}</t>
        </is>
      </c>
      <c r="H23" s="23" t="inlineStr">
        <is>
          <t>196479358176</t>
        </is>
      </c>
      <c r="I23" s="19">
        <f>HYPERLINK("https://www.jcpenney.com/s?searchTerm=196479358176", "Retail Link")</f>
        <v/>
      </c>
      <c r="J23" s="23" t="inlineStr">
        <is>
          <t>8</t>
        </is>
      </c>
      <c r="K23" s="21" t="inlineStr">
        <is>
          <t>adidas Women's VL Court Bold Sneaker, Wonder Quartz/Black/Wonder Beige, 9.5</t>
        </is>
      </c>
      <c r="L23" s="24" t="n">
        <v>71.2405</v>
      </c>
      <c r="M23" s="24" t="n">
        <v>80</v>
      </c>
      <c r="N23" s="24" t="n">
        <v>-10.9405</v>
      </c>
      <c r="O23" s="24">
        <f>V23-M23</f>
        <v/>
      </c>
      <c r="P23" s="25">
        <f>N23/L23</f>
        <v/>
      </c>
      <c r="Q23" s="23" t="n">
        <v>112713</v>
      </c>
      <c r="R23" s="23" t="n"/>
      <c r="S23" s="26" t="n">
        <v>2.5794054</v>
      </c>
      <c r="T23" s="24" t="n">
        <v>80</v>
      </c>
      <c r="U23" s="24" t="n">
        <v>79.81</v>
      </c>
      <c r="V23" s="24" t="n">
        <v>79.63</v>
      </c>
      <c r="W23" s="26" t="inlineStr">
        <is>
          <t>adidas Vl Court Bold Womens Sneakers</t>
        </is>
      </c>
      <c r="X23" s="23" t="n">
        <v>2</v>
      </c>
      <c r="Y23" s="18">
        <f>AC23-AB23</f>
        <v/>
      </c>
      <c r="Z23" s="27" t="n">
        <v>27</v>
      </c>
      <c r="AA23" s="27" t="n">
        <v>68</v>
      </c>
      <c r="AB23" s="27" t="n">
        <v>0</v>
      </c>
      <c r="AC23" s="27" t="n">
        <v>5</v>
      </c>
      <c r="AD23" s="1" t="inlineStr">
        <is>
          <t>NLK49</t>
        </is>
      </c>
      <c r="AE23" s="1" t="inlineStr">
        <is>
          <t>Wonder Quartz/Black/Wonder Beige</t>
        </is>
      </c>
      <c r="AF23" s="4" t="n">
        <v>12</v>
      </c>
      <c r="AG23" s="4" t="n">
        <v>7.7</v>
      </c>
    </row>
    <row r="24" ht="47.25" customHeight="1">
      <c r="A24" s="18" t="inlineStr">
        <is>
          <t>196479358183</t>
        </is>
      </c>
      <c r="B24" s="19" t="inlineStr">
        <is>
          <t>https://www.amazon.com/dp/</t>
        </is>
      </c>
      <c r="C24" s="20" t="inlineStr">
        <is>
          <t>B0CMS71HCX</t>
        </is>
      </c>
      <c r="D24" s="44" t="n"/>
      <c r="E24" s="23" t="inlineStr">
        <is>
          <t>?th=1&amp;psc=1&amp;tag=sdcdeals03-20</t>
        </is>
      </c>
      <c r="F24" s="19">
        <f>HYPERLINK("https://redirect.sdcdeals.com/redirect?destination=https%3A%2F%2Fwww.amazon.com%2Fdp%2FB0CMS71HCX%3Fth%3D1%26psc%3D1%26tag%3Dsdcdeals03-20", "Amazon Link")</f>
        <v/>
      </c>
      <c r="G24" s="19" t="inlineStr">
        <is>
          <t>https://www.jcpenney.com/s?searchTerm={search_term}</t>
        </is>
      </c>
      <c r="H24" s="23" t="inlineStr">
        <is>
          <t>196479358183</t>
        </is>
      </c>
      <c r="I24" s="19">
        <f>HYPERLINK("https://www.jcpenney.com/s?searchTerm=196479358183", "Retail Link")</f>
        <v/>
      </c>
      <c r="J24" s="23" t="inlineStr">
        <is>
          <t>8</t>
        </is>
      </c>
      <c r="K24" s="21" t="inlineStr">
        <is>
          <t>adidas Women's VL Court Bold Sneaker, Wonder Quartz/Black/Wonder Beige, 10</t>
        </is>
      </c>
      <c r="L24" s="24" t="n">
        <v>71.2405</v>
      </c>
      <c r="M24" s="24" t="n">
        <v>80</v>
      </c>
      <c r="N24" s="24" t="n">
        <v>-10.9405</v>
      </c>
      <c r="O24" s="24">
        <f>V24-M24</f>
        <v/>
      </c>
      <c r="P24" s="25">
        <f>N24/L24</f>
        <v/>
      </c>
      <c r="Q24" s="23" t="n">
        <v>112713</v>
      </c>
      <c r="R24" s="23" t="n"/>
      <c r="S24" s="26" t="n">
        <v>2.55956382</v>
      </c>
      <c r="T24" s="24" t="n">
        <v>80</v>
      </c>
      <c r="U24" s="24" t="n">
        <v>78.61</v>
      </c>
      <c r="V24" s="24" t="n">
        <v>78.64</v>
      </c>
      <c r="W24" s="26" t="inlineStr">
        <is>
          <t>adidas Vl Court Bold Womens Sneakers</t>
        </is>
      </c>
      <c r="X24" s="23" t="n">
        <v>3</v>
      </c>
      <c r="Y24" s="18">
        <f>AC24-AB24</f>
        <v/>
      </c>
      <c r="Z24" s="27" t="n">
        <v>27</v>
      </c>
      <c r="AA24" s="27" t="n">
        <v>66</v>
      </c>
      <c r="AB24" s="27" t="n">
        <v>0</v>
      </c>
      <c r="AC24" s="27" t="n">
        <v>5</v>
      </c>
      <c r="AD24" s="1" t="inlineStr">
        <is>
          <t>NLK49</t>
        </is>
      </c>
      <c r="AE24" s="1" t="inlineStr">
        <is>
          <t>Wonder Quartz/Black/Wonder Beige</t>
        </is>
      </c>
      <c r="AF24" s="4" t="n">
        <v>12</v>
      </c>
      <c r="AG24" s="4" t="n">
        <v>7.7</v>
      </c>
    </row>
    <row r="25" ht="47.25" customHeight="1">
      <c r="A25" s="18" t="inlineStr">
        <is>
          <t>196479358169</t>
        </is>
      </c>
      <c r="B25" s="19" t="inlineStr">
        <is>
          <t>https://www.amazon.com/dp/</t>
        </is>
      </c>
      <c r="C25" s="20" t="inlineStr">
        <is>
          <t>B0CMS2VW1D</t>
        </is>
      </c>
      <c r="D25" s="44" t="n"/>
      <c r="E25" s="23" t="inlineStr">
        <is>
          <t>?th=1&amp;psc=1&amp;tag=sdcdeals03-20</t>
        </is>
      </c>
      <c r="F25" s="19">
        <f>HYPERLINK("https://redirect.sdcdeals.com/redirect?destination=https%3A%2F%2Fwww.amazon.com%2Fdp%2FB0CMS2VW1D%3Fth%3D1%26psc%3D1%26tag%3Dsdcdeals03-20", "Amazon Link")</f>
        <v/>
      </c>
      <c r="G25" s="19" t="inlineStr">
        <is>
          <t>https://www.jcpenney.com/s?searchTerm={search_term}</t>
        </is>
      </c>
      <c r="H25" s="23" t="inlineStr">
        <is>
          <t>196479358169</t>
        </is>
      </c>
      <c r="I25" s="19">
        <f>HYPERLINK("https://www.jcpenney.com/s?searchTerm=196479358169", "Retail Link")</f>
        <v/>
      </c>
      <c r="J25" s="23" t="inlineStr">
        <is>
          <t>8</t>
        </is>
      </c>
      <c r="K25" s="21" t="inlineStr">
        <is>
          <t>adidas Women's VL Court Bold Sneaker, Wonder Quartz/Black/Wonder Beige, 11</t>
        </is>
      </c>
      <c r="L25" s="24" t="n">
        <v>71.2405</v>
      </c>
      <c r="M25" s="24" t="n">
        <v>80</v>
      </c>
      <c r="N25" s="24" t="n">
        <v>-11.1005</v>
      </c>
      <c r="O25" s="24">
        <f>V25-M25</f>
        <v/>
      </c>
      <c r="P25" s="25">
        <f>N25/L25</f>
        <v/>
      </c>
      <c r="Q25" s="23" t="n">
        <v>124456</v>
      </c>
      <c r="R25" s="23" t="n"/>
      <c r="S25" s="26" t="n">
        <v>2.5794054</v>
      </c>
      <c r="T25" s="24" t="n">
        <v>80</v>
      </c>
      <c r="U25" s="24" t="n">
        <v>78.37</v>
      </c>
      <c r="V25" s="24" t="n">
        <v>79.01000000000001</v>
      </c>
      <c r="W25" s="26" t="inlineStr">
        <is>
          <t>adidas Vl Court Bold Womens Sneakers</t>
        </is>
      </c>
      <c r="X25" s="23" t="n">
        <v>2</v>
      </c>
      <c r="Y25" s="18">
        <f>AC25-AB25</f>
        <v/>
      </c>
      <c r="Z25" s="27" t="n">
        <v>41</v>
      </c>
      <c r="AA25" s="27" t="n">
        <v>78</v>
      </c>
      <c r="AB25" s="27" t="n">
        <v>0</v>
      </c>
      <c r="AC25" s="27" t="n">
        <v>5</v>
      </c>
      <c r="AD25" s="1" t="inlineStr">
        <is>
          <t>NLK49</t>
        </is>
      </c>
      <c r="AE25" s="1" t="inlineStr">
        <is>
          <t>Wonder Quartz/Black/Wonder Beige</t>
        </is>
      </c>
      <c r="AF25" s="4" t="n">
        <v>12</v>
      </c>
      <c r="AG25" s="4" t="n">
        <v>7.86</v>
      </c>
    </row>
    <row r="26" ht="47.25" customHeight="1">
      <c r="A26" s="18" t="inlineStr">
        <is>
          <t>197607002848</t>
        </is>
      </c>
      <c r="B26" s="19" t="inlineStr">
        <is>
          <t>https://www.amazon.com/dp/</t>
        </is>
      </c>
      <c r="C26" s="20" t="inlineStr">
        <is>
          <t>B0CMGJ5TQW</t>
        </is>
      </c>
      <c r="D26" s="44" t="n"/>
      <c r="E26" s="23" t="inlineStr">
        <is>
          <t>?th=1&amp;psc=1&amp;tag=sdcdeals03-20</t>
        </is>
      </c>
      <c r="F26" s="19">
        <f>HYPERLINK("https://redirect.sdcdeals.com/redirect?destination=https%3A%2F%2Fwww.amazon.com%2Fdp%2FB0CMGJ5TQW%3Fth%3D1%26psc%3D1%26tag%3Dsdcdeals03-20", "Amazon Link")</f>
        <v/>
      </c>
      <c r="G26" s="19" t="inlineStr">
        <is>
          <t>https://www.jcpenney.com/s?searchTerm={search_term}</t>
        </is>
      </c>
      <c r="H26" s="23" t="inlineStr">
        <is>
          <t>197607002848</t>
        </is>
      </c>
      <c r="I26" s="19">
        <f>HYPERLINK("https://www.jcpenney.com/s?searchTerm=197607002848", "Retail Link")</f>
        <v/>
      </c>
      <c r="J26" s="23" t="inlineStr">
        <is>
          <t>8</t>
        </is>
      </c>
      <c r="K26" s="21" t="inlineStr">
        <is>
          <t>adidas Women's VL Court Bold Sneaker, Black/White/Clear Pink, 6</t>
        </is>
      </c>
      <c r="L26" s="24" t="n">
        <v>71.2405</v>
      </c>
      <c r="M26" s="24" t="n">
        <v>79.95</v>
      </c>
      <c r="N26" s="24" t="n">
        <v>-9.893000000000001</v>
      </c>
      <c r="O26" s="24">
        <f>V26-M26</f>
        <v/>
      </c>
      <c r="P26" s="25">
        <f>N26/L26</f>
        <v/>
      </c>
      <c r="Q26" s="23" t="n">
        <v>33534</v>
      </c>
      <c r="R26" s="23" t="n"/>
      <c r="S26" s="26" t="n">
        <v>1.92022402</v>
      </c>
      <c r="T26" s="24" t="n">
        <v>79.95</v>
      </c>
      <c r="U26" s="24" t="n">
        <v>78.81</v>
      </c>
      <c r="V26" s="24" t="n">
        <v>78.81</v>
      </c>
      <c r="W26" s="26" t="inlineStr">
        <is>
          <t>adidas Vl Court Bold Womens Sneakers</t>
        </is>
      </c>
      <c r="X26" s="23" t="n">
        <v>3</v>
      </c>
      <c r="Y26" s="18">
        <f>AC26-AB26</f>
        <v/>
      </c>
      <c r="Z26" s="27" t="n">
        <v>36</v>
      </c>
      <c r="AA26" s="27" t="n">
        <v>64</v>
      </c>
      <c r="AB26" s="27" t="n">
        <v>0</v>
      </c>
      <c r="AC26" s="27" t="n">
        <v>56</v>
      </c>
      <c r="AD26" s="1" t="inlineStr">
        <is>
          <t>NML95</t>
        </is>
      </c>
      <c r="AE26" s="1" t="inlineStr">
        <is>
          <t>Black/White/Clear Pink</t>
        </is>
      </c>
      <c r="AF26" s="4" t="n">
        <v>11.99</v>
      </c>
      <c r="AG26" s="4" t="n">
        <v>6.61</v>
      </c>
    </row>
    <row r="27" ht="47.25" customHeight="1">
      <c r="A27" s="18" t="inlineStr">
        <is>
          <t>197607002800</t>
        </is>
      </c>
      <c r="B27" s="19" t="inlineStr">
        <is>
          <t>https://www.amazon.com/dp/</t>
        </is>
      </c>
      <c r="C27" s="20" t="inlineStr">
        <is>
          <t>B0CMGDHVMV</t>
        </is>
      </c>
      <c r="D27" s="44" t="n"/>
      <c r="E27" s="23" t="inlineStr">
        <is>
          <t>?th=1&amp;psc=1&amp;tag=sdcdeals03-20</t>
        </is>
      </c>
      <c r="F27" s="19">
        <f>HYPERLINK("https://redirect.sdcdeals.com/redirect?destination=https%3A%2F%2Fwww.amazon.com%2Fdp%2FB0CMGDHVMV%3Fth%3D1%26psc%3D1%26tag%3Dsdcdeals03-20", "Amazon Link")</f>
        <v/>
      </c>
      <c r="G27" s="19" t="inlineStr">
        <is>
          <t>https://www.jcpenney.com/s?searchTerm={search_term}</t>
        </is>
      </c>
      <c r="H27" s="23" t="inlineStr">
        <is>
          <t>197607002800</t>
        </is>
      </c>
      <c r="I27" s="19">
        <f>HYPERLINK("https://www.jcpenney.com/s?searchTerm=197607002800", "Retail Link")</f>
        <v/>
      </c>
      <c r="J27" s="23" t="inlineStr">
        <is>
          <t>8</t>
        </is>
      </c>
      <c r="K27" s="21" t="inlineStr">
        <is>
          <t>adidas Women's VL Court Bold Sneaker, Black/White/Clear Pink, 6.5</t>
        </is>
      </c>
      <c r="L27" s="24" t="n">
        <v>71.2405</v>
      </c>
      <c r="M27" s="24" t="n">
        <v>79.95</v>
      </c>
      <c r="N27" s="24" t="n">
        <v>-9.893000000000001</v>
      </c>
      <c r="O27" s="24">
        <f>V27-M27</f>
        <v/>
      </c>
      <c r="P27" s="25">
        <f>N27/L27</f>
        <v/>
      </c>
      <c r="Q27" s="23" t="n">
        <v>32301</v>
      </c>
      <c r="R27" s="23" t="n"/>
      <c r="S27" s="26" t="n">
        <v>1.90038244</v>
      </c>
      <c r="T27" s="24" t="n">
        <v>79.95</v>
      </c>
      <c r="U27" s="24" t="n">
        <v>78.52</v>
      </c>
      <c r="V27" s="24" t="n">
        <v>78.52</v>
      </c>
      <c r="W27" s="26" t="inlineStr">
        <is>
          <t>adidas Vl Court Bold Womens Sneakers</t>
        </is>
      </c>
      <c r="X27" s="23" t="n">
        <v>5</v>
      </c>
      <c r="Y27" s="18">
        <f>AC27-AB27</f>
        <v/>
      </c>
      <c r="Z27" s="27" t="n">
        <v>34</v>
      </c>
      <c r="AA27" s="27" t="n">
        <v>67</v>
      </c>
      <c r="AB27" s="27" t="n">
        <v>0</v>
      </c>
      <c r="AC27" s="27" t="n">
        <v>56</v>
      </c>
      <c r="AD27" s="1" t="inlineStr">
        <is>
          <t>NML95</t>
        </is>
      </c>
      <c r="AE27" s="1" t="inlineStr">
        <is>
          <t>Black/White/Clear Pink</t>
        </is>
      </c>
      <c r="AF27" s="4" t="n">
        <v>11.99</v>
      </c>
      <c r="AG27" s="4" t="n">
        <v>6.61</v>
      </c>
    </row>
    <row r="28" ht="47.25" customHeight="1">
      <c r="A28" s="18" t="inlineStr">
        <is>
          <t>197607002770</t>
        </is>
      </c>
      <c r="B28" s="19" t="inlineStr">
        <is>
          <t>https://www.amazon.com/dp/</t>
        </is>
      </c>
      <c r="C28" s="20" t="inlineStr">
        <is>
          <t>B0CMGFK5VZ</t>
        </is>
      </c>
      <c r="D28" s="44" t="n"/>
      <c r="E28" s="23" t="inlineStr">
        <is>
          <t>?th=1&amp;psc=1&amp;tag=sdcdeals03-20</t>
        </is>
      </c>
      <c r="F28" s="19">
        <f>HYPERLINK("https://redirect.sdcdeals.com/redirect?destination=https%3A%2F%2Fwww.amazon.com%2Fdp%2FB0CMGFK5VZ%3Fth%3D1%26psc%3D1%26tag%3Dsdcdeals03-20", "Amazon Link")</f>
        <v/>
      </c>
      <c r="G28" s="19" t="inlineStr">
        <is>
          <t>https://www.jcpenney.com/s?searchTerm={search_term}</t>
        </is>
      </c>
      <c r="H28" s="23" t="inlineStr">
        <is>
          <t>197607002770</t>
        </is>
      </c>
      <c r="I28" s="19">
        <f>HYPERLINK("https://www.jcpenney.com/s?searchTerm=197607002770", "Retail Link")</f>
        <v/>
      </c>
      <c r="J28" s="23" t="inlineStr">
        <is>
          <t>8</t>
        </is>
      </c>
      <c r="K28" s="21" t="inlineStr">
        <is>
          <t>adidas Women's VL Court Bold Sneaker, Black/White/Clear Pink, 7</t>
        </is>
      </c>
      <c r="L28" s="24" t="n">
        <v>71.2405</v>
      </c>
      <c r="M28" s="24" t="n">
        <v>79.95</v>
      </c>
      <c r="N28" s="24" t="n">
        <v>-10.823</v>
      </c>
      <c r="O28" s="24">
        <f>V28-M28</f>
        <v/>
      </c>
      <c r="P28" s="25">
        <f>N28/L28</f>
        <v/>
      </c>
      <c r="Q28" s="23" t="n">
        <v>33534</v>
      </c>
      <c r="R28" s="23" t="n"/>
      <c r="S28" s="26" t="n">
        <v>1.9400656</v>
      </c>
      <c r="T28" s="24" t="n">
        <v>79.95</v>
      </c>
      <c r="U28" s="24" t="n">
        <v>79.95</v>
      </c>
      <c r="V28" s="24" t="n">
        <v>79.95</v>
      </c>
      <c r="W28" s="26" t="inlineStr">
        <is>
          <t>adidas Vl Court Bold Womens Sneakers</t>
        </is>
      </c>
      <c r="X28" s="23" t="n">
        <v>4</v>
      </c>
      <c r="Y28" s="18">
        <f>AC28-AB28</f>
        <v/>
      </c>
      <c r="Z28" s="27" t="n">
        <v>40</v>
      </c>
      <c r="AA28" s="27" t="n">
        <v>76</v>
      </c>
      <c r="AB28" s="27" t="n">
        <v>0</v>
      </c>
      <c r="AC28" s="27" t="n">
        <v>56</v>
      </c>
      <c r="AD28" s="1" t="inlineStr">
        <is>
          <t>NML95</t>
        </is>
      </c>
      <c r="AE28" s="1" t="inlineStr">
        <is>
          <t>Black/White/Clear Pink</t>
        </is>
      </c>
      <c r="AF28" s="4" t="n">
        <v>11.99</v>
      </c>
      <c r="AG28" s="4" t="n">
        <v>7.54</v>
      </c>
    </row>
    <row r="29" ht="47.25" customHeight="1">
      <c r="A29" s="18" t="inlineStr">
        <is>
          <t>197607002817</t>
        </is>
      </c>
      <c r="B29" s="19" t="inlineStr">
        <is>
          <t>https://www.amazon.com/dp/</t>
        </is>
      </c>
      <c r="C29" s="20" t="inlineStr">
        <is>
          <t>B0CMGJX23M</t>
        </is>
      </c>
      <c r="D29" s="44" t="n"/>
      <c r="E29" s="23" t="inlineStr">
        <is>
          <t>?th=1&amp;psc=1&amp;tag=sdcdeals03-20</t>
        </is>
      </c>
      <c r="F29" s="19">
        <f>HYPERLINK("https://redirect.sdcdeals.com/redirect?destination=https%3A%2F%2Fwww.amazon.com%2Fdp%2FB0CMGJX23M%3Fth%3D1%26psc%3D1%26tag%3Dsdcdeals03-20", "Amazon Link")</f>
        <v/>
      </c>
      <c r="G29" s="19" t="inlineStr">
        <is>
          <t>https://www.jcpenney.com/s?searchTerm={search_term}</t>
        </is>
      </c>
      <c r="H29" s="23" t="inlineStr">
        <is>
          <t>197607002817</t>
        </is>
      </c>
      <c r="I29" s="19">
        <f>HYPERLINK("https://www.jcpenney.com/s?searchTerm=197607002817", "Retail Link")</f>
        <v/>
      </c>
      <c r="J29" s="23" t="inlineStr">
        <is>
          <t>8</t>
        </is>
      </c>
      <c r="K29" s="21" t="inlineStr">
        <is>
          <t>adidas Women's VL Court Bold Sneaker, Black/White/Clear Pink, 7.5</t>
        </is>
      </c>
      <c r="L29" s="24" t="n">
        <v>71.2405</v>
      </c>
      <c r="M29" s="24" t="n">
        <v>79.95</v>
      </c>
      <c r="N29" s="24" t="n">
        <v>-10.823</v>
      </c>
      <c r="O29" s="24">
        <f>V29-M29</f>
        <v/>
      </c>
      <c r="P29" s="25">
        <f>N29/L29</f>
        <v/>
      </c>
      <c r="Q29" s="23" t="n">
        <v>32687</v>
      </c>
      <c r="R29" s="23" t="n"/>
      <c r="S29" s="26" t="n">
        <v>2.01061344</v>
      </c>
      <c r="T29" s="24" t="n">
        <v>79.95</v>
      </c>
      <c r="U29" s="24" t="n">
        <v>78.64</v>
      </c>
      <c r="V29" s="24" t="n">
        <v>78.64</v>
      </c>
      <c r="W29" s="26" t="inlineStr">
        <is>
          <t>adidas Vl Court Bold Womens Sneakers</t>
        </is>
      </c>
      <c r="X29" s="23" t="n">
        <v>4</v>
      </c>
      <c r="Y29" s="18">
        <f>AC29-AB29</f>
        <v/>
      </c>
      <c r="Z29" s="27" t="n">
        <v>39</v>
      </c>
      <c r="AA29" s="27" t="n">
        <v>78</v>
      </c>
      <c r="AB29" s="27" t="n">
        <v>0</v>
      </c>
      <c r="AC29" s="27" t="n">
        <v>56</v>
      </c>
      <c r="AD29" s="1" t="inlineStr">
        <is>
          <t>NML95</t>
        </is>
      </c>
      <c r="AE29" s="1" t="inlineStr">
        <is>
          <t>Black/White/Clear Pink</t>
        </is>
      </c>
      <c r="AF29" s="4" t="n">
        <v>11.99</v>
      </c>
      <c r="AG29" s="4" t="n">
        <v>7.54</v>
      </c>
    </row>
    <row r="30" ht="47.25" customHeight="1">
      <c r="A30" s="18" t="inlineStr">
        <is>
          <t>197607002763</t>
        </is>
      </c>
      <c r="B30" s="19" t="inlineStr">
        <is>
          <t>https://www.amazon.com/dp/</t>
        </is>
      </c>
      <c r="C30" s="20" t="inlineStr">
        <is>
          <t>B0CMGP56ZK</t>
        </is>
      </c>
      <c r="D30" s="44" t="n"/>
      <c r="E30" s="23" t="inlineStr">
        <is>
          <t>?th=1&amp;psc=1&amp;tag=sdcdeals03-20</t>
        </is>
      </c>
      <c r="F30" s="19">
        <f>HYPERLINK("https://redirect.sdcdeals.com/redirect?destination=https%3A%2F%2Fwww.amazon.com%2Fdp%2FB0CMGP56ZK%3Fth%3D1%26psc%3D1%26tag%3Dsdcdeals03-20", "Amazon Link")</f>
        <v/>
      </c>
      <c r="G30" s="19" t="inlineStr">
        <is>
          <t>https://www.jcpenney.com/s?searchTerm={search_term}</t>
        </is>
      </c>
      <c r="H30" s="23" t="inlineStr">
        <is>
          <t>197607002763</t>
        </is>
      </c>
      <c r="I30" s="19">
        <f>HYPERLINK("https://www.jcpenney.com/s?searchTerm=197607002763", "Retail Link")</f>
        <v/>
      </c>
      <c r="J30" s="23" t="inlineStr">
        <is>
          <t>8</t>
        </is>
      </c>
      <c r="K30" s="21" t="inlineStr">
        <is>
          <t>adidas Women's VL Court Bold Sneaker, Black/White/Clear Pink, 8</t>
        </is>
      </c>
      <c r="L30" s="24" t="n">
        <v>71.2405</v>
      </c>
      <c r="M30" s="24" t="n">
        <v>79.95</v>
      </c>
      <c r="N30" s="24" t="n">
        <v>-10.903</v>
      </c>
      <c r="O30" s="24">
        <f>V30-M30</f>
        <v/>
      </c>
      <c r="P30" s="25">
        <f>N30/L30</f>
        <v/>
      </c>
      <c r="Q30" s="23" t="n">
        <v>33534</v>
      </c>
      <c r="R30" s="23" t="n"/>
      <c r="S30" s="26" t="n">
        <v>2.18036918</v>
      </c>
      <c r="T30" s="24" t="n">
        <v>79.95</v>
      </c>
      <c r="U30" s="24" t="n">
        <v>79.95</v>
      </c>
      <c r="V30" s="24" t="n">
        <v>79.95</v>
      </c>
      <c r="W30" s="26" t="inlineStr">
        <is>
          <t>adidas Vl Court Bold Womens Sneakers</t>
        </is>
      </c>
      <c r="X30" s="23" t="n">
        <v>4</v>
      </c>
      <c r="Y30" s="18">
        <f>AC30-AB30</f>
        <v/>
      </c>
      <c r="Z30" s="27" t="n">
        <v>36</v>
      </c>
      <c r="AA30" s="27" t="n">
        <v>64</v>
      </c>
      <c r="AB30" s="27" t="n">
        <v>0</v>
      </c>
      <c r="AC30" s="27" t="n">
        <v>56</v>
      </c>
      <c r="AD30" s="1" t="inlineStr">
        <is>
          <t>NML95</t>
        </is>
      </c>
      <c r="AE30" s="1" t="inlineStr">
        <is>
          <t>Black/White/Clear Pink</t>
        </is>
      </c>
      <c r="AF30" s="4" t="n">
        <v>11.99</v>
      </c>
      <c r="AG30" s="4" t="n">
        <v>7.62</v>
      </c>
    </row>
    <row r="31" ht="47.25" customHeight="1">
      <c r="A31" s="18" t="inlineStr">
        <is>
          <t>197607002886</t>
        </is>
      </c>
      <c r="B31" s="19" t="inlineStr">
        <is>
          <t>https://www.amazon.com/dp/</t>
        </is>
      </c>
      <c r="C31" s="20" t="inlineStr">
        <is>
          <t>B0CMGJ7X9R</t>
        </is>
      </c>
      <c r="D31" s="44" t="n"/>
      <c r="E31" s="23" t="inlineStr">
        <is>
          <t>?th=1&amp;psc=1&amp;tag=sdcdeals03-20</t>
        </is>
      </c>
      <c r="F31" s="19">
        <f>HYPERLINK("https://redirect.sdcdeals.com/redirect?destination=https%3A%2F%2Fwww.amazon.com%2Fdp%2FB0CMGJ7X9R%3Fth%3D1%26psc%3D1%26tag%3Dsdcdeals03-20", "Amazon Link")</f>
        <v/>
      </c>
      <c r="G31" s="19" t="inlineStr">
        <is>
          <t>https://www.jcpenney.com/s?searchTerm={search_term}</t>
        </is>
      </c>
      <c r="H31" s="23" t="inlineStr">
        <is>
          <t>197607002886</t>
        </is>
      </c>
      <c r="I31" s="19">
        <f>HYPERLINK("https://www.jcpenney.com/s?searchTerm=197607002886", "Retail Link")</f>
        <v/>
      </c>
      <c r="J31" s="23" t="inlineStr">
        <is>
          <t>8</t>
        </is>
      </c>
      <c r="K31" s="21" t="inlineStr">
        <is>
          <t>adidas Women's VL Court Bold Sneaker, Black/White/Clear Pink, 8.5</t>
        </is>
      </c>
      <c r="L31" s="24" t="n">
        <v>71.2405</v>
      </c>
      <c r="M31" s="24" t="n">
        <v>79.95</v>
      </c>
      <c r="N31" s="24" t="n">
        <v>-10.983</v>
      </c>
      <c r="O31" s="24">
        <f>V31-M31</f>
        <v/>
      </c>
      <c r="P31" s="25">
        <f>N31/L31</f>
        <v/>
      </c>
      <c r="Q31" s="23" t="n">
        <v>33534</v>
      </c>
      <c r="R31" s="23" t="n"/>
      <c r="S31" s="26" t="n">
        <v>2.08997976</v>
      </c>
      <c r="T31" s="24" t="n">
        <v>79.95</v>
      </c>
      <c r="U31" s="24" t="n">
        <v>79.95</v>
      </c>
      <c r="V31" s="24" t="n">
        <v>79.95</v>
      </c>
      <c r="W31" s="26" t="inlineStr">
        <is>
          <t>adidas Vl Court Bold Womens Sneakers</t>
        </is>
      </c>
      <c r="X31" s="23" t="n">
        <v>4</v>
      </c>
      <c r="Y31" s="18">
        <f>AC31-AB31</f>
        <v/>
      </c>
      <c r="Z31" s="27" t="n">
        <v>27</v>
      </c>
      <c r="AA31" s="27" t="n">
        <v>49</v>
      </c>
      <c r="AB31" s="27" t="n">
        <v>0</v>
      </c>
      <c r="AC31" s="27" t="n">
        <v>56</v>
      </c>
      <c r="AD31" s="1" t="inlineStr">
        <is>
          <t>NML95</t>
        </is>
      </c>
      <c r="AE31" s="1" t="inlineStr">
        <is>
          <t>Black/White/Clear Pink</t>
        </is>
      </c>
      <c r="AF31" s="4" t="n">
        <v>11.99</v>
      </c>
      <c r="AG31" s="4" t="n">
        <v>7.7</v>
      </c>
    </row>
    <row r="32" ht="47.25" customHeight="1">
      <c r="A32" s="18" t="inlineStr">
        <is>
          <t>197607002862</t>
        </is>
      </c>
      <c r="B32" s="19" t="inlineStr">
        <is>
          <t>https://www.amazon.com/dp/</t>
        </is>
      </c>
      <c r="C32" s="20" t="inlineStr">
        <is>
          <t>B0CMGN46D4</t>
        </is>
      </c>
      <c r="D32" s="44" t="n"/>
      <c r="E32" s="23" t="inlineStr">
        <is>
          <t>?th=1&amp;psc=1&amp;tag=sdcdeals03-20</t>
        </is>
      </c>
      <c r="F32" s="19">
        <f>HYPERLINK("https://redirect.sdcdeals.com/redirect?destination=https%3A%2F%2Fwww.amazon.com%2Fdp%2FB0CMGN46D4%3Fth%3D1%26psc%3D1%26tag%3Dsdcdeals03-20", "Amazon Link")</f>
        <v/>
      </c>
      <c r="G32" s="19" t="inlineStr">
        <is>
          <t>https://www.jcpenney.com/s?searchTerm={search_term}</t>
        </is>
      </c>
      <c r="H32" s="23" t="inlineStr">
        <is>
          <t>197607002862</t>
        </is>
      </c>
      <c r="I32" s="19">
        <f>HYPERLINK("https://www.jcpenney.com/s?searchTerm=197607002862", "Retail Link")</f>
        <v/>
      </c>
      <c r="J32" s="23" t="inlineStr">
        <is>
          <t>8</t>
        </is>
      </c>
      <c r="K32" s="21" t="inlineStr">
        <is>
          <t>adidas Women's VL Court Bold Sneaker, Black/White/Clear Pink, 9</t>
        </is>
      </c>
      <c r="L32" s="24" t="n">
        <v>71.2405</v>
      </c>
      <c r="M32" s="24" t="n">
        <v>79.95</v>
      </c>
      <c r="N32" s="24" t="n">
        <v>-10.983</v>
      </c>
      <c r="O32" s="24">
        <f>V32-M32</f>
        <v/>
      </c>
      <c r="P32" s="25">
        <f>N32/L32</f>
        <v/>
      </c>
      <c r="Q32" s="23" t="n">
        <v>32687</v>
      </c>
      <c r="R32" s="23" t="n"/>
      <c r="S32" s="26" t="n">
        <v>2.23107544</v>
      </c>
      <c r="T32" s="24" t="n">
        <v>79.95</v>
      </c>
      <c r="U32" s="24" t="n">
        <v>79.95</v>
      </c>
      <c r="V32" s="24" t="n">
        <v>79.95</v>
      </c>
      <c r="W32" s="26" t="inlineStr">
        <is>
          <t>adidas Vl Court Bold Womens Sneakers</t>
        </is>
      </c>
      <c r="X32" s="23" t="n">
        <v>4</v>
      </c>
      <c r="Y32" s="18">
        <f>AC32-AB32</f>
        <v/>
      </c>
      <c r="Z32" s="27" t="n">
        <v>32</v>
      </c>
      <c r="AA32" s="27" t="n">
        <v>52</v>
      </c>
      <c r="AB32" s="27" t="n">
        <v>0</v>
      </c>
      <c r="AC32" s="27" t="n">
        <v>56</v>
      </c>
      <c r="AD32" s="1" t="inlineStr">
        <is>
          <t>NML95</t>
        </is>
      </c>
      <c r="AE32" s="1" t="inlineStr">
        <is>
          <t>Black/White/Clear Pink</t>
        </is>
      </c>
      <c r="AF32" s="4" t="n">
        <v>11.99</v>
      </c>
      <c r="AG32" s="4" t="n">
        <v>7.7</v>
      </c>
    </row>
    <row r="33" ht="47.25" customHeight="1">
      <c r="A33" s="18" t="inlineStr">
        <is>
          <t>197607002831</t>
        </is>
      </c>
      <c r="B33" s="19" t="inlineStr">
        <is>
          <t>https://www.amazon.com/dp/</t>
        </is>
      </c>
      <c r="C33" s="20" t="inlineStr">
        <is>
          <t>B0CMGVFP1R</t>
        </is>
      </c>
      <c r="D33" s="44" t="n"/>
      <c r="E33" s="23" t="inlineStr">
        <is>
          <t>?th=1&amp;psc=1&amp;tag=sdcdeals03-20</t>
        </is>
      </c>
      <c r="F33" s="19">
        <f>HYPERLINK("https://redirect.sdcdeals.com/redirect?destination=https%3A%2F%2Fwww.amazon.com%2Fdp%2FB0CMGVFP1R%3Fth%3D1%26psc%3D1%26tag%3Dsdcdeals03-20", "Amazon Link")</f>
        <v/>
      </c>
      <c r="G33" s="19" t="inlineStr">
        <is>
          <t>https://www.jcpenney.com/s?searchTerm={search_term}</t>
        </is>
      </c>
      <c r="H33" s="23" t="inlineStr">
        <is>
          <t>197607002831</t>
        </is>
      </c>
      <c r="I33" s="19">
        <f>HYPERLINK("https://www.jcpenney.com/s?searchTerm=197607002831", "Retail Link")</f>
        <v/>
      </c>
      <c r="J33" s="23" t="inlineStr">
        <is>
          <t>8</t>
        </is>
      </c>
      <c r="K33" s="21" t="inlineStr">
        <is>
          <t>adidas Women's VL Court Bold Sneaker, Black/White/Clear Pink, 9.5</t>
        </is>
      </c>
      <c r="L33" s="24" t="n">
        <v>71.2405</v>
      </c>
      <c r="M33" s="24" t="n">
        <v>79.95</v>
      </c>
      <c r="N33" s="24" t="n">
        <v>-10.983</v>
      </c>
      <c r="O33" s="24">
        <f>V33-M33</f>
        <v/>
      </c>
      <c r="P33" s="25">
        <f>N33/L33</f>
        <v/>
      </c>
      <c r="Q33" s="23" t="n">
        <v>33534</v>
      </c>
      <c r="R33" s="23" t="n"/>
      <c r="S33" s="26" t="n">
        <v>2.5794054</v>
      </c>
      <c r="T33" s="24" t="n">
        <v>79.95</v>
      </c>
      <c r="U33" s="24" t="n">
        <v>77.91</v>
      </c>
      <c r="V33" s="24" t="n">
        <v>77.91</v>
      </c>
      <c r="W33" s="26" t="inlineStr">
        <is>
          <t>adidas Vl Court Bold Womens Sneakers</t>
        </is>
      </c>
      <c r="X33" s="23" t="n">
        <v>2</v>
      </c>
      <c r="Y33" s="18">
        <f>AC33-AB33</f>
        <v/>
      </c>
      <c r="Z33" s="27" t="n">
        <v>23</v>
      </c>
      <c r="AA33" s="27" t="n">
        <v>43</v>
      </c>
      <c r="AB33" s="27" t="n">
        <v>0</v>
      </c>
      <c r="AC33" s="27" t="n">
        <v>56</v>
      </c>
      <c r="AD33" s="1" t="inlineStr">
        <is>
          <t>NML95</t>
        </is>
      </c>
      <c r="AE33" s="1" t="inlineStr">
        <is>
          <t>Black/White/Clear Pink</t>
        </is>
      </c>
      <c r="AF33" s="4" t="n">
        <v>11.99</v>
      </c>
      <c r="AG33" s="4" t="n">
        <v>7.7</v>
      </c>
    </row>
    <row r="34" ht="47.25" customHeight="1">
      <c r="A34" s="18" t="inlineStr">
        <is>
          <t>197607002787</t>
        </is>
      </c>
      <c r="B34" s="19" t="inlineStr">
        <is>
          <t>https://www.amazon.com/dp/</t>
        </is>
      </c>
      <c r="C34" s="20" t="inlineStr">
        <is>
          <t>B0CMG7P89S</t>
        </is>
      </c>
      <c r="D34" s="44" t="n"/>
      <c r="E34" s="23" t="inlineStr">
        <is>
          <t>?th=1&amp;psc=1&amp;tag=sdcdeals03-20</t>
        </is>
      </c>
      <c r="F34" s="19">
        <f>HYPERLINK("https://redirect.sdcdeals.com/redirect?destination=https%3A%2F%2Fwww.amazon.com%2Fdp%2FB0CMG7P89S%3Fth%3D1%26psc%3D1%26tag%3Dsdcdeals03-20", "Amazon Link")</f>
        <v/>
      </c>
      <c r="G34" s="19" t="inlineStr">
        <is>
          <t>https://www.jcpenney.com/s?searchTerm={search_term}</t>
        </is>
      </c>
      <c r="H34" s="23" t="inlineStr">
        <is>
          <t>197607002787</t>
        </is>
      </c>
      <c r="I34" s="19">
        <f>HYPERLINK("https://www.jcpenney.com/s?searchTerm=197607002787", "Retail Link")</f>
        <v/>
      </c>
      <c r="J34" s="23" t="inlineStr">
        <is>
          <t>8</t>
        </is>
      </c>
      <c r="K34" s="21" t="inlineStr">
        <is>
          <t>adidas Women's VL Court Bold Sneaker, Black/White/Clear Pink, 10</t>
        </is>
      </c>
      <c r="L34" s="24" t="n">
        <v>71.2405</v>
      </c>
      <c r="M34" s="24" t="n">
        <v>79.95</v>
      </c>
      <c r="N34" s="24" t="n">
        <v>-10.983</v>
      </c>
      <c r="O34" s="24">
        <f>V34-M34</f>
        <v/>
      </c>
      <c r="P34" s="25">
        <f>N34/L34</f>
        <v/>
      </c>
      <c r="Q34" s="23" t="n">
        <v>33534</v>
      </c>
      <c r="R34" s="23" t="n"/>
      <c r="S34" s="26" t="n">
        <v>2.29060018</v>
      </c>
      <c r="T34" s="24" t="n">
        <v>79.95</v>
      </c>
      <c r="U34" s="24" t="n">
        <v>79.95</v>
      </c>
      <c r="V34" s="24" t="n">
        <v>79.95</v>
      </c>
      <c r="W34" s="26" t="inlineStr">
        <is>
          <t>adidas Vl Court Bold Womens Sneakers</t>
        </is>
      </c>
      <c r="X34" s="23" t="n">
        <v>4</v>
      </c>
      <c r="Y34" s="18">
        <f>AC34-AB34</f>
        <v/>
      </c>
      <c r="Z34" s="27" t="n">
        <v>29</v>
      </c>
      <c r="AA34" s="27" t="n">
        <v>58</v>
      </c>
      <c r="AB34" s="27" t="n">
        <v>0</v>
      </c>
      <c r="AC34" s="27" t="n">
        <v>56</v>
      </c>
      <c r="AD34" s="1" t="inlineStr">
        <is>
          <t>NML95</t>
        </is>
      </c>
      <c r="AE34" s="1" t="inlineStr">
        <is>
          <t>Black/White/Clear Pink</t>
        </is>
      </c>
      <c r="AF34" s="4" t="n">
        <v>11.99</v>
      </c>
      <c r="AG34" s="4" t="n">
        <v>7.7</v>
      </c>
    </row>
    <row r="35" ht="47.25" customHeight="1">
      <c r="A35" s="18" t="inlineStr">
        <is>
          <t>197607002879</t>
        </is>
      </c>
      <c r="B35" s="19" t="inlineStr">
        <is>
          <t>https://www.amazon.com/dp/</t>
        </is>
      </c>
      <c r="C35" s="20" t="inlineStr">
        <is>
          <t>B0CMG7P89V</t>
        </is>
      </c>
      <c r="D35" s="44" t="n"/>
      <c r="E35" s="23" t="inlineStr">
        <is>
          <t>?th=1&amp;psc=1&amp;tag=sdcdeals03-20</t>
        </is>
      </c>
      <c r="F35" s="19">
        <f>HYPERLINK("https://redirect.sdcdeals.com/redirect?destination=https%3A%2F%2Fwww.amazon.com%2Fdp%2FB0CMG7P89V%3Fth%3D1%26psc%3D1%26tag%3Dsdcdeals03-20", "Amazon Link")</f>
        <v/>
      </c>
      <c r="G35" s="19" t="inlineStr">
        <is>
          <t>https://www.jcpenney.com/s?searchTerm={search_term}</t>
        </is>
      </c>
      <c r="H35" s="23" t="inlineStr">
        <is>
          <t>197607002879</t>
        </is>
      </c>
      <c r="I35" s="19">
        <f>HYPERLINK("https://www.jcpenney.com/s?searchTerm=197607002879", "Retail Link")</f>
        <v/>
      </c>
      <c r="J35" s="23" t="inlineStr">
        <is>
          <t>8</t>
        </is>
      </c>
      <c r="K35" s="21" t="inlineStr">
        <is>
          <t>adidas Women's VL Court Bold Sneaker, Black/White/Clear Pink, 11</t>
        </is>
      </c>
      <c r="L35" s="24" t="n">
        <v>71.2405</v>
      </c>
      <c r="M35" s="24" t="n">
        <v>79.95</v>
      </c>
      <c r="N35" s="24" t="n">
        <v>-11.143</v>
      </c>
      <c r="O35" s="24">
        <f>V35-M35</f>
        <v/>
      </c>
      <c r="P35" s="25">
        <f>N35/L35</f>
        <v/>
      </c>
      <c r="Q35" s="23" t="n">
        <v>33534</v>
      </c>
      <c r="R35" s="23" t="n"/>
      <c r="S35" s="26" t="n">
        <v>2.66979482</v>
      </c>
      <c r="T35" s="24" t="n">
        <v>79.95</v>
      </c>
      <c r="U35" s="24" t="n">
        <v>77.27</v>
      </c>
      <c r="V35" s="24" t="n">
        <v>77.27</v>
      </c>
      <c r="W35" s="26" t="inlineStr">
        <is>
          <t>adidas Vl Court Bold Womens Sneakers</t>
        </is>
      </c>
      <c r="X35" s="23" t="n">
        <v>2</v>
      </c>
      <c r="Y35" s="18">
        <f>AC35-AB35</f>
        <v/>
      </c>
      <c r="Z35" s="27" t="n">
        <v>36</v>
      </c>
      <c r="AA35" s="27" t="n">
        <v>67</v>
      </c>
      <c r="AB35" s="27" t="n">
        <v>0</v>
      </c>
      <c r="AC35" s="27" t="n">
        <v>55</v>
      </c>
      <c r="AD35" s="1" t="inlineStr">
        <is>
          <t>NML95</t>
        </is>
      </c>
      <c r="AE35" s="1" t="inlineStr">
        <is>
          <t>Black/White/Clear Pink</t>
        </is>
      </c>
      <c r="AF35" s="4" t="n">
        <v>11.99</v>
      </c>
      <c r="AG35" s="4" t="n">
        <v>7.86</v>
      </c>
    </row>
    <row r="36" ht="47.25" customHeight="1">
      <c r="A36" s="18" t="inlineStr">
        <is>
          <t>196478047170</t>
        </is>
      </c>
      <c r="B36" s="19" t="inlineStr">
        <is>
          <t>https://www.amazon.com/dp/</t>
        </is>
      </c>
      <c r="C36" s="20" t="inlineStr">
        <is>
          <t>B0CCQ15K5H</t>
        </is>
      </c>
      <c r="D36" s="44" t="n"/>
      <c r="E36" s="23" t="inlineStr">
        <is>
          <t>?th=1&amp;psc=1&amp;tag=sdcdeals03-20</t>
        </is>
      </c>
      <c r="F36" s="19">
        <f>HYPERLINK("https://redirect.sdcdeals.com/redirect?destination=https%3A%2F%2Fwww.amazon.com%2Fdp%2FB0CCQ15K5H%3Fth%3D1%26psc%3D1%26tag%3Dsdcdeals03-20", "Amazon Link")</f>
        <v/>
      </c>
      <c r="G36" s="19" t="inlineStr">
        <is>
          <t>https://www.jcpenney.com/s?searchTerm={search_term}</t>
        </is>
      </c>
      <c r="H36" s="23" t="inlineStr">
        <is>
          <t>196478047170</t>
        </is>
      </c>
      <c r="I36" s="19">
        <f>HYPERLINK("https://www.jcpenney.com/s?searchTerm=196478047170", "Retail Link")</f>
        <v/>
      </c>
      <c r="J36" s="23" t="inlineStr">
        <is>
          <t>8</t>
        </is>
      </c>
      <c r="K36" s="21" t="inlineStr">
        <is>
          <t>adidas Women's VL Court Bold Sneaker, Wonder Quartz/White/White, 5</t>
        </is>
      </c>
      <c r="L36" s="24" t="n">
        <v>71.2405</v>
      </c>
      <c r="M36" s="24" t="n">
        <v>79.98999999999999</v>
      </c>
      <c r="N36" s="24" t="n">
        <v>-9.859000000000009</v>
      </c>
      <c r="O36" s="24">
        <f>V36-M36</f>
        <v/>
      </c>
      <c r="P36" s="25">
        <f>N36/L36</f>
        <v/>
      </c>
      <c r="Q36" s="23" t="n">
        <v>35359</v>
      </c>
      <c r="R36" s="23" t="n"/>
      <c r="S36" s="26" t="n">
        <v>1.9400656</v>
      </c>
      <c r="T36" s="24" t="n">
        <v>79.98999999999999</v>
      </c>
      <c r="U36" s="24" t="n">
        <v>65.86</v>
      </c>
      <c r="V36" s="24" t="n">
        <v>72.58</v>
      </c>
      <c r="W36" s="26" t="inlineStr">
        <is>
          <t>adidas Vl Court Bold Womens Sneakers</t>
        </is>
      </c>
      <c r="X36" s="23" t="n">
        <v>1</v>
      </c>
      <c r="Y36" s="18">
        <f>AC36-AB36</f>
        <v/>
      </c>
      <c r="Z36" s="27" t="n">
        <v>17</v>
      </c>
      <c r="AA36" s="27" t="n">
        <v>57</v>
      </c>
      <c r="AB36" s="27" t="n">
        <v>1</v>
      </c>
      <c r="AC36" s="27" t="n">
        <v>53</v>
      </c>
      <c r="AD36" s="1" t="inlineStr">
        <is>
          <t>NLK49</t>
        </is>
      </c>
      <c r="AE36" s="1" t="inlineStr">
        <is>
          <t>Wonder Quartz/White/White</t>
        </is>
      </c>
      <c r="AF36" s="4" t="n">
        <v>12</v>
      </c>
      <c r="AG36" s="4" t="n">
        <v>6.61</v>
      </c>
    </row>
    <row r="37" ht="47.25" customHeight="1">
      <c r="A37" s="18" t="inlineStr">
        <is>
          <t>196478047163</t>
        </is>
      </c>
      <c r="B37" s="19" t="inlineStr">
        <is>
          <t>https://www.amazon.com/dp/</t>
        </is>
      </c>
      <c r="C37" s="20" t="inlineStr">
        <is>
          <t>B0CCQ149M3</t>
        </is>
      </c>
      <c r="D37" s="44" t="n"/>
      <c r="E37" s="23" t="inlineStr">
        <is>
          <t>?th=1&amp;psc=1&amp;tag=sdcdeals03-20</t>
        </is>
      </c>
      <c r="F37" s="19">
        <f>HYPERLINK("https://redirect.sdcdeals.com/redirect?destination=https%3A%2F%2Fwww.amazon.com%2Fdp%2FB0CCQ149M3%3Fth%3D1%26psc%3D1%26tag%3Dsdcdeals03-20", "Amazon Link")</f>
        <v/>
      </c>
      <c r="G37" s="19" t="inlineStr">
        <is>
          <t>https://www.jcpenney.com/s?searchTerm={search_term}</t>
        </is>
      </c>
      <c r="H37" s="23" t="inlineStr">
        <is>
          <t>196478047163</t>
        </is>
      </c>
      <c r="I37" s="19">
        <f>HYPERLINK("https://www.jcpenney.com/s?searchTerm=196478047163", "Retail Link")</f>
        <v/>
      </c>
      <c r="J37" s="23" t="inlineStr">
        <is>
          <t>8</t>
        </is>
      </c>
      <c r="K37" s="21" t="inlineStr">
        <is>
          <t>adidas Women's VL Court Bold Sneaker, Wonder Quartz/White/White, 5.5</t>
        </is>
      </c>
      <c r="L37" s="24" t="n">
        <v>71.2405</v>
      </c>
      <c r="M37" s="24" t="n">
        <v>79.98999999999999</v>
      </c>
      <c r="N37" s="24" t="n">
        <v>-9.859000000000009</v>
      </c>
      <c r="O37" s="24">
        <f>V37-M37</f>
        <v/>
      </c>
      <c r="P37" s="25">
        <f>N37/L37</f>
        <v/>
      </c>
      <c r="Q37" s="23" t="n">
        <v>36477</v>
      </c>
      <c r="R37" s="23" t="n"/>
      <c r="S37" s="26" t="n">
        <v>1.97974876</v>
      </c>
      <c r="T37" s="24" t="n">
        <v>79.98999999999999</v>
      </c>
      <c r="U37" s="24" t="n">
        <v>64.13</v>
      </c>
      <c r="V37" s="24" t="n">
        <v>72.16</v>
      </c>
      <c r="W37" s="26" t="inlineStr">
        <is>
          <t>adidas Vl Court Bold Womens Sneakers</t>
        </is>
      </c>
      <c r="X37" s="23" t="n">
        <v>1</v>
      </c>
      <c r="Y37" s="18">
        <f>AC37-AB37</f>
        <v/>
      </c>
      <c r="Z37" s="27" t="n">
        <v>17</v>
      </c>
      <c r="AA37" s="27" t="n">
        <v>51</v>
      </c>
      <c r="AB37" s="27" t="n">
        <v>1</v>
      </c>
      <c r="AC37" s="27" t="n">
        <v>56</v>
      </c>
      <c r="AD37" s="1" t="inlineStr">
        <is>
          <t>NLK49</t>
        </is>
      </c>
      <c r="AE37" s="1" t="inlineStr">
        <is>
          <t>Wonder Quartz/White/White</t>
        </is>
      </c>
      <c r="AF37" s="4" t="n">
        <v>12</v>
      </c>
      <c r="AG37" s="4" t="n">
        <v>6.61</v>
      </c>
    </row>
    <row r="38" ht="47.25" customHeight="1">
      <c r="A38" s="18" t="inlineStr">
        <is>
          <t>196478047156</t>
        </is>
      </c>
      <c r="B38" s="19" t="inlineStr">
        <is>
          <t>https://www.amazon.com/dp/</t>
        </is>
      </c>
      <c r="C38" s="20" t="inlineStr">
        <is>
          <t>B0CCQTLV8F</t>
        </is>
      </c>
      <c r="D38" s="44" t="n"/>
      <c r="E38" s="23" t="inlineStr">
        <is>
          <t>?th=1&amp;psc=1&amp;tag=sdcdeals03-20</t>
        </is>
      </c>
      <c r="F38" s="19">
        <f>HYPERLINK("https://redirect.sdcdeals.com/redirect?destination=https%3A%2F%2Fwww.amazon.com%2Fdp%2FB0CCQTLV8F%3Fth%3D1%26psc%3D1%26tag%3Dsdcdeals03-20", "Amazon Link")</f>
        <v/>
      </c>
      <c r="G38" s="19" t="inlineStr">
        <is>
          <t>https://www.jcpenney.com/s?searchTerm={search_term}</t>
        </is>
      </c>
      <c r="H38" s="23" t="inlineStr">
        <is>
          <t>196478047156</t>
        </is>
      </c>
      <c r="I38" s="19">
        <f>HYPERLINK("https://www.jcpenney.com/s?searchTerm=196478047156", "Retail Link")</f>
        <v/>
      </c>
      <c r="J38" s="23" t="inlineStr">
        <is>
          <t>8</t>
        </is>
      </c>
      <c r="K38" s="21" t="inlineStr">
        <is>
          <t>adidas Women's VL Court Bold Sneaker, Wonder Quartz/White/White, 6.5</t>
        </is>
      </c>
      <c r="L38" s="24" t="n">
        <v>71.2405</v>
      </c>
      <c r="M38" s="24" t="n">
        <v>79.98999999999999</v>
      </c>
      <c r="N38" s="24" t="n">
        <v>-11.02900000000001</v>
      </c>
      <c r="O38" s="24">
        <f>V38-M38</f>
        <v/>
      </c>
      <c r="P38" s="25">
        <f>N38/L38</f>
        <v/>
      </c>
      <c r="Q38" s="23" t="n">
        <v>32687</v>
      </c>
      <c r="R38" s="23" t="n"/>
      <c r="S38" s="26" t="n">
        <v>2.14068602</v>
      </c>
      <c r="T38" s="24" t="n">
        <v>79.98999999999999</v>
      </c>
      <c r="U38" s="24" t="n">
        <v>71.56999999999999</v>
      </c>
      <c r="V38" s="24" t="n">
        <v>73.29000000000001</v>
      </c>
      <c r="W38" s="26" t="inlineStr">
        <is>
          <t>adidas Vl Court Bold Womens Sneakers</t>
        </is>
      </c>
      <c r="X38" s="23" t="n">
        <v>4</v>
      </c>
      <c r="Y38" s="18">
        <f>AC38-AB38</f>
        <v/>
      </c>
      <c r="Z38" s="27" t="n">
        <v>19</v>
      </c>
      <c r="AA38" s="27" t="n">
        <v>64</v>
      </c>
      <c r="AB38" s="27" t="n">
        <v>0</v>
      </c>
      <c r="AC38" s="27" t="n">
        <v>55</v>
      </c>
      <c r="AD38" s="1" t="inlineStr">
        <is>
          <t>NLK49</t>
        </is>
      </c>
      <c r="AE38" s="1" t="inlineStr">
        <is>
          <t>Wonder Quartz/White/White</t>
        </is>
      </c>
      <c r="AF38" s="4" t="n">
        <v>12</v>
      </c>
      <c r="AG38" s="4" t="n">
        <v>7.78</v>
      </c>
    </row>
    <row r="39" ht="47.25" customHeight="1">
      <c r="A39" s="18" t="inlineStr">
        <is>
          <t>196478047088</t>
        </is>
      </c>
      <c r="B39" s="19" t="inlineStr">
        <is>
          <t>https://www.amazon.com/dp/</t>
        </is>
      </c>
      <c r="C39" s="20" t="inlineStr">
        <is>
          <t>B0CCQ1PYRV</t>
        </is>
      </c>
      <c r="D39" s="44" t="n"/>
      <c r="E39" s="23" t="inlineStr">
        <is>
          <t>?th=1&amp;psc=1&amp;tag=sdcdeals03-20</t>
        </is>
      </c>
      <c r="F39" s="19">
        <f>HYPERLINK("https://redirect.sdcdeals.com/redirect?destination=https%3A%2F%2Fwww.amazon.com%2Fdp%2FB0CCQ1PYRV%3Fth%3D1%26psc%3D1%26tag%3Dsdcdeals03-20", "Amazon Link")</f>
        <v/>
      </c>
      <c r="G39" s="19" t="inlineStr">
        <is>
          <t>https://www.jcpenney.com/s?searchTerm={search_term}</t>
        </is>
      </c>
      <c r="H39" s="23" t="inlineStr">
        <is>
          <t>196478047088</t>
        </is>
      </c>
      <c r="I39" s="19">
        <f>HYPERLINK("https://www.jcpenney.com/s?searchTerm=196478047088", "Retail Link")</f>
        <v/>
      </c>
      <c r="J39" s="23" t="inlineStr">
        <is>
          <t>8</t>
        </is>
      </c>
      <c r="K39" s="21" t="inlineStr">
        <is>
          <t>adidas Women's VL Court Bold Sneaker, Wonder Quartz/White/White, 7</t>
        </is>
      </c>
      <c r="L39" s="24" t="n">
        <v>71.2405</v>
      </c>
      <c r="M39" s="24" t="n">
        <v>79.98999999999999</v>
      </c>
      <c r="N39" s="24" t="n">
        <v>-10.78900000000001</v>
      </c>
      <c r="O39" s="24">
        <f>V39-M39</f>
        <v/>
      </c>
      <c r="P39" s="25">
        <f>N39/L39</f>
        <v/>
      </c>
      <c r="Q39" s="23" t="n">
        <v>33534</v>
      </c>
      <c r="R39" s="23" t="n"/>
      <c r="S39" s="26" t="n">
        <v>2.20021076</v>
      </c>
      <c r="T39" s="24" t="n">
        <v>79.98999999999999</v>
      </c>
      <c r="U39" s="24" t="n">
        <v>79.98999999999999</v>
      </c>
      <c r="V39" s="24" t="n">
        <v>72.59</v>
      </c>
      <c r="W39" s="26" t="inlineStr">
        <is>
          <t>adidas Vl Court Bold Womens Sneakers</t>
        </is>
      </c>
      <c r="X39" s="23" t="n">
        <v>4</v>
      </c>
      <c r="Y39" s="18">
        <f>AC39-AB39</f>
        <v/>
      </c>
      <c r="Z39" s="27" t="n">
        <v>25</v>
      </c>
      <c r="AA39" s="27" t="n">
        <v>72</v>
      </c>
      <c r="AB39" s="27" t="n">
        <v>0</v>
      </c>
      <c r="AC39" s="27" t="n">
        <v>56</v>
      </c>
      <c r="AD39" s="1" t="inlineStr">
        <is>
          <t>NLK49</t>
        </is>
      </c>
      <c r="AE39" s="1" t="inlineStr">
        <is>
          <t>Wonder Quartz/White/White</t>
        </is>
      </c>
      <c r="AF39" s="4" t="n">
        <v>12</v>
      </c>
      <c r="AG39" s="4" t="n">
        <v>7.54</v>
      </c>
    </row>
    <row r="40" ht="47.25" customHeight="1">
      <c r="A40" s="18" t="inlineStr">
        <is>
          <t>196478047132</t>
        </is>
      </c>
      <c r="B40" s="19" t="inlineStr">
        <is>
          <t>https://www.amazon.com/dp/</t>
        </is>
      </c>
      <c r="C40" s="20" t="inlineStr">
        <is>
          <t>B0CCQCFSGY</t>
        </is>
      </c>
      <c r="D40" s="44" t="n"/>
      <c r="E40" s="23" t="inlineStr">
        <is>
          <t>?th=1&amp;psc=1&amp;tag=sdcdeals03-20</t>
        </is>
      </c>
      <c r="F40" s="19">
        <f>HYPERLINK("https://redirect.sdcdeals.com/redirect?destination=https%3A%2F%2Fwww.amazon.com%2Fdp%2FB0CCQCFSGY%3Fth%3D1%26psc%3D1%26tag%3Dsdcdeals03-20", "Amazon Link")</f>
        <v/>
      </c>
      <c r="G40" s="19" t="inlineStr">
        <is>
          <t>https://www.jcpenney.com/s?searchTerm={search_term}</t>
        </is>
      </c>
      <c r="H40" s="23" t="inlineStr">
        <is>
          <t>196478047132</t>
        </is>
      </c>
      <c r="I40" s="19">
        <f>HYPERLINK("https://www.jcpenney.com/s?searchTerm=196478047132", "Retail Link")</f>
        <v/>
      </c>
      <c r="J40" s="23" t="inlineStr">
        <is>
          <t>8</t>
        </is>
      </c>
      <c r="K40" s="21" t="inlineStr">
        <is>
          <t>adidas Women's VL Court Bold Sneaker, Wonder Quartz/White/White, 7.5</t>
        </is>
      </c>
      <c r="L40" s="24" t="n">
        <v>71.2405</v>
      </c>
      <c r="M40" s="24" t="n">
        <v>94.22</v>
      </c>
      <c r="N40" s="24" t="n">
        <v>1.226500000000001</v>
      </c>
      <c r="O40" s="24">
        <f>V40-M40</f>
        <v/>
      </c>
      <c r="P40" s="25">
        <f>N40/L40</f>
        <v/>
      </c>
      <c r="Q40" s="23" t="n">
        <v>33534</v>
      </c>
      <c r="R40" s="23" t="n"/>
      <c r="S40" s="26" t="n">
        <v>2.25091702</v>
      </c>
      <c r="T40" s="24" t="n">
        <v>94.22</v>
      </c>
      <c r="U40" s="24" t="n">
        <v>78.91</v>
      </c>
      <c r="V40" s="24" t="n">
        <v>73.2</v>
      </c>
      <c r="W40" s="26" t="inlineStr">
        <is>
          <t>adidas Vl Court Bold Womens Sneakers</t>
        </is>
      </c>
      <c r="X40" s="23" t="n">
        <v>5</v>
      </c>
      <c r="Y40" s="18">
        <f>AC40-AB40</f>
        <v/>
      </c>
      <c r="Z40" s="27" t="n">
        <v>25</v>
      </c>
      <c r="AA40" s="27" t="n">
        <v>74</v>
      </c>
      <c r="AB40" s="27" t="n">
        <v>1</v>
      </c>
      <c r="AC40" s="27" t="n">
        <v>56</v>
      </c>
      <c r="AD40" s="1" t="inlineStr">
        <is>
          <t>NLK49</t>
        </is>
      </c>
      <c r="AE40" s="1" t="inlineStr">
        <is>
          <t>Wonder Quartz/White/White</t>
        </is>
      </c>
      <c r="AF40" s="4" t="inlineStr"/>
      <c r="AG40" s="4" t="n">
        <v>7.62</v>
      </c>
    </row>
    <row r="41" ht="47.25" customHeight="1">
      <c r="A41" s="18" t="inlineStr">
        <is>
          <t>196478047118</t>
        </is>
      </c>
      <c r="B41" s="19" t="inlineStr">
        <is>
          <t>https://www.amazon.com/dp/</t>
        </is>
      </c>
      <c r="C41" s="20" t="inlineStr">
        <is>
          <t>B0CCQD2FKK</t>
        </is>
      </c>
      <c r="D41" s="44" t="n"/>
      <c r="E41" s="23" t="inlineStr">
        <is>
          <t>?th=1&amp;psc=1&amp;tag=sdcdeals03-20</t>
        </is>
      </c>
      <c r="F41" s="19">
        <f>HYPERLINK("https://redirect.sdcdeals.com/redirect?destination=https%3A%2F%2Fwww.amazon.com%2Fdp%2FB0CCQD2FKK%3Fth%3D1%26psc%3D1%26tag%3Dsdcdeals03-20", "Amazon Link")</f>
        <v/>
      </c>
      <c r="G41" s="19" t="inlineStr">
        <is>
          <t>https://www.jcpenney.com/s?searchTerm={search_term}</t>
        </is>
      </c>
      <c r="H41" s="23" t="inlineStr">
        <is>
          <t>196478047118</t>
        </is>
      </c>
      <c r="I41" s="19">
        <f>HYPERLINK("https://www.jcpenney.com/s?searchTerm=196478047118", "Retail Link")</f>
        <v/>
      </c>
      <c r="J41" s="23" t="inlineStr">
        <is>
          <t>8</t>
        </is>
      </c>
      <c r="K41" s="21" t="inlineStr">
        <is>
          <t>adidas Women's VL Court Bold Sneaker, Wonder Quartz/White/White, 8</t>
        </is>
      </c>
      <c r="L41" s="24" t="n">
        <v>71.2405</v>
      </c>
      <c r="M41" s="24" t="n">
        <v>79.98999999999999</v>
      </c>
      <c r="N41" s="24" t="n">
        <v>-10.78900000000001</v>
      </c>
      <c r="O41" s="24">
        <f>V41-M41</f>
        <v/>
      </c>
      <c r="P41" s="25">
        <f>N41/L41</f>
        <v/>
      </c>
      <c r="Q41" s="23" t="n">
        <v>32687</v>
      </c>
      <c r="R41" s="23" t="n"/>
      <c r="S41" s="26" t="n">
        <v>2.33910182</v>
      </c>
      <c r="T41" s="24" t="n">
        <v>79.98999999999999</v>
      </c>
      <c r="U41" s="24" t="n">
        <v>80</v>
      </c>
      <c r="V41" s="24" t="n">
        <v>74.25</v>
      </c>
      <c r="W41" s="26" t="inlineStr">
        <is>
          <t>adidas Vl Court Bold Womens Sneakers</t>
        </is>
      </c>
      <c r="X41" s="23" t="n">
        <v>7</v>
      </c>
      <c r="Y41" s="18">
        <f>AC41-AB41</f>
        <v/>
      </c>
      <c r="Z41" s="27" t="n">
        <v>24</v>
      </c>
      <c r="AA41" s="27" t="n">
        <v>75</v>
      </c>
      <c r="AB41" s="27" t="n">
        <v>0</v>
      </c>
      <c r="AC41" s="27" t="n">
        <v>53</v>
      </c>
      <c r="AD41" s="1" t="inlineStr">
        <is>
          <t>NLK49</t>
        </is>
      </c>
      <c r="AE41" s="1" t="inlineStr">
        <is>
          <t>Wonder Quartz/White/White</t>
        </is>
      </c>
      <c r="AF41" s="4" t="n">
        <v>12</v>
      </c>
      <c r="AG41" s="4" t="n">
        <v>7.54</v>
      </c>
    </row>
    <row r="42" ht="47.25" customHeight="1">
      <c r="A42" s="18" t="inlineStr">
        <is>
          <t>196478047101</t>
        </is>
      </c>
      <c r="B42" s="19" t="inlineStr">
        <is>
          <t>https://www.amazon.com/dp/</t>
        </is>
      </c>
      <c r="C42" s="20" t="inlineStr">
        <is>
          <t>B0CCQLXW8T</t>
        </is>
      </c>
      <c r="D42" s="44" t="n"/>
      <c r="E42" s="23" t="inlineStr">
        <is>
          <t>?th=1&amp;psc=1&amp;tag=sdcdeals03-20</t>
        </is>
      </c>
      <c r="F42" s="19">
        <f>HYPERLINK("https://redirect.sdcdeals.com/redirect?destination=https%3A%2F%2Fwww.amazon.com%2Fdp%2FB0CCQLXW8T%3Fth%3D1%26psc%3D1%26tag%3Dsdcdeals03-20", "Amazon Link")</f>
        <v/>
      </c>
      <c r="G42" s="19" t="inlineStr">
        <is>
          <t>https://www.jcpenney.com/s?searchTerm={search_term}</t>
        </is>
      </c>
      <c r="H42" s="23" t="inlineStr">
        <is>
          <t>196478047101</t>
        </is>
      </c>
      <c r="I42" s="19">
        <f>HYPERLINK("https://www.jcpenney.com/s?searchTerm=196478047101", "Retail Link")</f>
        <v/>
      </c>
      <c r="J42" s="23" t="inlineStr">
        <is>
          <t>8</t>
        </is>
      </c>
      <c r="K42" s="21" t="inlineStr">
        <is>
          <t>adidas Women's VL Court Bold Sneaker, Wonder Quartz/White/White, 8.5</t>
        </is>
      </c>
      <c r="L42" s="24" t="n">
        <v>71.2405</v>
      </c>
      <c r="M42" s="24" t="n">
        <v>79.98999999999999</v>
      </c>
      <c r="N42" s="24" t="n">
        <v>-11.10900000000001</v>
      </c>
      <c r="O42" s="24">
        <f>V42-M42</f>
        <v/>
      </c>
      <c r="P42" s="25">
        <f>N42/L42</f>
        <v/>
      </c>
      <c r="Q42" s="23" t="n">
        <v>32687</v>
      </c>
      <c r="R42" s="23" t="n"/>
      <c r="S42" s="26" t="n">
        <v>2.36555726</v>
      </c>
      <c r="T42" s="24" t="n">
        <v>79.98999999999999</v>
      </c>
      <c r="U42" s="24" t="n">
        <v>79.98999999999999</v>
      </c>
      <c r="V42" s="24" t="n">
        <v>73.17</v>
      </c>
      <c r="W42" s="26" t="inlineStr">
        <is>
          <t>adidas Vl Court Bold Womens Sneakers</t>
        </is>
      </c>
      <c r="X42" s="23" t="n">
        <v>4</v>
      </c>
      <c r="Y42" s="18">
        <f>AC42-AB42</f>
        <v/>
      </c>
      <c r="Z42" s="27" t="n">
        <v>20</v>
      </c>
      <c r="AA42" s="27" t="n">
        <v>63</v>
      </c>
      <c r="AB42" s="27" t="n">
        <v>2</v>
      </c>
      <c r="AC42" s="27" t="n">
        <v>55</v>
      </c>
      <c r="AD42" s="1" t="inlineStr">
        <is>
          <t>NLK49</t>
        </is>
      </c>
      <c r="AE42" s="1" t="inlineStr">
        <is>
          <t>Wonder Quartz/White/White</t>
        </is>
      </c>
      <c r="AF42" s="4" t="n">
        <v>12</v>
      </c>
      <c r="AG42" s="4" t="n">
        <v>7.86</v>
      </c>
    </row>
    <row r="43" ht="47.25" customHeight="1">
      <c r="A43" s="18" t="inlineStr">
        <is>
          <t>196478047095</t>
        </is>
      </c>
      <c r="B43" s="19" t="inlineStr">
        <is>
          <t>https://www.amazon.com/dp/</t>
        </is>
      </c>
      <c r="C43" s="20" t="inlineStr">
        <is>
          <t>B0CCQFYDS6</t>
        </is>
      </c>
      <c r="D43" s="44" t="n"/>
      <c r="E43" s="23" t="inlineStr">
        <is>
          <t>?th=1&amp;psc=1&amp;tag=sdcdeals03-20</t>
        </is>
      </c>
      <c r="F43" s="19">
        <f>HYPERLINK("https://redirect.sdcdeals.com/redirect?destination=https%3A%2F%2Fwww.amazon.com%2Fdp%2FB0CCQFYDS6%3Fth%3D1%26psc%3D1%26tag%3Dsdcdeals03-20", "Amazon Link")</f>
        <v/>
      </c>
      <c r="G43" s="19" t="inlineStr">
        <is>
          <t>https://www.jcpenney.com/s?searchTerm={search_term}</t>
        </is>
      </c>
      <c r="H43" s="23" t="inlineStr">
        <is>
          <t>196478047095</t>
        </is>
      </c>
      <c r="I43" s="19">
        <f>HYPERLINK("https://www.jcpenney.com/s?searchTerm=196478047095", "Retail Link")</f>
        <v/>
      </c>
      <c r="J43" s="23" t="inlineStr">
        <is>
          <t>8</t>
        </is>
      </c>
      <c r="K43" s="21" t="inlineStr">
        <is>
          <t>adidas Women's VL Court Bold Sneaker, Wonder Quartz/White/White, 9</t>
        </is>
      </c>
      <c r="L43" s="24" t="n">
        <v>71.2405</v>
      </c>
      <c r="M43" s="24" t="n">
        <v>79.98999999999999</v>
      </c>
      <c r="N43" s="24" t="n">
        <v>-11.02900000000001</v>
      </c>
      <c r="O43" s="24">
        <f>V43-M43</f>
        <v/>
      </c>
      <c r="P43" s="25">
        <f>N43/L43</f>
        <v/>
      </c>
      <c r="Q43" s="23" t="n">
        <v>33534</v>
      </c>
      <c r="R43" s="23" t="n"/>
      <c r="S43" s="26" t="n">
        <v>2.3809896</v>
      </c>
      <c r="T43" s="24" t="n">
        <v>79.98999999999999</v>
      </c>
      <c r="U43" s="24" t="n">
        <v>78.66</v>
      </c>
      <c r="V43" s="24" t="n">
        <v>75.11</v>
      </c>
      <c r="W43" s="26" t="inlineStr">
        <is>
          <t>adidas Vl Court Bold Womens Sneakers</t>
        </is>
      </c>
      <c r="X43" s="23" t="n">
        <v>5</v>
      </c>
      <c r="Y43" s="18">
        <f>AC43-AB43</f>
        <v/>
      </c>
      <c r="Z43" s="27" t="n">
        <v>29</v>
      </c>
      <c r="AA43" s="27" t="n">
        <v>72</v>
      </c>
      <c r="AB43" s="27" t="n">
        <v>1</v>
      </c>
      <c r="AC43" s="27" t="n">
        <v>54</v>
      </c>
      <c r="AD43" s="1" t="inlineStr">
        <is>
          <t>NLK49</t>
        </is>
      </c>
      <c r="AE43" s="1" t="inlineStr">
        <is>
          <t>Wonder Quartz/White/White</t>
        </is>
      </c>
      <c r="AF43" s="4" t="n">
        <v>12</v>
      </c>
      <c r="AG43" s="4" t="n">
        <v>7.78</v>
      </c>
    </row>
    <row r="44" ht="47.25" customHeight="1">
      <c r="A44" s="18" t="inlineStr">
        <is>
          <t>196478047071</t>
        </is>
      </c>
      <c r="B44" s="19" t="inlineStr">
        <is>
          <t>https://www.amazon.com/dp/</t>
        </is>
      </c>
      <c r="C44" s="20" t="inlineStr">
        <is>
          <t>B0CCQDLGF8</t>
        </is>
      </c>
      <c r="D44" s="44" t="n"/>
      <c r="E44" s="23" t="inlineStr">
        <is>
          <t>?th=1&amp;psc=1&amp;tag=sdcdeals03-20</t>
        </is>
      </c>
      <c r="F44" s="19">
        <f>HYPERLINK("https://redirect.sdcdeals.com/redirect?destination=https%3A%2F%2Fwww.amazon.com%2Fdp%2FB0CCQDLGF8%3Fth%3D1%26psc%3D1%26tag%3Dsdcdeals03-20", "Amazon Link")</f>
        <v/>
      </c>
      <c r="G44" s="19" t="inlineStr">
        <is>
          <t>https://www.jcpenney.com/s?searchTerm={search_term}</t>
        </is>
      </c>
      <c r="H44" s="23" t="inlineStr">
        <is>
          <t>196478047071</t>
        </is>
      </c>
      <c r="I44" s="19">
        <f>HYPERLINK("https://www.jcpenney.com/s?searchTerm=196478047071", "Retail Link")</f>
        <v/>
      </c>
      <c r="J44" s="23" t="inlineStr">
        <is>
          <t>8</t>
        </is>
      </c>
      <c r="K44" s="21" t="inlineStr">
        <is>
          <t>adidas Women's VL Court Bold Sneaker, Wonder Quartz/White/White, 9.5</t>
        </is>
      </c>
      <c r="L44" s="24" t="n">
        <v>71.2405</v>
      </c>
      <c r="M44" s="24" t="n">
        <v>79.98999999999999</v>
      </c>
      <c r="N44" s="24" t="n">
        <v>-10.94900000000001</v>
      </c>
      <c r="O44" s="24">
        <f>V44-M44</f>
        <v/>
      </c>
      <c r="P44" s="25">
        <f>N44/L44</f>
        <v/>
      </c>
      <c r="Q44" s="23" t="n">
        <v>33534</v>
      </c>
      <c r="R44" s="23" t="n"/>
      <c r="S44" s="26" t="n">
        <v>2.5794054</v>
      </c>
      <c r="T44" s="24" t="n">
        <v>79.98999999999999</v>
      </c>
      <c r="U44" s="24" t="n">
        <v>75.53</v>
      </c>
      <c r="V44" s="24" t="n">
        <v>75.05</v>
      </c>
      <c r="W44" s="26" t="inlineStr">
        <is>
          <t>adidas Vl Court Bold Womens Sneakers</t>
        </is>
      </c>
      <c r="X44" s="23" t="n">
        <v>3</v>
      </c>
      <c r="Y44" s="18">
        <f>AC44-AB44</f>
        <v/>
      </c>
      <c r="Z44" s="27" t="n">
        <v>37</v>
      </c>
      <c r="AA44" s="27" t="n">
        <v>86</v>
      </c>
      <c r="AB44" s="27" t="n">
        <v>0</v>
      </c>
      <c r="AC44" s="27" t="n">
        <v>56</v>
      </c>
      <c r="AD44" s="1" t="inlineStr">
        <is>
          <t>NLK49</t>
        </is>
      </c>
      <c r="AE44" s="1" t="inlineStr">
        <is>
          <t>Wonder Quartz/White/White</t>
        </is>
      </c>
      <c r="AF44" s="4" t="n">
        <v>12</v>
      </c>
      <c r="AG44" s="4" t="n">
        <v>7.7</v>
      </c>
    </row>
    <row r="45" ht="47.25" customHeight="1">
      <c r="A45" s="18" t="inlineStr">
        <is>
          <t>196478047057</t>
        </is>
      </c>
      <c r="B45" s="19" t="inlineStr">
        <is>
          <t>https://www.amazon.com/dp/</t>
        </is>
      </c>
      <c r="C45" s="20" t="inlineStr">
        <is>
          <t>B0CCQWDNYZ</t>
        </is>
      </c>
      <c r="D45" s="44" t="n"/>
      <c r="E45" s="23" t="inlineStr">
        <is>
          <t>?th=1&amp;psc=1&amp;tag=sdcdeals03-20</t>
        </is>
      </c>
      <c r="F45" s="19">
        <f>HYPERLINK("https://redirect.sdcdeals.com/redirect?destination=https%3A%2F%2Fwww.amazon.com%2Fdp%2FB0CCQWDNYZ%3Fth%3D1%26psc%3D1%26tag%3Dsdcdeals03-20", "Amazon Link")</f>
        <v/>
      </c>
      <c r="G45" s="19" t="inlineStr">
        <is>
          <t>https://www.jcpenney.com/s?searchTerm={search_term}</t>
        </is>
      </c>
      <c r="H45" s="23" t="inlineStr">
        <is>
          <t>196478047057</t>
        </is>
      </c>
      <c r="I45" s="19">
        <f>HYPERLINK("https://www.jcpenney.com/s?searchTerm=196478047057", "Retail Link")</f>
        <v/>
      </c>
      <c r="J45" s="23" t="inlineStr">
        <is>
          <t>8</t>
        </is>
      </c>
      <c r="K45" s="21" t="inlineStr">
        <is>
          <t>adidas Women's VL Court Bold Sneaker, Wonder Quartz/White/White, 10</t>
        </is>
      </c>
      <c r="L45" s="24" t="n">
        <v>71.2405</v>
      </c>
      <c r="M45" s="24" t="n">
        <v>79.98999999999999</v>
      </c>
      <c r="N45" s="24" t="n">
        <v>-10.94900000000001</v>
      </c>
      <c r="O45" s="24">
        <f>V45-M45</f>
        <v/>
      </c>
      <c r="P45" s="25">
        <f>N45/L45</f>
        <v/>
      </c>
      <c r="Q45" s="23" t="n">
        <v>33534</v>
      </c>
      <c r="R45" s="23" t="n"/>
      <c r="S45" s="26" t="n">
        <v>2.55956382</v>
      </c>
      <c r="T45" s="24" t="n">
        <v>79.98999999999999</v>
      </c>
      <c r="U45" s="24" t="n">
        <v>77.53</v>
      </c>
      <c r="V45" s="24" t="n">
        <v>75.89</v>
      </c>
      <c r="W45" s="26" t="inlineStr">
        <is>
          <t>adidas Vl Court Bold Womens Sneakers</t>
        </is>
      </c>
      <c r="X45" s="23" t="n">
        <v>2</v>
      </c>
      <c r="Y45" s="18">
        <f>AC45-AB45</f>
        <v/>
      </c>
      <c r="Z45" s="27" t="n">
        <v>26</v>
      </c>
      <c r="AA45" s="27" t="n">
        <v>100</v>
      </c>
      <c r="AB45" s="27" t="n">
        <v>0</v>
      </c>
      <c r="AC45" s="27" t="n">
        <v>56</v>
      </c>
      <c r="AD45" s="1" t="inlineStr">
        <is>
          <t>NLK49</t>
        </is>
      </c>
      <c r="AE45" s="1" t="inlineStr">
        <is>
          <t>Wonder Quartz/White/White</t>
        </is>
      </c>
      <c r="AF45" s="4" t="n">
        <v>12</v>
      </c>
      <c r="AG45" s="4" t="n">
        <v>7.7</v>
      </c>
    </row>
    <row r="46" ht="47.25" customHeight="1">
      <c r="A46" s="18" t="inlineStr">
        <is>
          <t>196478047187</t>
        </is>
      </c>
      <c r="B46" s="19" t="inlineStr">
        <is>
          <t>https://www.amazon.com/dp/</t>
        </is>
      </c>
      <c r="C46" s="20" t="inlineStr">
        <is>
          <t>B0CCQ5XHND</t>
        </is>
      </c>
      <c r="D46" s="44" t="n"/>
      <c r="E46" s="23" t="inlineStr">
        <is>
          <t>?th=1&amp;psc=1&amp;tag=sdcdeals03-20</t>
        </is>
      </c>
      <c r="F46" s="19">
        <f>HYPERLINK("https://redirect.sdcdeals.com/redirect?destination=https%3A%2F%2Fwww.amazon.com%2Fdp%2FB0CCQ5XHND%3Fth%3D1%26psc%3D1%26tag%3Dsdcdeals03-20", "Amazon Link")</f>
        <v/>
      </c>
      <c r="G46" s="19" t="inlineStr">
        <is>
          <t>https://www.jcpenney.com/s?searchTerm={search_term}</t>
        </is>
      </c>
      <c r="H46" s="23" t="inlineStr">
        <is>
          <t>196478047187</t>
        </is>
      </c>
      <c r="I46" s="19">
        <f>HYPERLINK("https://www.jcpenney.com/s?searchTerm=196478047187", "Retail Link")</f>
        <v/>
      </c>
      <c r="J46" s="23" t="inlineStr">
        <is>
          <t>8</t>
        </is>
      </c>
      <c r="K46" s="21" t="inlineStr">
        <is>
          <t>adidas Women's VL Court Bold Sneaker, Wonder Quartz/White/White, 11</t>
        </is>
      </c>
      <c r="L46" s="24" t="n">
        <v>71.2405</v>
      </c>
      <c r="M46" s="24" t="n">
        <v>79.98999999999999</v>
      </c>
      <c r="N46" s="24" t="n">
        <v>-11.10900000000001</v>
      </c>
      <c r="O46" s="24">
        <f>V46-M46</f>
        <v/>
      </c>
      <c r="P46" s="25">
        <f>N46/L46</f>
        <v/>
      </c>
      <c r="Q46" s="23" t="n">
        <v>32971</v>
      </c>
      <c r="R46" s="23" t="n"/>
      <c r="S46" s="26" t="n">
        <v>2.66979482</v>
      </c>
      <c r="T46" s="24" t="n">
        <v>79.98999999999999</v>
      </c>
      <c r="U46" s="24" t="n">
        <v>77.48999999999999</v>
      </c>
      <c r="V46" s="24" t="n">
        <v>75.65000000000001</v>
      </c>
      <c r="W46" s="26" t="inlineStr">
        <is>
          <t>adidas Vl Court Bold Womens Sneakers</t>
        </is>
      </c>
      <c r="X46" s="23" t="n">
        <v>1</v>
      </c>
      <c r="Y46" s="18">
        <f>AC46-AB46</f>
        <v/>
      </c>
      <c r="Z46" s="27" t="n">
        <v>8</v>
      </c>
      <c r="AA46" s="27" t="n">
        <v>49</v>
      </c>
      <c r="AB46" s="27" t="n">
        <v>0</v>
      </c>
      <c r="AC46" s="27" t="n">
        <v>53</v>
      </c>
      <c r="AD46" s="1" t="inlineStr">
        <is>
          <t>NLK49</t>
        </is>
      </c>
      <c r="AE46" s="1" t="inlineStr">
        <is>
          <t>Wonder Quartz/White/White</t>
        </is>
      </c>
      <c r="AF46" s="4" t="n">
        <v>12</v>
      </c>
      <c r="AG46" s="4" t="n">
        <v>7.86</v>
      </c>
    </row>
    <row r="47" ht="47.25" customHeight="1">
      <c r="A47" s="18" t="inlineStr">
        <is>
          <t>196478207956</t>
        </is>
      </c>
      <c r="B47" s="19" t="inlineStr">
        <is>
          <t>https://www.amazon.com/dp/</t>
        </is>
      </c>
      <c r="C47" s="20" t="inlineStr">
        <is>
          <t>B0CKMQ71MT</t>
        </is>
      </c>
      <c r="D47" s="44" t="n"/>
      <c r="E47" s="23" t="inlineStr">
        <is>
          <t>?th=1&amp;psc=1&amp;tag=sdcdeals03-20</t>
        </is>
      </c>
      <c r="F47" s="19">
        <f>HYPERLINK("https://redirect.sdcdeals.com/redirect?destination=https%3A%2F%2Fwww.amazon.com%2Fdp%2FB0CKMQ71MT%3Fth%3D1%26psc%3D1%26tag%3Dsdcdeals03-20", "Amazon Link")</f>
        <v/>
      </c>
      <c r="G47" s="19" t="inlineStr">
        <is>
          <t>https://www.jcpenney.com/s?searchTerm={search_term}</t>
        </is>
      </c>
      <c r="H47" s="23" t="inlineStr">
        <is>
          <t>196478207956</t>
        </is>
      </c>
      <c r="I47" s="19">
        <f>HYPERLINK("https://www.jcpenney.com/s?searchTerm=196478207956", "Retail Link")</f>
        <v/>
      </c>
      <c r="J47" s="23" t="inlineStr">
        <is>
          <t>8</t>
        </is>
      </c>
      <c r="K47" s="21" t="inlineStr">
        <is>
          <t>adidas Women's VL Court Bold Sneaker, Pink Spark/Lucid Lemon/Lucid Blue, 5</t>
        </is>
      </c>
      <c r="L47" s="24" t="n">
        <v>71.2405</v>
      </c>
      <c r="M47" s="24" t="n">
        <v>114.93</v>
      </c>
      <c r="N47" s="24" t="n">
        <v>19.84</v>
      </c>
      <c r="O47" s="24">
        <f>V47-M47</f>
        <v/>
      </c>
      <c r="P47" s="25">
        <f>N47/L47</f>
        <v/>
      </c>
      <c r="Q47" s="23" t="n">
        <v>32301</v>
      </c>
      <c r="R47" s="23" t="n"/>
      <c r="S47" s="26" t="n">
        <v>1.9400656</v>
      </c>
      <c r="T47" s="24" t="n">
        <v>99.98</v>
      </c>
      <c r="U47" s="24" t="n">
        <v>107.61</v>
      </c>
      <c r="V47" s="24" t="n">
        <v>107.61</v>
      </c>
      <c r="W47" s="26" t="inlineStr">
        <is>
          <t>adidas Vl Court Bold Womens Sneakers</t>
        </is>
      </c>
      <c r="X47" s="23" t="n">
        <v>2</v>
      </c>
      <c r="Y47" s="18">
        <f>AC47-AB47</f>
        <v/>
      </c>
      <c r="Z47" s="27" t="n">
        <v>28</v>
      </c>
      <c r="AA47" s="27" t="n">
        <v>59</v>
      </c>
      <c r="AB47" s="27" t="n">
        <v>1</v>
      </c>
      <c r="AC47" s="27" t="n">
        <v>56</v>
      </c>
      <c r="AD47" s="1" t="inlineStr">
        <is>
          <t>NLK49</t>
        </is>
      </c>
      <c r="AE47" s="1" t="inlineStr">
        <is>
          <t>Pink Spark/Lucid Lemon/Lucid Blue</t>
        </is>
      </c>
      <c r="AF47" s="4" t="n">
        <v>17.24</v>
      </c>
      <c r="AG47" s="4" t="n">
        <v>6.61</v>
      </c>
    </row>
    <row r="48" ht="47.25" customHeight="1">
      <c r="A48" s="18" t="inlineStr">
        <is>
          <t>196478207970</t>
        </is>
      </c>
      <c r="B48" s="19" t="inlineStr">
        <is>
          <t>https://www.amazon.com/dp/</t>
        </is>
      </c>
      <c r="C48" s="20" t="inlineStr">
        <is>
          <t>B0CKMPXYBD</t>
        </is>
      </c>
      <c r="D48" s="44" t="n"/>
      <c r="E48" s="23" t="inlineStr">
        <is>
          <t>?th=1&amp;psc=1&amp;tag=sdcdeals03-20</t>
        </is>
      </c>
      <c r="F48" s="19">
        <f>HYPERLINK("https://redirect.sdcdeals.com/redirect?destination=https%3A%2F%2Fwww.amazon.com%2Fdp%2FB0CKMPXYBD%3Fth%3D1%26psc%3D1%26tag%3Dsdcdeals03-20", "Amazon Link")</f>
        <v/>
      </c>
      <c r="G48" s="19" t="inlineStr">
        <is>
          <t>https://www.jcpenney.com/s?searchTerm={search_term}</t>
        </is>
      </c>
      <c r="H48" s="23" t="inlineStr">
        <is>
          <t>196478207970</t>
        </is>
      </c>
      <c r="I48" s="19">
        <f>HYPERLINK("https://www.jcpenney.com/s?searchTerm=196478207970", "Retail Link")</f>
        <v/>
      </c>
      <c r="J48" s="23" t="inlineStr">
        <is>
          <t>8</t>
        </is>
      </c>
      <c r="K48" s="21" t="inlineStr">
        <is>
          <t>adidas Women's VL Court Bold Sneaker, Pink Spark/Lucid Lemon/Lucid Blue, 5.5</t>
        </is>
      </c>
      <c r="L48" s="24" t="n">
        <v>71.2405</v>
      </c>
      <c r="M48" s="24" t="n">
        <v>99.98</v>
      </c>
      <c r="N48" s="24" t="n">
        <v>7.132500000000007</v>
      </c>
      <c r="O48" s="24">
        <f>V48-M48</f>
        <v/>
      </c>
      <c r="P48" s="25">
        <f>N48/L48</f>
        <v/>
      </c>
      <c r="Q48" s="23" t="n">
        <v>32728</v>
      </c>
      <c r="R48" s="23" t="n"/>
      <c r="S48" s="26" t="n">
        <v>1.97974876</v>
      </c>
      <c r="T48" s="24" t="n">
        <v>99.98</v>
      </c>
      <c r="U48" s="24" t="n">
        <v>112.36</v>
      </c>
      <c r="V48" s="24" t="n">
        <v>112.36</v>
      </c>
      <c r="W48" s="26" t="inlineStr">
        <is>
          <t>adidas Vl Court Bold Womens Sneakers</t>
        </is>
      </c>
      <c r="X48" s="23" t="n">
        <v>1</v>
      </c>
      <c r="Y48" s="18">
        <f>AC48-AB48</f>
        <v/>
      </c>
      <c r="Z48" s="27" t="n">
        <v>19</v>
      </c>
      <c r="AA48" s="27" t="n">
        <v>37</v>
      </c>
      <c r="AB48" s="27" t="n">
        <v>0</v>
      </c>
      <c r="AC48" s="27" t="n">
        <v>56</v>
      </c>
      <c r="AD48" s="1" t="inlineStr">
        <is>
          <t>NLK49</t>
        </is>
      </c>
      <c r="AE48" s="1" t="inlineStr">
        <is>
          <t>Pink Spark/Lucid Lemon/Lucid Blue</t>
        </is>
      </c>
      <c r="AF48" s="4" t="inlineStr"/>
      <c r="AG48" s="4" t="n">
        <v>6.61</v>
      </c>
    </row>
    <row r="49" ht="47.25" customHeight="1">
      <c r="A49" s="18" t="inlineStr">
        <is>
          <t>196478207932</t>
        </is>
      </c>
      <c r="B49" s="19" t="inlineStr">
        <is>
          <t>https://www.amazon.com/dp/</t>
        </is>
      </c>
      <c r="C49" s="20" t="inlineStr">
        <is>
          <t>B0CKMNG7DN</t>
        </is>
      </c>
      <c r="D49" s="44" t="n"/>
      <c r="E49" s="23" t="inlineStr">
        <is>
          <t>?th=1&amp;psc=1&amp;tag=sdcdeals03-20</t>
        </is>
      </c>
      <c r="F49" s="19">
        <f>HYPERLINK("https://redirect.sdcdeals.com/redirect?destination=https%3A%2F%2Fwww.amazon.com%2Fdp%2FB0CKMNG7DN%3Fth%3D1%26psc%3D1%26tag%3Dsdcdeals03-20", "Amazon Link")</f>
        <v/>
      </c>
      <c r="G49" s="19" t="inlineStr">
        <is>
          <t>https://www.jcpenney.com/s?searchTerm={search_term}</t>
        </is>
      </c>
      <c r="H49" s="23" t="inlineStr">
        <is>
          <t>196478207932</t>
        </is>
      </c>
      <c r="I49" s="19">
        <f>HYPERLINK("https://www.jcpenney.com/s?searchTerm=196478207932", "Retail Link")</f>
        <v/>
      </c>
      <c r="J49" s="23" t="inlineStr">
        <is>
          <t>8</t>
        </is>
      </c>
      <c r="K49" s="21" t="inlineStr">
        <is>
          <t>adidas Women's VL Court Bold Sneaker, Pink Spark/Lucid Lemon/Lucid Blue, 6</t>
        </is>
      </c>
      <c r="L49" s="24" t="n">
        <v>71.2405</v>
      </c>
      <c r="M49" s="24" t="n">
        <v>80</v>
      </c>
      <c r="N49" s="24" t="n">
        <v>-9.850499999999997</v>
      </c>
      <c r="O49" s="24">
        <f>V49-M49</f>
        <v/>
      </c>
      <c r="P49" s="25">
        <f>N49/L49</f>
        <v/>
      </c>
      <c r="Q49" s="23" t="n">
        <v>32687</v>
      </c>
      <c r="R49" s="23" t="n"/>
      <c r="S49" s="26" t="n">
        <v>1.95990718</v>
      </c>
      <c r="T49" s="24" t="n">
        <v>80</v>
      </c>
      <c r="U49" s="24" t="n">
        <v>90.62</v>
      </c>
      <c r="V49" s="24" t="n">
        <v>93.5</v>
      </c>
      <c r="W49" s="26" t="inlineStr">
        <is>
          <t>adidas Vl Court Bold Womens Sneakers</t>
        </is>
      </c>
      <c r="X49" s="23" t="n">
        <v>4</v>
      </c>
      <c r="Y49" s="18">
        <f>AC49-AB49</f>
        <v/>
      </c>
      <c r="Z49" s="27" t="n">
        <v>35</v>
      </c>
      <c r="AA49" s="27" t="n">
        <v>95</v>
      </c>
      <c r="AB49" s="27" t="n">
        <v>0</v>
      </c>
      <c r="AC49" s="27" t="n">
        <v>56</v>
      </c>
      <c r="AD49" s="1" t="inlineStr">
        <is>
          <t>NLK49</t>
        </is>
      </c>
      <c r="AE49" s="1" t="inlineStr">
        <is>
          <t>Pink Spark/Lucid Lemon/Lucid Blue</t>
        </is>
      </c>
      <c r="AF49" s="4" t="n">
        <v>12</v>
      </c>
      <c r="AG49" s="4" t="n">
        <v>6.61</v>
      </c>
    </row>
    <row r="50" ht="47.25" customHeight="1">
      <c r="A50" s="18" t="inlineStr">
        <is>
          <t>196478207888</t>
        </is>
      </c>
      <c r="B50" s="19" t="inlineStr">
        <is>
          <t>https://www.amazon.com/dp/</t>
        </is>
      </c>
      <c r="C50" s="20" t="inlineStr">
        <is>
          <t>B0CKMM8LGJ</t>
        </is>
      </c>
      <c r="D50" s="44" t="n"/>
      <c r="E50" s="23" t="inlineStr">
        <is>
          <t>?th=1&amp;psc=1&amp;tag=sdcdeals03-20</t>
        </is>
      </c>
      <c r="F50" s="19">
        <f>HYPERLINK("https://redirect.sdcdeals.com/redirect?destination=https%3A%2F%2Fwww.amazon.com%2Fdp%2FB0CKMM8LGJ%3Fth%3D1%26psc%3D1%26tag%3Dsdcdeals03-20", "Amazon Link")</f>
        <v/>
      </c>
      <c r="G50" s="19" t="inlineStr">
        <is>
          <t>https://www.jcpenney.com/s?searchTerm={search_term}</t>
        </is>
      </c>
      <c r="H50" s="23" t="inlineStr">
        <is>
          <t>196478207888</t>
        </is>
      </c>
      <c r="I50" s="19">
        <f>HYPERLINK("https://www.jcpenney.com/s?searchTerm=196478207888", "Retail Link")</f>
        <v/>
      </c>
      <c r="J50" s="23" t="inlineStr">
        <is>
          <t>8</t>
        </is>
      </c>
      <c r="K50" s="21" t="inlineStr">
        <is>
          <t>adidas Women's VL Court Bold Sneaker, Pink Spark/Lucid Lemon/Lucid Blue, 6.5</t>
        </is>
      </c>
      <c r="L50" s="24" t="n">
        <v>71.2405</v>
      </c>
      <c r="M50" s="24" t="n">
        <v>80</v>
      </c>
      <c r="N50" s="24" t="n">
        <v>-11.0205</v>
      </c>
      <c r="O50" s="24">
        <f>V50-M50</f>
        <v/>
      </c>
      <c r="P50" s="25">
        <f>N50/L50</f>
        <v/>
      </c>
      <c r="Q50" s="23" t="n">
        <v>33534</v>
      </c>
      <c r="R50" s="23" t="n"/>
      <c r="S50" s="26" t="n">
        <v>2.14068602</v>
      </c>
      <c r="T50" s="24" t="n">
        <v>80</v>
      </c>
      <c r="U50" s="24" t="n">
        <v>85.59999999999999</v>
      </c>
      <c r="V50" s="24" t="n">
        <v>90.83</v>
      </c>
      <c r="W50" s="26" t="inlineStr">
        <is>
          <t>adidas Vl Court Bold Womens Sneakers</t>
        </is>
      </c>
      <c r="X50" s="23" t="n">
        <v>4</v>
      </c>
      <c r="Y50" s="18">
        <f>AC50-AB50</f>
        <v/>
      </c>
      <c r="Z50" s="27" t="n">
        <v>43</v>
      </c>
      <c r="AA50" s="27" t="n">
        <v>107</v>
      </c>
      <c r="AB50" s="27" t="n">
        <v>0</v>
      </c>
      <c r="AC50" s="27" t="n">
        <v>56</v>
      </c>
      <c r="AD50" s="1" t="inlineStr">
        <is>
          <t>NLK49</t>
        </is>
      </c>
      <c r="AE50" s="1" t="inlineStr">
        <is>
          <t>Pink Spark/Lucid Lemon/Lucid Blue</t>
        </is>
      </c>
      <c r="AF50" s="4" t="n">
        <v>12</v>
      </c>
      <c r="AG50" s="4" t="n">
        <v>7.78</v>
      </c>
    </row>
    <row r="51" ht="47.25" customHeight="1">
      <c r="A51" s="18" t="inlineStr">
        <is>
          <t>196478207901</t>
        </is>
      </c>
      <c r="B51" s="19" t="inlineStr">
        <is>
          <t>https://www.amazon.com/dp/</t>
        </is>
      </c>
      <c r="C51" s="20" t="inlineStr">
        <is>
          <t>B0CKMNNHMM</t>
        </is>
      </c>
      <c r="D51" s="44" t="n"/>
      <c r="E51" s="23" t="inlineStr">
        <is>
          <t>?th=1&amp;psc=1&amp;tag=sdcdeals03-20</t>
        </is>
      </c>
      <c r="F51" s="19">
        <f>HYPERLINK("https://redirect.sdcdeals.com/redirect?destination=https%3A%2F%2Fwww.amazon.com%2Fdp%2FB0CKMNNHMM%3Fth%3D1%26psc%3D1%26tag%3Dsdcdeals03-20", "Amazon Link")</f>
        <v/>
      </c>
      <c r="G51" s="19" t="inlineStr">
        <is>
          <t>https://www.jcpenney.com/s?searchTerm={search_term}</t>
        </is>
      </c>
      <c r="H51" s="23" t="inlineStr">
        <is>
          <t>196478207901</t>
        </is>
      </c>
      <c r="I51" s="19">
        <f>HYPERLINK("https://www.jcpenney.com/s?searchTerm=196478207901", "Retail Link")</f>
        <v/>
      </c>
      <c r="J51" s="23" t="inlineStr">
        <is>
          <t>8</t>
        </is>
      </c>
      <c r="K51" s="21" t="inlineStr">
        <is>
          <t>adidas Women's VL Court Bold Sneaker, Pink Spark/Lucid Lemon/Lucid Blue, 7</t>
        </is>
      </c>
      <c r="L51" s="24" t="n">
        <v>71.2405</v>
      </c>
      <c r="M51" s="24" t="n">
        <v>80</v>
      </c>
      <c r="N51" s="24" t="n">
        <v>-10.86049999999999</v>
      </c>
      <c r="O51" s="24">
        <f>V51-M51</f>
        <v/>
      </c>
      <c r="P51" s="25">
        <f>N51/L51</f>
        <v/>
      </c>
      <c r="Q51" s="23" t="n">
        <v>36477</v>
      </c>
      <c r="R51" s="23" t="n"/>
      <c r="S51" s="26" t="n">
        <v>1.9731349</v>
      </c>
      <c r="T51" s="24" t="n">
        <v>80</v>
      </c>
      <c r="U51" s="24" t="n">
        <v>100.56</v>
      </c>
      <c r="V51" s="24" t="n">
        <v>97.28</v>
      </c>
      <c r="W51" s="26" t="inlineStr">
        <is>
          <t>adidas Vl Court Bold Womens Sneakers</t>
        </is>
      </c>
      <c r="X51" s="23" t="n">
        <v>3</v>
      </c>
      <c r="Y51" s="18">
        <f>AC51-AB51</f>
        <v/>
      </c>
      <c r="Z51" s="27" t="n">
        <v>33</v>
      </c>
      <c r="AA51" s="27" t="n">
        <v>83</v>
      </c>
      <c r="AB51" s="27" t="n">
        <v>1</v>
      </c>
      <c r="AC51" s="27" t="n">
        <v>56</v>
      </c>
      <c r="AD51" s="1" t="inlineStr">
        <is>
          <t>NLK49</t>
        </is>
      </c>
      <c r="AE51" s="1" t="inlineStr">
        <is>
          <t>Pink Spark/Lucid Lemon/Lucid Blue</t>
        </is>
      </c>
      <c r="AF51" s="4" t="n">
        <v>12</v>
      </c>
      <c r="AG51" s="4" t="n">
        <v>7.62</v>
      </c>
    </row>
    <row r="52" ht="47.25" customHeight="1">
      <c r="A52" s="18" t="inlineStr">
        <is>
          <t>196478207963</t>
        </is>
      </c>
      <c r="B52" s="19" t="inlineStr">
        <is>
          <t>https://www.amazon.com/dp/</t>
        </is>
      </c>
      <c r="C52" s="20" t="inlineStr">
        <is>
          <t>B0CKMQ4CSY</t>
        </is>
      </c>
      <c r="D52" s="44" t="n"/>
      <c r="E52" s="23" t="inlineStr">
        <is>
          <t>?th=1&amp;psc=1&amp;tag=sdcdeals03-20</t>
        </is>
      </c>
      <c r="F52" s="19">
        <f>HYPERLINK("https://redirect.sdcdeals.com/redirect?destination=https%3A%2F%2Fwww.amazon.com%2Fdp%2FB0CKMQ4CSY%3Fth%3D1%26psc%3D1%26tag%3Dsdcdeals03-20", "Amazon Link")</f>
        <v/>
      </c>
      <c r="G52" s="19" t="inlineStr">
        <is>
          <t>https://www.jcpenney.com/s?searchTerm={search_term}</t>
        </is>
      </c>
      <c r="H52" s="23" t="inlineStr">
        <is>
          <t>196478207963</t>
        </is>
      </c>
      <c r="I52" s="19">
        <f>HYPERLINK("https://www.jcpenney.com/s?searchTerm=196478207963", "Retail Link")</f>
        <v/>
      </c>
      <c r="J52" s="23" t="inlineStr">
        <is>
          <t>8</t>
        </is>
      </c>
      <c r="K52" s="21" t="inlineStr">
        <is>
          <t>adidas Women's VL Court Bold Sneaker, Pink Spark/Lucid Lemon/Lucid Blue, 7.5</t>
        </is>
      </c>
      <c r="L52" s="24" t="n">
        <v>71.2405</v>
      </c>
      <c r="M52" s="24" t="n">
        <v>80</v>
      </c>
      <c r="N52" s="24" t="n">
        <v>-10.86049999999999</v>
      </c>
      <c r="O52" s="24">
        <f>V52-M52</f>
        <v/>
      </c>
      <c r="P52" s="25">
        <f>N52/L52</f>
        <v/>
      </c>
      <c r="Q52" s="23" t="n">
        <v>32687</v>
      </c>
      <c r="R52" s="23" t="n"/>
      <c r="S52" s="26" t="n">
        <v>2.25091702</v>
      </c>
      <c r="T52" s="24" t="n">
        <v>80</v>
      </c>
      <c r="U52" s="24" t="n">
        <v>88.31999999999999</v>
      </c>
      <c r="V52" s="24" t="n">
        <v>89.90000000000001</v>
      </c>
      <c r="W52" s="26" t="inlineStr">
        <is>
          <t>adidas Vl Court Bold Womens Sneakers</t>
        </is>
      </c>
      <c r="X52" s="23" t="n">
        <v>4</v>
      </c>
      <c r="Y52" s="18">
        <f>AC52-AB52</f>
        <v/>
      </c>
      <c r="Z52" s="27" t="n">
        <v>35</v>
      </c>
      <c r="AA52" s="27" t="n">
        <v>92</v>
      </c>
      <c r="AB52" s="27" t="n">
        <v>1</v>
      </c>
      <c r="AC52" s="27" t="n">
        <v>56</v>
      </c>
      <c r="AD52" s="1" t="inlineStr">
        <is>
          <t>NLK49</t>
        </is>
      </c>
      <c r="AE52" s="1" t="inlineStr">
        <is>
          <t>Pink Spark/Lucid Lemon/Lucid Blue</t>
        </is>
      </c>
      <c r="AF52" s="4" t="n">
        <v>12</v>
      </c>
      <c r="AG52" s="4" t="n">
        <v>7.62</v>
      </c>
    </row>
    <row r="53" ht="47.25" customHeight="1">
      <c r="A53" s="18" t="inlineStr">
        <is>
          <t>196478207925</t>
        </is>
      </c>
      <c r="B53" s="19" t="inlineStr">
        <is>
          <t>https://www.amazon.com/dp/</t>
        </is>
      </c>
      <c r="C53" s="20" t="inlineStr">
        <is>
          <t>B0CKMNP8SR</t>
        </is>
      </c>
      <c r="D53" s="44" t="n"/>
      <c r="E53" s="23" t="inlineStr">
        <is>
          <t>?th=1&amp;psc=1&amp;tag=sdcdeals03-20</t>
        </is>
      </c>
      <c r="F53" s="19">
        <f>HYPERLINK("https://redirect.sdcdeals.com/redirect?destination=https%3A%2F%2Fwww.amazon.com%2Fdp%2FB0CKMNP8SR%3Fth%3D1%26psc%3D1%26tag%3Dsdcdeals03-20", "Amazon Link")</f>
        <v/>
      </c>
      <c r="G53" s="19" t="inlineStr">
        <is>
          <t>https://www.jcpenney.com/s?searchTerm={search_term}</t>
        </is>
      </c>
      <c r="H53" s="23" t="inlineStr">
        <is>
          <t>196478207925</t>
        </is>
      </c>
      <c r="I53" s="19">
        <f>HYPERLINK("https://www.jcpenney.com/s?searchTerm=196478207925", "Retail Link")</f>
        <v/>
      </c>
      <c r="J53" s="23" t="inlineStr">
        <is>
          <t>8</t>
        </is>
      </c>
      <c r="K53" s="21" t="inlineStr">
        <is>
          <t>adidas Women's VL Court Bold Sneaker, Pink Spark/Lucid Lemon/Lucid Blue, 8</t>
        </is>
      </c>
      <c r="L53" s="24" t="n">
        <v>71.2405</v>
      </c>
      <c r="M53" s="24" t="n">
        <v>80</v>
      </c>
      <c r="N53" s="24" t="n">
        <v>-10.7805</v>
      </c>
      <c r="O53" s="24">
        <f>V53-M53</f>
        <v/>
      </c>
      <c r="P53" s="25">
        <f>N53/L53</f>
        <v/>
      </c>
      <c r="Q53" s="23" t="n">
        <v>33534</v>
      </c>
      <c r="R53" s="23" t="n"/>
      <c r="S53" s="26" t="n">
        <v>2.33910182</v>
      </c>
      <c r="T53" s="24" t="n">
        <v>80</v>
      </c>
      <c r="U53" s="24" t="n">
        <v>91.31</v>
      </c>
      <c r="V53" s="24" t="n">
        <v>92.5</v>
      </c>
      <c r="W53" s="26" t="inlineStr">
        <is>
          <t>adidas Vl Court Bold Womens Sneakers</t>
        </is>
      </c>
      <c r="X53" s="23" t="n">
        <v>4</v>
      </c>
      <c r="Y53" s="18">
        <f>AC53-AB53</f>
        <v/>
      </c>
      <c r="Z53" s="27" t="n">
        <v>45</v>
      </c>
      <c r="AA53" s="27" t="n">
        <v>110</v>
      </c>
      <c r="AB53" s="27" t="n">
        <v>0</v>
      </c>
      <c r="AC53" s="27" t="n">
        <v>56</v>
      </c>
      <c r="AD53" s="1" t="inlineStr">
        <is>
          <t>NLK49</t>
        </is>
      </c>
      <c r="AE53" s="1" t="inlineStr">
        <is>
          <t>Pink Spark/Lucid Lemon/Lucid Blue</t>
        </is>
      </c>
      <c r="AF53" s="4" t="n">
        <v>12</v>
      </c>
      <c r="AG53" s="4" t="n">
        <v>7.54</v>
      </c>
    </row>
    <row r="54" ht="47.25" customHeight="1">
      <c r="A54" s="18" t="inlineStr">
        <is>
          <t>196478207949</t>
        </is>
      </c>
      <c r="B54" s="19" t="inlineStr">
        <is>
          <t>https://www.amazon.com/dp/</t>
        </is>
      </c>
      <c r="C54" s="20" t="inlineStr">
        <is>
          <t>B0CKMMK874</t>
        </is>
      </c>
      <c r="D54" s="44" t="n"/>
      <c r="E54" s="23" t="inlineStr">
        <is>
          <t>?th=1&amp;psc=1&amp;tag=sdcdeals03-20</t>
        </is>
      </c>
      <c r="F54" s="19">
        <f>HYPERLINK("https://redirect.sdcdeals.com/redirect?destination=https%3A%2F%2Fwww.amazon.com%2Fdp%2FB0CKMMK874%3Fth%3D1%26psc%3D1%26tag%3Dsdcdeals03-20", "Amazon Link")</f>
        <v/>
      </c>
      <c r="G54" s="19" t="inlineStr">
        <is>
          <t>https://www.jcpenney.com/s?searchTerm={search_term}</t>
        </is>
      </c>
      <c r="H54" s="23" t="inlineStr">
        <is>
          <t>196478207949</t>
        </is>
      </c>
      <c r="I54" s="19">
        <f>HYPERLINK("https://www.jcpenney.com/s?searchTerm=196478207949", "Retail Link")</f>
        <v/>
      </c>
      <c r="J54" s="23" t="inlineStr">
        <is>
          <t>8</t>
        </is>
      </c>
      <c r="K54" s="21" t="inlineStr">
        <is>
          <t>adidas Women's VL Court Bold Sneaker, Pink Spark/Lucid Lemon/Lucid Blue, 8.5</t>
        </is>
      </c>
      <c r="L54" s="24" t="n">
        <v>71.2405</v>
      </c>
      <c r="M54" s="24" t="n">
        <v>80</v>
      </c>
      <c r="N54" s="24" t="n">
        <v>-10.9405</v>
      </c>
      <c r="O54" s="24">
        <f>V54-M54</f>
        <v/>
      </c>
      <c r="P54" s="25">
        <f>N54/L54</f>
        <v/>
      </c>
      <c r="Q54" s="23" t="n">
        <v>33534</v>
      </c>
      <c r="R54" s="23" t="n"/>
      <c r="S54" s="26" t="n">
        <v>2.3809896</v>
      </c>
      <c r="T54" s="24" t="n">
        <v>80</v>
      </c>
      <c r="U54" s="24" t="n">
        <v>88.86</v>
      </c>
      <c r="V54" s="24" t="n">
        <v>89.45999999999999</v>
      </c>
      <c r="W54" s="26" t="inlineStr">
        <is>
          <t>adidas Vl Court Bold Womens Sneakers</t>
        </is>
      </c>
      <c r="X54" s="23" t="n">
        <v>4</v>
      </c>
      <c r="Y54" s="18">
        <f>AC54-AB54</f>
        <v/>
      </c>
      <c r="Z54" s="27" t="n">
        <v>37</v>
      </c>
      <c r="AA54" s="27" t="n">
        <v>99</v>
      </c>
      <c r="AB54" s="27" t="n">
        <v>0</v>
      </c>
      <c r="AC54" s="27" t="n">
        <v>56</v>
      </c>
      <c r="AD54" s="1" t="inlineStr">
        <is>
          <t>NLK49</t>
        </is>
      </c>
      <c r="AE54" s="1" t="inlineStr">
        <is>
          <t>Pink Spark/Lucid Lemon/Lucid Blue</t>
        </is>
      </c>
      <c r="AF54" s="4" t="n">
        <v>12</v>
      </c>
      <c r="AG54" s="4" t="n">
        <v>7.7</v>
      </c>
    </row>
    <row r="55" ht="47.25" customHeight="1">
      <c r="A55" s="18" t="inlineStr">
        <is>
          <t>196478207918</t>
        </is>
      </c>
      <c r="B55" s="19" t="inlineStr">
        <is>
          <t>https://www.amazon.com/dp/</t>
        </is>
      </c>
      <c r="C55" s="20" t="inlineStr">
        <is>
          <t>B0CKMP3GGJ</t>
        </is>
      </c>
      <c r="D55" s="44" t="n"/>
      <c r="E55" s="23" t="inlineStr">
        <is>
          <t>?th=1&amp;psc=1&amp;tag=sdcdeals03-20</t>
        </is>
      </c>
      <c r="F55" s="19">
        <f>HYPERLINK("https://redirect.sdcdeals.com/redirect?destination=https%3A%2F%2Fwww.amazon.com%2Fdp%2FB0CKMP3GGJ%3Fth%3D1%26psc%3D1%26tag%3Dsdcdeals03-20", "Amazon Link")</f>
        <v/>
      </c>
      <c r="G55" s="19" t="inlineStr">
        <is>
          <t>https://www.jcpenney.com/s?searchTerm={search_term}</t>
        </is>
      </c>
      <c r="H55" s="23" t="inlineStr">
        <is>
          <t>196478207918</t>
        </is>
      </c>
      <c r="I55" s="19">
        <f>HYPERLINK("https://www.jcpenney.com/s?searchTerm=196478207918", "Retail Link")</f>
        <v/>
      </c>
      <c r="J55" s="23" t="inlineStr">
        <is>
          <t>8</t>
        </is>
      </c>
      <c r="K55" s="21" t="inlineStr">
        <is>
          <t>adidas Women's VL Court Bold Sneaker, Pink Spark/Lucid Lemon/Lucid Blue, 9</t>
        </is>
      </c>
      <c r="L55" s="24" t="n">
        <v>71.2405</v>
      </c>
      <c r="M55" s="24" t="n">
        <v>80</v>
      </c>
      <c r="N55" s="24" t="n">
        <v>-11.18049999999999</v>
      </c>
      <c r="O55" s="24">
        <f>V55-M55</f>
        <v/>
      </c>
      <c r="P55" s="25">
        <f>N55/L55</f>
        <v/>
      </c>
      <c r="Q55" s="23" t="n">
        <v>33534</v>
      </c>
      <c r="R55" s="23" t="n"/>
      <c r="S55" s="26" t="n">
        <v>2.51106218</v>
      </c>
      <c r="T55" s="24" t="n">
        <v>80</v>
      </c>
      <c r="U55" s="24" t="n">
        <v>95.63</v>
      </c>
      <c r="V55" s="24" t="n">
        <v>94.3</v>
      </c>
      <c r="W55" s="26" t="inlineStr">
        <is>
          <t>adidas Vl Court Bold Womens Sneakers</t>
        </is>
      </c>
      <c r="X55" s="23" t="n">
        <v>4</v>
      </c>
      <c r="Y55" s="18">
        <f>AC55-AB55</f>
        <v/>
      </c>
      <c r="Z55" s="27" t="n">
        <v>49</v>
      </c>
      <c r="AA55" s="27" t="n">
        <v>109</v>
      </c>
      <c r="AB55" s="27" t="n">
        <v>2</v>
      </c>
      <c r="AC55" s="27" t="n">
        <v>56</v>
      </c>
      <c r="AD55" s="1" t="inlineStr">
        <is>
          <t>NLK49</t>
        </is>
      </c>
      <c r="AE55" s="1" t="inlineStr">
        <is>
          <t>Pink Spark/Lucid Lemon/Lucid Blue</t>
        </is>
      </c>
      <c r="AF55" s="4" t="n">
        <v>12</v>
      </c>
      <c r="AG55" s="4" t="n">
        <v>7.94</v>
      </c>
    </row>
    <row r="56" ht="47.25" customHeight="1">
      <c r="A56" s="18" t="inlineStr">
        <is>
          <t>196478208007</t>
        </is>
      </c>
      <c r="B56" s="19" t="inlineStr">
        <is>
          <t>https://www.amazon.com/dp/</t>
        </is>
      </c>
      <c r="C56" s="20" t="inlineStr">
        <is>
          <t>B0CKMRB4KR</t>
        </is>
      </c>
      <c r="D56" s="44" t="n"/>
      <c r="E56" s="23" t="inlineStr">
        <is>
          <t>?th=1&amp;psc=1&amp;tag=sdcdeals03-20</t>
        </is>
      </c>
      <c r="F56" s="19">
        <f>HYPERLINK("https://redirect.sdcdeals.com/redirect?destination=https%3A%2F%2Fwww.amazon.com%2Fdp%2FB0CKMRB4KR%3Fth%3D1%26psc%3D1%26tag%3Dsdcdeals03-20", "Amazon Link")</f>
        <v/>
      </c>
      <c r="G56" s="19" t="inlineStr">
        <is>
          <t>https://www.jcpenney.com/s?searchTerm={search_term}</t>
        </is>
      </c>
      <c r="H56" s="23" t="inlineStr">
        <is>
          <t>196478208007</t>
        </is>
      </c>
      <c r="I56" s="19">
        <f>HYPERLINK("https://www.jcpenney.com/s?searchTerm=196478208007", "Retail Link")</f>
        <v/>
      </c>
      <c r="J56" s="23" t="inlineStr">
        <is>
          <t>8</t>
        </is>
      </c>
      <c r="K56" s="21" t="inlineStr">
        <is>
          <t>adidas Women's VL Court Bold Sneaker, Pink Spark/Lucid Lemon/Lucid Blue, 9.5</t>
        </is>
      </c>
      <c r="L56" s="24" t="n">
        <v>71.2405</v>
      </c>
      <c r="M56" s="24" t="n">
        <v>80</v>
      </c>
      <c r="N56" s="24" t="n">
        <v>-10.9405</v>
      </c>
      <c r="O56" s="24">
        <f>V56-M56</f>
        <v/>
      </c>
      <c r="P56" s="25">
        <f>N56/L56</f>
        <v/>
      </c>
      <c r="Q56" s="23" t="n">
        <v>33534</v>
      </c>
      <c r="R56" s="23" t="n"/>
      <c r="S56" s="26" t="n">
        <v>2.5794054</v>
      </c>
      <c r="T56" s="24" t="n">
        <v>80</v>
      </c>
      <c r="U56" s="24" t="n">
        <v>91.63</v>
      </c>
      <c r="V56" s="24" t="n">
        <v>90.15000000000001</v>
      </c>
      <c r="W56" s="26" t="inlineStr">
        <is>
          <t>adidas Vl Court Bold Womens Sneakers</t>
        </is>
      </c>
      <c r="X56" s="23" t="n">
        <v>3</v>
      </c>
      <c r="Y56" s="18">
        <f>AC56-AB56</f>
        <v/>
      </c>
      <c r="Z56" s="27" t="n">
        <v>36</v>
      </c>
      <c r="AA56" s="27" t="n">
        <v>95</v>
      </c>
      <c r="AB56" s="27" t="n">
        <v>1</v>
      </c>
      <c r="AC56" s="27" t="n">
        <v>56</v>
      </c>
      <c r="AD56" s="1" t="inlineStr">
        <is>
          <t>NLK49</t>
        </is>
      </c>
      <c r="AE56" s="1" t="inlineStr">
        <is>
          <t>Pink Spark/Lucid Lemon/Lucid Blue</t>
        </is>
      </c>
      <c r="AF56" s="4" t="n">
        <v>12</v>
      </c>
      <c r="AG56" s="4" t="n">
        <v>7.7</v>
      </c>
    </row>
    <row r="57" ht="47.25" customHeight="1">
      <c r="A57" s="18" t="inlineStr">
        <is>
          <t>196478207994</t>
        </is>
      </c>
      <c r="B57" s="19" t="inlineStr">
        <is>
          <t>https://www.amazon.com/dp/</t>
        </is>
      </c>
      <c r="C57" s="20" t="inlineStr">
        <is>
          <t>B0CKMQ6Y8G</t>
        </is>
      </c>
      <c r="D57" s="44" t="n"/>
      <c r="E57" s="23" t="inlineStr">
        <is>
          <t>?th=1&amp;psc=1&amp;tag=sdcdeals03-20</t>
        </is>
      </c>
      <c r="F57" s="19">
        <f>HYPERLINK("https://redirect.sdcdeals.com/redirect?destination=https%3A%2F%2Fwww.amazon.com%2Fdp%2FB0CKMQ6Y8G%3Fth%3D1%26psc%3D1%26tag%3Dsdcdeals03-20", "Amazon Link")</f>
        <v/>
      </c>
      <c r="G57" s="19" t="inlineStr">
        <is>
          <t>https://www.jcpenney.com/s?searchTerm={search_term}</t>
        </is>
      </c>
      <c r="H57" s="23" t="inlineStr">
        <is>
          <t>196478207994</t>
        </is>
      </c>
      <c r="I57" s="19">
        <f>HYPERLINK("https://www.jcpenney.com/s?searchTerm=196478207994", "Retail Link")</f>
        <v/>
      </c>
      <c r="J57" s="23" t="inlineStr">
        <is>
          <t>8</t>
        </is>
      </c>
      <c r="K57" s="21" t="inlineStr">
        <is>
          <t>adidas Women's VL Court Bold Sneaker, Pink Spark/Lucid Lemon/Lucid Blue, 10</t>
        </is>
      </c>
      <c r="L57" s="24" t="n">
        <v>71.2405</v>
      </c>
      <c r="M57" s="24" t="n">
        <v>80</v>
      </c>
      <c r="N57" s="24" t="n">
        <v>-10.9405</v>
      </c>
      <c r="O57" s="24">
        <f>V57-M57</f>
        <v/>
      </c>
      <c r="P57" s="25">
        <f>N57/L57</f>
        <v/>
      </c>
      <c r="Q57" s="23" t="n">
        <v>33534</v>
      </c>
      <c r="R57" s="23" t="n"/>
      <c r="S57" s="26" t="n">
        <v>2.55956382</v>
      </c>
      <c r="T57" s="24" t="n">
        <v>80</v>
      </c>
      <c r="U57" s="24" t="n">
        <v>95.83</v>
      </c>
      <c r="V57" s="24" t="n">
        <v>95.66</v>
      </c>
      <c r="W57" s="26" t="inlineStr">
        <is>
          <t>adidas Vl Court Bold Womens Sneakers</t>
        </is>
      </c>
      <c r="X57" s="23" t="n">
        <v>3</v>
      </c>
      <c r="Y57" s="18">
        <f>AC57-AB57</f>
        <v/>
      </c>
      <c r="Z57" s="27" t="n">
        <v>29</v>
      </c>
      <c r="AA57" s="27" t="n">
        <v>72</v>
      </c>
      <c r="AB57" s="27" t="n">
        <v>1</v>
      </c>
      <c r="AC57" s="27" t="n">
        <v>53</v>
      </c>
      <c r="AD57" s="1" t="inlineStr">
        <is>
          <t>NLK49</t>
        </is>
      </c>
      <c r="AE57" s="1" t="inlineStr">
        <is>
          <t>Pink Spark/Lucid Lemon/Lucid Blue</t>
        </is>
      </c>
      <c r="AF57" s="4" t="n">
        <v>12</v>
      </c>
      <c r="AG57" s="4" t="n">
        <v>7.7</v>
      </c>
    </row>
    <row r="58" ht="47.25" customHeight="1">
      <c r="A58" s="18" t="inlineStr">
        <is>
          <t>196478209059</t>
        </is>
      </c>
      <c r="B58" s="19" t="inlineStr">
        <is>
          <t>https://www.amazon.com/dp/</t>
        </is>
      </c>
      <c r="C58" s="20" t="inlineStr">
        <is>
          <t>B0CMGF6ZYN</t>
        </is>
      </c>
      <c r="D58" s="44" t="n"/>
      <c r="E58" s="23" t="inlineStr">
        <is>
          <t>?th=1&amp;psc=1&amp;tag=sdcdeals03-20</t>
        </is>
      </c>
      <c r="F58" s="19">
        <f>HYPERLINK("https://redirect.sdcdeals.com/redirect?destination=https%3A%2F%2Fwww.amazon.com%2Fdp%2FB0CMGF6ZYN%3Fth%3D1%26psc%3D1%26tag%3Dsdcdeals03-20", "Amazon Link")</f>
        <v/>
      </c>
      <c r="G58" s="19" t="inlineStr">
        <is>
          <t>https://www.jcpenney.com/s?searchTerm={search_term}</t>
        </is>
      </c>
      <c r="H58" s="23" t="inlineStr">
        <is>
          <t>196478209059</t>
        </is>
      </c>
      <c r="I58" s="19">
        <f>HYPERLINK("https://www.jcpenney.com/s?searchTerm=196478209059", "Retail Link")</f>
        <v/>
      </c>
      <c r="J58" s="23" t="inlineStr">
        <is>
          <t>8</t>
        </is>
      </c>
      <c r="K58" s="21" t="inlineStr">
        <is>
          <t>adidas Women's VL Court Sneaker, Crew Orange/Blue/Purple Burst, 5</t>
        </is>
      </c>
      <c r="L58" s="24" t="n">
        <v>71.2405</v>
      </c>
      <c r="M58" s="24" t="inlineStr"/>
      <c r="N58" s="24" t="n"/>
      <c r="O58" s="24">
        <f>V58-M58</f>
        <v/>
      </c>
      <c r="P58" s="25">
        <f>N58/L58</f>
        <v/>
      </c>
      <c r="Q58" s="23" t="n"/>
      <c r="R58" s="23" t="n"/>
      <c r="S58" s="26" t="n">
        <v>1.8959732</v>
      </c>
      <c r="T58" s="24" t="inlineStr"/>
      <c r="U58" s="24" t="inlineStr"/>
      <c r="V58" s="24" t="inlineStr"/>
      <c r="W58" s="26" t="inlineStr">
        <is>
          <t>adidas Vl Court Bold Womens Sneakers</t>
        </is>
      </c>
      <c r="X58" s="23" t="n"/>
      <c r="Y58" s="18">
        <f>AC58-AB58</f>
        <v/>
      </c>
      <c r="Z58" s="27" t="n">
        <v>-1</v>
      </c>
      <c r="AA58" s="27" t="n">
        <v>-1</v>
      </c>
      <c r="AB58" s="27" t="n"/>
      <c r="AC58" s="27" t="n"/>
      <c r="AD58" s="1" t="inlineStr">
        <is>
          <t>IH8090</t>
        </is>
      </c>
      <c r="AE58" s="1" t="inlineStr">
        <is>
          <t>Crew Orange/Blue/Purple Burst</t>
        </is>
      </c>
      <c r="AF58" s="4" t="inlineStr"/>
      <c r="AG58" s="4" t="n">
        <v>6.61</v>
      </c>
    </row>
    <row r="59" ht="47.25" customHeight="1">
      <c r="A59" s="18" t="inlineStr">
        <is>
          <t>196478208069</t>
        </is>
      </c>
      <c r="B59" s="19" t="inlineStr">
        <is>
          <t>https://www.amazon.com/dp/</t>
        </is>
      </c>
      <c r="C59" s="20" t="inlineStr">
        <is>
          <t>B0CMGKGZVL</t>
        </is>
      </c>
      <c r="D59" s="44" t="n"/>
      <c r="E59" s="23" t="inlineStr">
        <is>
          <t>?th=1&amp;psc=1&amp;tag=sdcdeals03-20</t>
        </is>
      </c>
      <c r="F59" s="19">
        <f>HYPERLINK("https://redirect.sdcdeals.com/redirect?destination=https%3A%2F%2Fwww.amazon.com%2Fdp%2FB0CMGKGZVL%3Fth%3D1%26psc%3D1%26tag%3Dsdcdeals03-20", "Amazon Link")</f>
        <v/>
      </c>
      <c r="G59" s="19" t="inlineStr">
        <is>
          <t>https://www.jcpenney.com/s?searchTerm={search_term}</t>
        </is>
      </c>
      <c r="H59" s="23" t="inlineStr">
        <is>
          <t>196478208069</t>
        </is>
      </c>
      <c r="I59" s="19">
        <f>HYPERLINK("https://www.jcpenney.com/s?searchTerm=196478208069", "Retail Link")</f>
        <v/>
      </c>
      <c r="J59" s="23" t="inlineStr">
        <is>
          <t>8</t>
        </is>
      </c>
      <c r="K59" s="21" t="inlineStr">
        <is>
          <t>adidas Women's VL Court Sneaker, Crew Orange/Blue/Purple Burst, 5.5</t>
        </is>
      </c>
      <c r="L59" s="24" t="n">
        <v>71.2405</v>
      </c>
      <c r="M59" s="24" t="n">
        <v>101.46</v>
      </c>
      <c r="N59" s="24" t="n">
        <v>7.140499999999989</v>
      </c>
      <c r="O59" s="24">
        <f>V59-M59</f>
        <v/>
      </c>
      <c r="P59" s="25">
        <f>N59/L59</f>
        <v/>
      </c>
      <c r="Q59" s="23" t="n"/>
      <c r="R59" s="23" t="n"/>
      <c r="S59" s="26" t="n">
        <v>1.99959034</v>
      </c>
      <c r="T59" s="24" t="n">
        <v>101.46</v>
      </c>
      <c r="U59" s="24" t="n">
        <v>155.06</v>
      </c>
      <c r="V59" s="24" t="n">
        <v>155.06</v>
      </c>
      <c r="W59" s="26" t="inlineStr">
        <is>
          <t>adidas Vl Court Bold Womens Sneakers</t>
        </is>
      </c>
      <c r="X59" s="23" t="n">
        <v>3</v>
      </c>
      <c r="Y59" s="18">
        <f>AC59-AB59</f>
        <v/>
      </c>
      <c r="Z59" s="27" t="n">
        <v>-1</v>
      </c>
      <c r="AA59" s="27" t="n">
        <v>-1</v>
      </c>
      <c r="AB59" s="27" t="n"/>
      <c r="AC59" s="27" t="n"/>
      <c r="AD59" s="1" t="inlineStr">
        <is>
          <t>IH8090</t>
        </is>
      </c>
      <c r="AE59" s="1" t="inlineStr">
        <is>
          <t>Crew Orange/Blue/Purple Burst</t>
        </is>
      </c>
      <c r="AF59" s="4" t="inlineStr"/>
      <c r="AG59" s="4" t="n">
        <v>7.86</v>
      </c>
    </row>
    <row r="60" ht="47.25" customHeight="1">
      <c r="A60" s="18" t="inlineStr">
        <is>
          <t>196478208014</t>
        </is>
      </c>
      <c r="B60" s="19" t="inlineStr">
        <is>
          <t>https://www.amazon.com/dp/</t>
        </is>
      </c>
      <c r="C60" s="20" t="inlineStr">
        <is>
          <t>B0CMGRVWD2</t>
        </is>
      </c>
      <c r="D60" s="44" t="n"/>
      <c r="E60" s="23" t="inlineStr">
        <is>
          <t>?th=1&amp;psc=1&amp;tag=sdcdeals03-20</t>
        </is>
      </c>
      <c r="F60" s="19">
        <f>HYPERLINK("https://redirect.sdcdeals.com/redirect?destination=https%3A%2F%2Fwww.amazon.com%2Fdp%2FB0CMGRVWD2%3Fth%3D1%26psc%3D1%26tag%3Dsdcdeals03-20", "Amazon Link")</f>
        <v/>
      </c>
      <c r="G60" s="19" t="inlineStr">
        <is>
          <t>https://www.jcpenney.com/s?searchTerm={search_term}</t>
        </is>
      </c>
      <c r="H60" s="23" t="inlineStr">
        <is>
          <t>196478208014</t>
        </is>
      </c>
      <c r="I60" s="19">
        <f>HYPERLINK("https://www.jcpenney.com/s?searchTerm=196478208014", "Retail Link")</f>
        <v/>
      </c>
      <c r="J60" s="23" t="inlineStr">
        <is>
          <t>8</t>
        </is>
      </c>
      <c r="K60" s="21" t="inlineStr">
        <is>
          <t>adidas Women's VL Court Sneaker, Crew Orange/Blue/Purple Burst, 6</t>
        </is>
      </c>
      <c r="L60" s="24" t="n">
        <v>71.2405</v>
      </c>
      <c r="M60" s="24" t="n">
        <v>106.21</v>
      </c>
      <c r="N60" s="24" t="n">
        <v>12.428</v>
      </c>
      <c r="O60" s="24">
        <f>V60-M60</f>
        <v/>
      </c>
      <c r="P60" s="25">
        <f>N60/L60</f>
        <v/>
      </c>
      <c r="Q60" s="23" t="n"/>
      <c r="R60" s="23" t="n"/>
      <c r="S60" s="26" t="n">
        <v>1.984158</v>
      </c>
      <c r="T60" s="24" t="n">
        <v>91.26000000000001</v>
      </c>
      <c r="U60" s="24" t="n">
        <v>105.7</v>
      </c>
      <c r="V60" s="24" t="n">
        <v>105.7</v>
      </c>
      <c r="W60" s="26" t="inlineStr">
        <is>
          <t>adidas Vl Court Bold Womens Sneakers</t>
        </is>
      </c>
      <c r="X60" s="23" t="n">
        <v>4</v>
      </c>
      <c r="Y60" s="18">
        <f>AC60-AB60</f>
        <v/>
      </c>
      <c r="Z60" s="27" t="n">
        <v>-1</v>
      </c>
      <c r="AA60" s="27" t="n">
        <v>-1</v>
      </c>
      <c r="AB60" s="27" t="n"/>
      <c r="AC60" s="27" t="n"/>
      <c r="AD60" s="1" t="inlineStr">
        <is>
          <t>IH8090</t>
        </is>
      </c>
      <c r="AE60" s="1" t="inlineStr">
        <is>
          <t>Crew Orange/Blue/Purple Burst</t>
        </is>
      </c>
      <c r="AF60" s="4" t="n">
        <v>15.93</v>
      </c>
      <c r="AG60" s="4" t="n">
        <v>6.61</v>
      </c>
    </row>
    <row r="61" ht="47.25" customHeight="1">
      <c r="A61" s="18" t="inlineStr">
        <is>
          <t>196478208038</t>
        </is>
      </c>
      <c r="B61" s="19" t="inlineStr">
        <is>
          <t>https://www.amazon.com/dp/</t>
        </is>
      </c>
      <c r="C61" s="20" t="inlineStr">
        <is>
          <t>B0CMGN4PXX</t>
        </is>
      </c>
      <c r="D61" s="44" t="n"/>
      <c r="E61" s="23" t="inlineStr">
        <is>
          <t>?th=1&amp;psc=1&amp;tag=sdcdeals03-20</t>
        </is>
      </c>
      <c r="F61" s="19">
        <f>HYPERLINK("https://redirect.sdcdeals.com/redirect?destination=https%3A%2F%2Fwww.amazon.com%2Fdp%2FB0CMGN4PXX%3Fth%3D1%26psc%3D1%26tag%3Dsdcdeals03-20", "Amazon Link")</f>
        <v/>
      </c>
      <c r="G61" s="19" t="inlineStr">
        <is>
          <t>https://www.jcpenney.com/s?searchTerm={search_term}</t>
        </is>
      </c>
      <c r="H61" s="23" t="inlineStr">
        <is>
          <t>196478208038</t>
        </is>
      </c>
      <c r="I61" s="19">
        <f>HYPERLINK("https://www.jcpenney.com/s?searchTerm=196478208038", "Retail Link")</f>
        <v/>
      </c>
      <c r="J61" s="23" t="inlineStr">
        <is>
          <t>8</t>
        </is>
      </c>
      <c r="K61" s="21" t="inlineStr">
        <is>
          <t>adidas Women's VL Court Sneaker, Crew Orange/Blue/Purple Burst, 6.5</t>
        </is>
      </c>
      <c r="L61" s="24" t="n">
        <v>71.2405</v>
      </c>
      <c r="M61" s="24" t="n">
        <v>106.35</v>
      </c>
      <c r="N61" s="24" t="n">
        <v>12.127</v>
      </c>
      <c r="O61" s="24">
        <f>V61-M61</f>
        <v/>
      </c>
      <c r="P61" s="25">
        <f>N61/L61</f>
        <v/>
      </c>
      <c r="Q61" s="23" t="n"/>
      <c r="R61" s="23" t="n"/>
      <c r="S61" s="26" t="n">
        <v>2.0502966</v>
      </c>
      <c r="T61" s="24" t="n">
        <v>91.40000000000001</v>
      </c>
      <c r="U61" s="24" t="n">
        <v>105.64</v>
      </c>
      <c r="V61" s="24" t="n">
        <v>105.64</v>
      </c>
      <c r="W61" s="26" t="inlineStr">
        <is>
          <t>adidas Vl Court Bold Womens Sneakers</t>
        </is>
      </c>
      <c r="X61" s="23" t="n">
        <v>4</v>
      </c>
      <c r="Y61" s="18">
        <f>AC61-AB61</f>
        <v/>
      </c>
      <c r="Z61" s="27" t="n">
        <v>-1</v>
      </c>
      <c r="AA61" s="27" t="n">
        <v>-1</v>
      </c>
      <c r="AB61" s="27" t="n"/>
      <c r="AC61" s="27" t="n"/>
      <c r="AD61" s="1" t="inlineStr">
        <is>
          <t>IH8090</t>
        </is>
      </c>
      <c r="AE61" s="1" t="inlineStr">
        <is>
          <t>Crew Orange/Blue/Purple Burst</t>
        </is>
      </c>
      <c r="AF61" s="4" t="n">
        <v>15.95</v>
      </c>
      <c r="AG61" s="4" t="n">
        <v>7.03</v>
      </c>
    </row>
    <row r="62" ht="47.25" customHeight="1">
      <c r="A62" s="18" t="inlineStr">
        <is>
          <t>196478209097</t>
        </is>
      </c>
      <c r="B62" s="19" t="inlineStr">
        <is>
          <t>https://www.amazon.com/dp/</t>
        </is>
      </c>
      <c r="C62" s="20" t="inlineStr">
        <is>
          <t>B0CMGDHJ33</t>
        </is>
      </c>
      <c r="D62" s="44" t="n"/>
      <c r="E62" s="23" t="inlineStr">
        <is>
          <t>?th=1&amp;psc=1&amp;tag=sdcdeals03-20</t>
        </is>
      </c>
      <c r="F62" s="19">
        <f>HYPERLINK("https://redirect.sdcdeals.com/redirect?destination=https%3A%2F%2Fwww.amazon.com%2Fdp%2FB0CMGDHJ33%3Fth%3D1%26psc%3D1%26tag%3Dsdcdeals03-20", "Amazon Link")</f>
        <v/>
      </c>
      <c r="G62" s="19" t="inlineStr">
        <is>
          <t>https://www.jcpenney.com/s?searchTerm={search_term}</t>
        </is>
      </c>
      <c r="H62" s="23" t="inlineStr">
        <is>
          <t>196478209097</t>
        </is>
      </c>
      <c r="I62" s="19">
        <f>HYPERLINK("https://www.jcpenney.com/s?searchTerm=196478209097", "Retail Link")</f>
        <v/>
      </c>
      <c r="J62" s="23" t="inlineStr">
        <is>
          <t>8</t>
        </is>
      </c>
      <c r="K62" s="21" t="inlineStr">
        <is>
          <t>adidas Women's VL Court Sneaker, Crew Orange/Blue/Purple Burst, 7</t>
        </is>
      </c>
      <c r="L62" s="24" t="n">
        <v>71.2405</v>
      </c>
      <c r="M62" s="24" t="n">
        <v>106.34</v>
      </c>
      <c r="N62" s="24" t="n">
        <v>11.60849999999999</v>
      </c>
      <c r="O62" s="24">
        <f>V62-M62</f>
        <v/>
      </c>
      <c r="P62" s="25">
        <f>N62/L62</f>
        <v/>
      </c>
      <c r="Q62" s="23" t="n"/>
      <c r="R62" s="23" t="n"/>
      <c r="S62" s="26" t="n">
        <v>2.0502966</v>
      </c>
      <c r="T62" s="24" t="n">
        <v>91.39</v>
      </c>
      <c r="U62" s="24" t="n">
        <v>107.49</v>
      </c>
      <c r="V62" s="24" t="n">
        <v>107.49</v>
      </c>
      <c r="W62" s="26" t="inlineStr">
        <is>
          <t>adidas Vl Court Bold Womens Sneakers</t>
        </is>
      </c>
      <c r="X62" s="23" t="n">
        <v>3</v>
      </c>
      <c r="Y62" s="18">
        <f>AC62-AB62</f>
        <v/>
      </c>
      <c r="Z62" s="27" t="n">
        <v>-1</v>
      </c>
      <c r="AA62" s="27" t="n">
        <v>-1</v>
      </c>
      <c r="AB62" s="27" t="n"/>
      <c r="AC62" s="27" t="n"/>
      <c r="AD62" s="1" t="inlineStr">
        <is>
          <t>IH8090</t>
        </is>
      </c>
      <c r="AE62" s="1" t="inlineStr">
        <is>
          <t>Crew Orange/Blue/Purple Burst</t>
        </is>
      </c>
      <c r="AF62" s="4" t="n">
        <v>15.95</v>
      </c>
      <c r="AG62" s="4" t="n">
        <v>7.54</v>
      </c>
    </row>
    <row r="63" ht="47.25" customHeight="1">
      <c r="A63" s="18" t="inlineStr">
        <is>
          <t>196478209080</t>
        </is>
      </c>
      <c r="B63" s="19" t="inlineStr">
        <is>
          <t>https://www.amazon.com/dp/</t>
        </is>
      </c>
      <c r="C63" s="20" t="inlineStr">
        <is>
          <t>B0CMGX9T8S</t>
        </is>
      </c>
      <c r="D63" s="44" t="n"/>
      <c r="E63" s="23" t="inlineStr">
        <is>
          <t>?th=1&amp;psc=1&amp;tag=sdcdeals03-20</t>
        </is>
      </c>
      <c r="F63" s="19">
        <f>HYPERLINK("https://redirect.sdcdeals.com/redirect?destination=https%3A%2F%2Fwww.amazon.com%2Fdp%2FB0CMGX9T8S%3Fth%3D1%26psc%3D1%26tag%3Dsdcdeals03-20", "Amazon Link")</f>
        <v/>
      </c>
      <c r="G63" s="19" t="inlineStr">
        <is>
          <t>https://www.jcpenney.com/s?searchTerm={search_term}</t>
        </is>
      </c>
      <c r="H63" s="23" t="inlineStr">
        <is>
          <t>196478209080</t>
        </is>
      </c>
      <c r="I63" s="19">
        <f>HYPERLINK("https://www.jcpenney.com/s?searchTerm=196478209080", "Retail Link")</f>
        <v/>
      </c>
      <c r="J63" s="23" t="inlineStr">
        <is>
          <t>8</t>
        </is>
      </c>
      <c r="K63" s="21" t="inlineStr">
        <is>
          <t>adidas Women's VL Court Sneaker, Crew Orange/Blue/Purple Burst, 7.5</t>
        </is>
      </c>
      <c r="L63" s="24" t="n">
        <v>71.2405</v>
      </c>
      <c r="M63" s="24" t="n">
        <v>106.34</v>
      </c>
      <c r="N63" s="24" t="n">
        <v>11.60849999999999</v>
      </c>
      <c r="O63" s="24">
        <f>V63-M63</f>
        <v/>
      </c>
      <c r="P63" s="25">
        <f>N63/L63</f>
        <v/>
      </c>
      <c r="Q63" s="23" t="n"/>
      <c r="R63" s="23" t="n"/>
      <c r="S63" s="26" t="n">
        <v>2.07013818</v>
      </c>
      <c r="T63" s="24" t="n">
        <v>91.39</v>
      </c>
      <c r="U63" s="24" t="n">
        <v>107.31</v>
      </c>
      <c r="V63" s="24" t="n">
        <v>107.31</v>
      </c>
      <c r="W63" s="26" t="inlineStr">
        <is>
          <t>adidas Vl Court Bold Womens Sneakers</t>
        </is>
      </c>
      <c r="X63" s="23" t="n">
        <v>3</v>
      </c>
      <c r="Y63" s="18">
        <f>AC63-AB63</f>
        <v/>
      </c>
      <c r="Z63" s="27" t="n">
        <v>-1</v>
      </c>
      <c r="AA63" s="27" t="n">
        <v>-1</v>
      </c>
      <c r="AB63" s="27" t="n"/>
      <c r="AC63" s="27" t="n"/>
      <c r="AD63" s="1" t="inlineStr">
        <is>
          <t>IH8090</t>
        </is>
      </c>
      <c r="AE63" s="1" t="inlineStr">
        <is>
          <t>Crew Orange/Blue/Purple Burst</t>
        </is>
      </c>
      <c r="AF63" s="4" t="n">
        <v>15.95</v>
      </c>
      <c r="AG63" s="4" t="n">
        <v>7.54</v>
      </c>
    </row>
    <row r="64" ht="47.25" customHeight="1">
      <c r="A64" s="18" t="inlineStr">
        <is>
          <t>196478208052</t>
        </is>
      </c>
      <c r="B64" s="19" t="inlineStr">
        <is>
          <t>https://www.amazon.com/dp/</t>
        </is>
      </c>
      <c r="C64" s="20" t="inlineStr">
        <is>
          <t>B0CMGLWCBR</t>
        </is>
      </c>
      <c r="D64" s="44" t="n"/>
      <c r="E64" s="23" t="inlineStr">
        <is>
          <t>?th=1&amp;psc=1&amp;tag=sdcdeals03-20</t>
        </is>
      </c>
      <c r="F64" s="19">
        <f>HYPERLINK("https://redirect.sdcdeals.com/redirect?destination=https%3A%2F%2Fwww.amazon.com%2Fdp%2FB0CMGLWCBR%3Fth%3D1%26psc%3D1%26tag%3Dsdcdeals03-20", "Amazon Link")</f>
        <v/>
      </c>
      <c r="G64" s="19" t="inlineStr">
        <is>
          <t>https://www.jcpenney.com/s?searchTerm={search_term}</t>
        </is>
      </c>
      <c r="H64" s="23" t="inlineStr">
        <is>
          <t>196478208052</t>
        </is>
      </c>
      <c r="I64" s="19">
        <f>HYPERLINK("https://www.jcpenney.com/s?searchTerm=196478208052", "Retail Link")</f>
        <v/>
      </c>
      <c r="J64" s="23" t="inlineStr">
        <is>
          <t>8</t>
        </is>
      </c>
      <c r="K64" s="21" t="inlineStr">
        <is>
          <t>adidas Women's VL Court Sneaker, Crew Orange/Blue/Purple Burst, 8</t>
        </is>
      </c>
      <c r="L64" s="24" t="n">
        <v>71.2405</v>
      </c>
      <c r="M64" s="24" t="n">
        <v>106.35</v>
      </c>
      <c r="N64" s="24" t="n">
        <v>11.61699999999999</v>
      </c>
      <c r="O64" s="24">
        <f>V64-M64</f>
        <v/>
      </c>
      <c r="P64" s="25">
        <f>N64/L64</f>
        <v/>
      </c>
      <c r="Q64" s="23" t="n"/>
      <c r="R64" s="23" t="n"/>
      <c r="S64" s="26" t="n">
        <v>2.0502966</v>
      </c>
      <c r="T64" s="24" t="n">
        <v>91.40000000000001</v>
      </c>
      <c r="U64" s="24" t="n">
        <v>105.66</v>
      </c>
      <c r="V64" s="24" t="n">
        <v>105.66</v>
      </c>
      <c r="W64" s="26" t="inlineStr">
        <is>
          <t>adidas Vl Court Bold Womens Sneakers</t>
        </is>
      </c>
      <c r="X64" s="23" t="n">
        <v>4</v>
      </c>
      <c r="Y64" s="18">
        <f>AC64-AB64</f>
        <v/>
      </c>
      <c r="Z64" s="27" t="n">
        <v>-1</v>
      </c>
      <c r="AA64" s="27" t="n">
        <v>-1</v>
      </c>
      <c r="AB64" s="27" t="n"/>
      <c r="AC64" s="27" t="n"/>
      <c r="AD64" s="1" t="inlineStr">
        <is>
          <t>IH8090</t>
        </is>
      </c>
      <c r="AE64" s="1" t="inlineStr">
        <is>
          <t>Crew Orange/Blue/Purple Burst</t>
        </is>
      </c>
      <c r="AF64" s="4" t="n">
        <v>15.95</v>
      </c>
      <c r="AG64" s="4" t="n">
        <v>7.54</v>
      </c>
    </row>
    <row r="65" ht="47.25" customHeight="1">
      <c r="A65" s="18" t="inlineStr">
        <is>
          <t>196478209042</t>
        </is>
      </c>
      <c r="B65" s="19" t="inlineStr">
        <is>
          <t>https://www.amazon.com/dp/</t>
        </is>
      </c>
      <c r="C65" s="20" t="inlineStr">
        <is>
          <t>B0CMGSV8K5</t>
        </is>
      </c>
      <c r="D65" s="44" t="n"/>
      <c r="E65" s="23" t="inlineStr">
        <is>
          <t>?th=1&amp;psc=1&amp;tag=sdcdeals03-20</t>
        </is>
      </c>
      <c r="F65" s="19">
        <f>HYPERLINK("https://redirect.sdcdeals.com/redirect?destination=https%3A%2F%2Fwww.amazon.com%2Fdp%2FB0CMGSV8K5%3Fth%3D1%26psc%3D1%26tag%3Dsdcdeals03-20", "Amazon Link")</f>
        <v/>
      </c>
      <c r="G65" s="19" t="inlineStr">
        <is>
          <t>https://www.jcpenney.com/s?searchTerm={search_term}</t>
        </is>
      </c>
      <c r="H65" s="23" t="inlineStr">
        <is>
          <t>196478209042</t>
        </is>
      </c>
      <c r="I65" s="19">
        <f>HYPERLINK("https://www.jcpenney.com/s?searchTerm=196478209042", "Retail Link")</f>
        <v/>
      </c>
      <c r="J65" s="23" t="inlineStr">
        <is>
          <t>8</t>
        </is>
      </c>
      <c r="K65" s="21" t="inlineStr">
        <is>
          <t>adidas Women's VL Court Sneaker, Crew Orange/Blue/Purple Burst, 8.5</t>
        </is>
      </c>
      <c r="L65" s="24" t="n">
        <v>71.2405</v>
      </c>
      <c r="M65" s="24" t="n">
        <v>106.35</v>
      </c>
      <c r="N65" s="24" t="n">
        <v>11.45699999999999</v>
      </c>
      <c r="O65" s="24">
        <f>V65-M65</f>
        <v/>
      </c>
      <c r="P65" s="25">
        <f>N65/L65</f>
        <v/>
      </c>
      <c r="Q65" s="23" t="n">
        <v>3321756</v>
      </c>
      <c r="R65" s="23" t="n"/>
      <c r="S65" s="26" t="n">
        <v>2.3589434</v>
      </c>
      <c r="T65" s="24" t="n">
        <v>91.40000000000001</v>
      </c>
      <c r="U65" s="24" t="n">
        <v>105.6</v>
      </c>
      <c r="V65" s="24" t="n">
        <v>105.6</v>
      </c>
      <c r="W65" s="26" t="inlineStr">
        <is>
          <t>adidas Vl Court Bold Womens Sneakers</t>
        </is>
      </c>
      <c r="X65" s="23" t="n">
        <v>4</v>
      </c>
      <c r="Y65" s="18">
        <f>AC65-AB65</f>
        <v/>
      </c>
      <c r="Z65" s="27" t="n">
        <v>0</v>
      </c>
      <c r="AA65" s="27" t="n">
        <v>0</v>
      </c>
      <c r="AB65" s="27" t="n"/>
      <c r="AC65" s="27" t="n"/>
      <c r="AD65" s="1" t="inlineStr">
        <is>
          <t>IH8090</t>
        </is>
      </c>
      <c r="AE65" s="1" t="inlineStr">
        <is>
          <t>Crew Orange/Blue/Purple Burst</t>
        </is>
      </c>
      <c r="AF65" s="4" t="n">
        <v>15.95</v>
      </c>
      <c r="AG65" s="4" t="n">
        <v>7.7</v>
      </c>
    </row>
    <row r="66" ht="47.25" customHeight="1">
      <c r="A66" s="18" t="inlineStr">
        <is>
          <t>196478208076</t>
        </is>
      </c>
      <c r="B66" s="19" t="inlineStr">
        <is>
          <t>https://www.amazon.com/dp/</t>
        </is>
      </c>
      <c r="C66" s="20" t="inlineStr">
        <is>
          <t>B0CMGKFF9Z</t>
        </is>
      </c>
      <c r="D66" s="44" t="n"/>
      <c r="E66" s="23" t="inlineStr">
        <is>
          <t>?th=1&amp;psc=1&amp;tag=sdcdeals03-20</t>
        </is>
      </c>
      <c r="F66" s="19">
        <f>HYPERLINK("https://redirect.sdcdeals.com/redirect?destination=https%3A%2F%2Fwww.amazon.com%2Fdp%2FB0CMGKFF9Z%3Fth%3D1%26psc%3D1%26tag%3Dsdcdeals03-20", "Amazon Link")</f>
        <v/>
      </c>
      <c r="G66" s="19" t="inlineStr">
        <is>
          <t>https://www.jcpenney.com/s?searchTerm={search_term}</t>
        </is>
      </c>
      <c r="H66" s="23" t="inlineStr">
        <is>
          <t>196478208076</t>
        </is>
      </c>
      <c r="I66" s="19">
        <f>HYPERLINK("https://www.jcpenney.com/s?searchTerm=196478208076", "Retail Link")</f>
        <v/>
      </c>
      <c r="J66" s="23" t="inlineStr">
        <is>
          <t>8</t>
        </is>
      </c>
      <c r="K66" s="21" t="inlineStr">
        <is>
          <t>adidas Women's VL Court Sneaker, Crew Orange/Blue/Purple Burst, 9</t>
        </is>
      </c>
      <c r="L66" s="24" t="n">
        <v>71.2405</v>
      </c>
      <c r="M66" s="24" t="n">
        <v>106.35</v>
      </c>
      <c r="N66" s="24" t="n">
        <v>11.377</v>
      </c>
      <c r="O66" s="24">
        <f>V66-M66</f>
        <v/>
      </c>
      <c r="P66" s="25">
        <f>N66/L66</f>
        <v/>
      </c>
      <c r="Q66" s="23" t="n"/>
      <c r="R66" s="23" t="n"/>
      <c r="S66" s="26" t="n">
        <v>2.425082</v>
      </c>
      <c r="T66" s="24" t="n">
        <v>91.40000000000001</v>
      </c>
      <c r="U66" s="24" t="n">
        <v>105.66</v>
      </c>
      <c r="V66" s="24" t="n">
        <v>105.66</v>
      </c>
      <c r="W66" s="26" t="inlineStr">
        <is>
          <t>adidas Vl Court Bold Womens Sneakers</t>
        </is>
      </c>
      <c r="X66" s="23" t="n">
        <v>4</v>
      </c>
      <c r="Y66" s="18">
        <f>AC66-AB66</f>
        <v/>
      </c>
      <c r="Z66" s="27" t="n">
        <v>-1</v>
      </c>
      <c r="AA66" s="27" t="n">
        <v>-1</v>
      </c>
      <c r="AB66" s="27" t="n"/>
      <c r="AC66" s="27" t="n"/>
      <c r="AD66" s="1" t="inlineStr">
        <is>
          <t>IH8090</t>
        </is>
      </c>
      <c r="AE66" s="1" t="inlineStr">
        <is>
          <t>Crew Orange/Blue/Purple Burst</t>
        </is>
      </c>
      <c r="AF66" s="4" t="n">
        <v>15.95</v>
      </c>
      <c r="AG66" s="4" t="n">
        <v>7.78</v>
      </c>
    </row>
    <row r="67" ht="47.25" customHeight="1">
      <c r="A67" s="18" t="inlineStr">
        <is>
          <t>196478208045</t>
        </is>
      </c>
      <c r="B67" s="19" t="inlineStr">
        <is>
          <t>https://www.amazon.com/dp/</t>
        </is>
      </c>
      <c r="C67" s="20" t="inlineStr">
        <is>
          <t>B0CMGFK5WK</t>
        </is>
      </c>
      <c r="D67" s="44" t="n"/>
      <c r="E67" s="23" t="inlineStr">
        <is>
          <t>?th=1&amp;psc=1&amp;tag=sdcdeals03-20</t>
        </is>
      </c>
      <c r="F67" s="19">
        <f>HYPERLINK("https://redirect.sdcdeals.com/redirect?destination=https%3A%2F%2Fwww.amazon.com%2Fdp%2FB0CMGFK5WK%3Fth%3D1%26psc%3D1%26tag%3Dsdcdeals03-20", "Amazon Link")</f>
        <v/>
      </c>
      <c r="G67" s="19" t="inlineStr">
        <is>
          <t>https://www.jcpenney.com/s?searchTerm={search_term}</t>
        </is>
      </c>
      <c r="H67" s="23" t="inlineStr">
        <is>
          <t>196478208045</t>
        </is>
      </c>
      <c r="I67" s="19">
        <f>HYPERLINK("https://www.jcpenney.com/s?searchTerm=196478208045", "Retail Link")</f>
        <v/>
      </c>
      <c r="J67" s="23" t="inlineStr">
        <is>
          <t>8</t>
        </is>
      </c>
      <c r="K67" s="21" t="inlineStr">
        <is>
          <t>adidas Women's VL Court Sneaker, Crew Orange/Blue/Purple Burst, 9.5</t>
        </is>
      </c>
      <c r="L67" s="24" t="n">
        <v>71.2405</v>
      </c>
      <c r="M67" s="24" t="n">
        <v>106.35</v>
      </c>
      <c r="N67" s="24" t="n">
        <v>11.377</v>
      </c>
      <c r="O67" s="24">
        <f>V67-M67</f>
        <v/>
      </c>
      <c r="P67" s="25">
        <f>N67/L67</f>
        <v/>
      </c>
      <c r="Q67" s="23" t="n"/>
      <c r="R67" s="23" t="n"/>
      <c r="S67" s="26" t="n">
        <v>2.3589434</v>
      </c>
      <c r="T67" s="24" t="n">
        <v>91.40000000000001</v>
      </c>
      <c r="U67" s="24" t="n">
        <v>105.67</v>
      </c>
      <c r="V67" s="24" t="n">
        <v>105.67</v>
      </c>
      <c r="W67" s="26" t="inlineStr">
        <is>
          <t>adidas Vl Court Bold Womens Sneakers</t>
        </is>
      </c>
      <c r="X67" s="23" t="n">
        <v>4</v>
      </c>
      <c r="Y67" s="18">
        <f>AC67-AB67</f>
        <v/>
      </c>
      <c r="Z67" s="27" t="n">
        <v>-1</v>
      </c>
      <c r="AA67" s="27" t="n">
        <v>-1</v>
      </c>
      <c r="AB67" s="27" t="n"/>
      <c r="AC67" s="27" t="n"/>
      <c r="AD67" s="1" t="inlineStr">
        <is>
          <t>IH8090</t>
        </is>
      </c>
      <c r="AE67" s="1" t="inlineStr">
        <is>
          <t>Crew Orange/Blue/Purple Burst</t>
        </is>
      </c>
      <c r="AF67" s="4" t="n">
        <v>15.95</v>
      </c>
      <c r="AG67" s="4" t="n">
        <v>7.78</v>
      </c>
    </row>
    <row r="68" ht="47.25" customHeight="1">
      <c r="A68" s="18" t="inlineStr">
        <is>
          <t>196478208021</t>
        </is>
      </c>
      <c r="B68" s="19" t="inlineStr">
        <is>
          <t>https://www.amazon.com/dp/</t>
        </is>
      </c>
      <c r="C68" s="20" t="inlineStr">
        <is>
          <t>B0CMGH153J</t>
        </is>
      </c>
      <c r="D68" s="44" t="n"/>
      <c r="E68" s="23" t="inlineStr">
        <is>
          <t>?th=1&amp;psc=1&amp;tag=sdcdeals03-20</t>
        </is>
      </c>
      <c r="F68" s="19">
        <f>HYPERLINK("https://redirect.sdcdeals.com/redirect?destination=https%3A%2F%2Fwww.amazon.com%2Fdp%2FB0CMGH153J%3Fth%3D1%26psc%3D1%26tag%3Dsdcdeals03-20", "Amazon Link")</f>
        <v/>
      </c>
      <c r="G68" s="19" t="inlineStr">
        <is>
          <t>https://www.jcpenney.com/s?searchTerm={search_term}</t>
        </is>
      </c>
      <c r="H68" s="23" t="inlineStr">
        <is>
          <t>196478208021</t>
        </is>
      </c>
      <c r="I68" s="19">
        <f>HYPERLINK("https://www.jcpenney.com/s?searchTerm=196478208021", "Retail Link")</f>
        <v/>
      </c>
      <c r="J68" s="23" t="inlineStr">
        <is>
          <t>8</t>
        </is>
      </c>
      <c r="K68" s="21" t="inlineStr">
        <is>
          <t>adidas Women's VL Court Sneaker, Crew Orange/Blue/Purple Burst, 10</t>
        </is>
      </c>
      <c r="L68" s="24" t="n">
        <v>71.2405</v>
      </c>
      <c r="M68" s="24" t="n">
        <v>106.75</v>
      </c>
      <c r="N68" s="24" t="n">
        <v>11.717</v>
      </c>
      <c r="O68" s="24">
        <f>V68-M68</f>
        <v/>
      </c>
      <c r="P68" s="25">
        <f>N68/L68</f>
        <v/>
      </c>
      <c r="Q68" s="23" t="n"/>
      <c r="R68" s="23" t="n"/>
      <c r="S68" s="26" t="n">
        <v>2.5573592</v>
      </c>
      <c r="T68" s="24" t="n">
        <v>91.8</v>
      </c>
      <c r="U68" s="24" t="n">
        <v>105.75</v>
      </c>
      <c r="V68" s="24" t="n">
        <v>105.75</v>
      </c>
      <c r="W68" s="26" t="inlineStr">
        <is>
          <t>adidas Vl Court Bold Womens Sneakers</t>
        </is>
      </c>
      <c r="X68" s="23" t="n">
        <v>4</v>
      </c>
      <c r="Y68" s="18">
        <f>AC68-AB68</f>
        <v/>
      </c>
      <c r="Z68" s="27" t="n">
        <v>-1</v>
      </c>
      <c r="AA68" s="27" t="n">
        <v>-1</v>
      </c>
      <c r="AB68" s="27" t="n"/>
      <c r="AC68" s="27" t="n"/>
      <c r="AD68" s="1" t="inlineStr">
        <is>
          <t>IH8090</t>
        </is>
      </c>
      <c r="AE68" s="1" t="inlineStr">
        <is>
          <t>Crew Orange/Blue/Purple Burst</t>
        </is>
      </c>
      <c r="AF68" s="4" t="n">
        <v>16.01</v>
      </c>
      <c r="AG68" s="4" t="n">
        <v>7.78</v>
      </c>
    </row>
    <row r="69" ht="47.25" customHeight="1">
      <c r="A69" s="18" t="inlineStr">
        <is>
          <t>196478209073</t>
        </is>
      </c>
      <c r="B69" s="19" t="inlineStr">
        <is>
          <t>https://www.amazon.com/dp/</t>
        </is>
      </c>
      <c r="C69" s="20" t="inlineStr">
        <is>
          <t>B0CMGTDN56</t>
        </is>
      </c>
      <c r="D69" s="44" t="n"/>
      <c r="E69" s="23" t="inlineStr">
        <is>
          <t>?th=1&amp;psc=1&amp;tag=sdcdeals03-20</t>
        </is>
      </c>
      <c r="F69" s="19">
        <f>HYPERLINK("https://redirect.sdcdeals.com/redirect?destination=https%3A%2F%2Fwww.amazon.com%2Fdp%2FB0CMGTDN56%3Fth%3D1%26psc%3D1%26tag%3Dsdcdeals03-20", "Amazon Link")</f>
        <v/>
      </c>
      <c r="G69" s="19" t="inlineStr">
        <is>
          <t>https://www.jcpenney.com/s?searchTerm={search_term}</t>
        </is>
      </c>
      <c r="H69" s="23" t="inlineStr">
        <is>
          <t>196478209073</t>
        </is>
      </c>
      <c r="I69" s="19">
        <f>HYPERLINK("https://www.jcpenney.com/s?searchTerm=196478209073", "Retail Link")</f>
        <v/>
      </c>
      <c r="J69" s="23" t="inlineStr">
        <is>
          <t>8</t>
        </is>
      </c>
      <c r="K69" s="21" t="inlineStr">
        <is>
          <t>adidas Women's VL Court Sneaker, Crew Orange/Blue/Purple Burst, 11</t>
        </is>
      </c>
      <c r="L69" s="24" t="n">
        <v>71.2405</v>
      </c>
      <c r="M69" s="24" t="n">
        <v>90.04000000000001</v>
      </c>
      <c r="N69" s="24" t="n">
        <v>-2.566499999999991</v>
      </c>
      <c r="O69" s="24">
        <f>V69-M69</f>
        <v/>
      </c>
      <c r="P69" s="25">
        <f>N69/L69</f>
        <v/>
      </c>
      <c r="Q69" s="23" t="n"/>
      <c r="R69" s="23" t="n"/>
      <c r="S69" s="26" t="n">
        <v>2.66979482</v>
      </c>
      <c r="T69" s="24" t="n">
        <v>90.04000000000001</v>
      </c>
      <c r="U69" s="24" t="inlineStr"/>
      <c r="V69" s="24" t="inlineStr"/>
      <c r="W69" s="26" t="inlineStr">
        <is>
          <t>adidas Vl Court Bold Womens Sneakers</t>
        </is>
      </c>
      <c r="X69" s="23" t="n">
        <v>4</v>
      </c>
      <c r="Y69" s="18">
        <f>AC69-AB69</f>
        <v/>
      </c>
      <c r="Z69" s="27" t="n">
        <v>-1</v>
      </c>
      <c r="AA69" s="27" t="n">
        <v>-1</v>
      </c>
      <c r="AB69" s="27" t="n"/>
      <c r="AC69" s="27" t="n"/>
      <c r="AD69" s="1" t="inlineStr">
        <is>
          <t>IH8090</t>
        </is>
      </c>
      <c r="AE69" s="1" t="inlineStr">
        <is>
          <t>Crew Orange/Blue/Purple Burst</t>
        </is>
      </c>
      <c r="AF69" s="4" t="inlineStr"/>
      <c r="AG69" s="4" t="n">
        <v>7.86</v>
      </c>
    </row>
    <row r="70" ht="47.25" customHeight="1">
      <c r="A70" s="18" t="inlineStr">
        <is>
          <t>196478772966</t>
        </is>
      </c>
      <c r="B70" s="19" t="inlineStr">
        <is>
          <t>https://www.amazon.com/dp/</t>
        </is>
      </c>
      <c r="C70" s="20" t="inlineStr">
        <is>
          <t>B0CCQHYPQN</t>
        </is>
      </c>
      <c r="D70" s="44" t="n"/>
      <c r="E70" s="23" t="inlineStr">
        <is>
          <t>?th=1&amp;psc=1&amp;tag=sdcdeals03-20</t>
        </is>
      </c>
      <c r="F70" s="19">
        <f>HYPERLINK("https://redirect.sdcdeals.com/redirect?destination=https%3A%2F%2Fwww.amazon.com%2Fdp%2FB0CCQHYPQN%3Fth%3D1%26psc%3D1%26tag%3Dsdcdeals03-20", "Amazon Link")</f>
        <v/>
      </c>
      <c r="G70" s="19" t="inlineStr">
        <is>
          <t>https://www.jcpenney.com/s?searchTerm={search_term}</t>
        </is>
      </c>
      <c r="H70" s="23" t="inlineStr">
        <is>
          <t>196478772966</t>
        </is>
      </c>
      <c r="I70" s="19">
        <f>HYPERLINK("https://www.jcpenney.com/s?searchTerm=196478772966", "Retail Link")</f>
        <v/>
      </c>
      <c r="J70" s="23" t="inlineStr">
        <is>
          <t>8</t>
        </is>
      </c>
      <c r="K70" s="21" t="inlineStr">
        <is>
          <t>adidas Women's VL Court Bold Sneaker, Grey/Off White/White, 6</t>
        </is>
      </c>
      <c r="L70" s="24" t="n">
        <v>71.2405</v>
      </c>
      <c r="M70" s="24" t="n">
        <v>100.87</v>
      </c>
      <c r="N70" s="24" t="n">
        <v>7.88900000000001</v>
      </c>
      <c r="O70" s="24">
        <f>V70-M70</f>
        <v/>
      </c>
      <c r="P70" s="25">
        <f>N70/L70</f>
        <v/>
      </c>
      <c r="Q70" s="23" t="n">
        <v>32687</v>
      </c>
      <c r="R70" s="23" t="n"/>
      <c r="S70" s="26" t="n">
        <v>1.95990718</v>
      </c>
      <c r="T70" s="24" t="n">
        <v>100.87</v>
      </c>
      <c r="U70" s="24" t="n">
        <v>79.95</v>
      </c>
      <c r="V70" s="24" t="n">
        <v>75.15000000000001</v>
      </c>
      <c r="W70" s="26" t="inlineStr">
        <is>
          <t>adidas Vl Court Bold Womens Sneakers</t>
        </is>
      </c>
      <c r="X70" s="23" t="n">
        <v>1</v>
      </c>
      <c r="Y70" s="18">
        <f>AC70-AB70</f>
        <v/>
      </c>
      <c r="Z70" s="27" t="n">
        <v>23</v>
      </c>
      <c r="AA70" s="27" t="n">
        <v>59</v>
      </c>
      <c r="AB70" s="27" t="n">
        <v>1</v>
      </c>
      <c r="AC70" s="27" t="n">
        <v>56</v>
      </c>
      <c r="AD70" s="1" t="inlineStr">
        <is>
          <t>NLK49</t>
        </is>
      </c>
      <c r="AE70" s="1" t="inlineStr">
        <is>
          <t>Grey/Off White/White</t>
        </is>
      </c>
      <c r="AF70" s="4" t="inlineStr"/>
      <c r="AG70" s="4" t="n">
        <v>6.61</v>
      </c>
    </row>
    <row r="71" ht="47.25" customHeight="1">
      <c r="A71" s="18" t="inlineStr">
        <is>
          <t>196478776612</t>
        </is>
      </c>
      <c r="B71" s="19" t="inlineStr">
        <is>
          <t>https://www.amazon.com/dp/</t>
        </is>
      </c>
      <c r="C71" s="20" t="inlineStr">
        <is>
          <t>B0CCQJXDW8</t>
        </is>
      </c>
      <c r="D71" s="44" t="n"/>
      <c r="E71" s="23" t="inlineStr">
        <is>
          <t>?th=1&amp;psc=1&amp;tag=sdcdeals03-20</t>
        </is>
      </c>
      <c r="F71" s="19">
        <f>HYPERLINK("https://redirect.sdcdeals.com/redirect?destination=https%3A%2F%2Fwww.amazon.com%2Fdp%2FB0CCQJXDW8%3Fth%3D1%26psc%3D1%26tag%3Dsdcdeals03-20", "Amazon Link")</f>
        <v/>
      </c>
      <c r="G71" s="19" t="inlineStr">
        <is>
          <t>https://www.jcpenney.com/s?searchTerm={search_term}</t>
        </is>
      </c>
      <c r="H71" s="23" t="inlineStr">
        <is>
          <t>196478776612</t>
        </is>
      </c>
      <c r="I71" s="19">
        <f>HYPERLINK("https://www.jcpenney.com/s?searchTerm=196478776612", "Retail Link")</f>
        <v/>
      </c>
      <c r="J71" s="23" t="inlineStr">
        <is>
          <t>8</t>
        </is>
      </c>
      <c r="K71" s="21" t="inlineStr">
        <is>
          <t>adidas Women's VL Court Bold Sneaker, Grey/Off White/White, 6.5</t>
        </is>
      </c>
      <c r="L71" s="24" t="n">
        <v>71.2405</v>
      </c>
      <c r="M71" s="24" t="n">
        <v>97</v>
      </c>
      <c r="N71" s="24" t="n">
        <v>3.429500000000004</v>
      </c>
      <c r="O71" s="24">
        <f>V71-M71</f>
        <v/>
      </c>
      <c r="P71" s="25">
        <f>N71/L71</f>
        <v/>
      </c>
      <c r="Q71" s="23" t="n">
        <v>32301</v>
      </c>
      <c r="R71" s="23" t="n"/>
      <c r="S71" s="26" t="n">
        <v>2.14068602</v>
      </c>
      <c r="T71" s="24" t="n">
        <v>97</v>
      </c>
      <c r="U71" s="24" t="n">
        <v>80.90000000000001</v>
      </c>
      <c r="V71" s="24" t="n">
        <v>81.86</v>
      </c>
      <c r="W71" s="26" t="inlineStr">
        <is>
          <t>adidas Vl Court Bold Womens Sneakers</t>
        </is>
      </c>
      <c r="X71" s="23" t="n">
        <v>5</v>
      </c>
      <c r="Y71" s="18">
        <f>AC71-AB71</f>
        <v/>
      </c>
      <c r="Z71" s="27" t="n">
        <v>34</v>
      </c>
      <c r="AA71" s="27" t="n">
        <v>86</v>
      </c>
      <c r="AB71" s="27" t="n">
        <v>1</v>
      </c>
      <c r="AC71" s="27" t="n">
        <v>56</v>
      </c>
      <c r="AD71" s="1" t="inlineStr">
        <is>
          <t>NLK49</t>
        </is>
      </c>
      <c r="AE71" s="1" t="inlineStr">
        <is>
          <t>Grey/Off White/White</t>
        </is>
      </c>
      <c r="AF71" s="4" t="inlineStr"/>
      <c r="AG71" s="4" t="n">
        <v>7.78</v>
      </c>
    </row>
    <row r="72" ht="47.25" customHeight="1">
      <c r="A72" s="18" t="inlineStr">
        <is>
          <t>196478776643</t>
        </is>
      </c>
      <c r="B72" s="19" t="inlineStr">
        <is>
          <t>https://www.amazon.com/dp/</t>
        </is>
      </c>
      <c r="C72" s="20" t="inlineStr">
        <is>
          <t>B0CCQJ6BB6</t>
        </is>
      </c>
      <c r="D72" s="44" t="n"/>
      <c r="E72" s="23" t="inlineStr">
        <is>
          <t>?th=1&amp;psc=1&amp;tag=sdcdeals03-20</t>
        </is>
      </c>
      <c r="F72" s="19">
        <f>HYPERLINK("https://redirect.sdcdeals.com/redirect?destination=https%3A%2F%2Fwww.amazon.com%2Fdp%2FB0CCQJ6BB6%3Fth%3D1%26psc%3D1%26tag%3Dsdcdeals03-20", "Amazon Link")</f>
        <v/>
      </c>
      <c r="G72" s="19" t="inlineStr">
        <is>
          <t>https://www.jcpenney.com/s?searchTerm={search_term}</t>
        </is>
      </c>
      <c r="H72" s="23" t="inlineStr">
        <is>
          <t>196478776643</t>
        </is>
      </c>
      <c r="I72" s="19">
        <f>HYPERLINK("https://www.jcpenney.com/s?searchTerm=196478776643", "Retail Link")</f>
        <v/>
      </c>
      <c r="J72" s="23" t="inlineStr">
        <is>
          <t>8</t>
        </is>
      </c>
      <c r="K72" s="21" t="inlineStr">
        <is>
          <t>adidas Women's VL Court Bold Sneaker, Grey/Off White/White, 7</t>
        </is>
      </c>
      <c r="L72" s="24" t="n">
        <v>71.2405</v>
      </c>
      <c r="M72" s="24" t="n">
        <v>97</v>
      </c>
      <c r="N72" s="24" t="n">
        <v>3.669499999999999</v>
      </c>
      <c r="O72" s="24">
        <f>V72-M72</f>
        <v/>
      </c>
      <c r="P72" s="25">
        <f>N72/L72</f>
        <v/>
      </c>
      <c r="Q72" s="23" t="n">
        <v>33534</v>
      </c>
      <c r="R72" s="23" t="n"/>
      <c r="S72" s="26" t="n">
        <v>2.20021076</v>
      </c>
      <c r="T72" s="24" t="n">
        <v>97</v>
      </c>
      <c r="U72" s="24" t="n">
        <v>79.95</v>
      </c>
      <c r="V72" s="24" t="n">
        <v>89.38</v>
      </c>
      <c r="W72" s="26" t="inlineStr">
        <is>
          <t>adidas Vl Court Bold Womens Sneakers</t>
        </is>
      </c>
      <c r="X72" s="23" t="n">
        <v>4</v>
      </c>
      <c r="Y72" s="18">
        <f>AC72-AB72</f>
        <v/>
      </c>
      <c r="Z72" s="27" t="n">
        <v>42</v>
      </c>
      <c r="AA72" s="27" t="n">
        <v>97</v>
      </c>
      <c r="AB72" s="27" t="n">
        <v>1</v>
      </c>
      <c r="AC72" s="27" t="n">
        <v>56</v>
      </c>
      <c r="AD72" s="1" t="inlineStr">
        <is>
          <t>NLK49</t>
        </is>
      </c>
      <c r="AE72" s="1" t="inlineStr">
        <is>
          <t>Grey/Off White/White</t>
        </is>
      </c>
      <c r="AF72" s="4" t="inlineStr"/>
      <c r="AG72" s="4" t="n">
        <v>7.54</v>
      </c>
    </row>
    <row r="73" ht="47.25" customHeight="1">
      <c r="A73" s="18" t="inlineStr">
        <is>
          <t>196478772980</t>
        </is>
      </c>
      <c r="B73" s="19" t="inlineStr">
        <is>
          <t>https://www.amazon.com/dp/</t>
        </is>
      </c>
      <c r="C73" s="20" t="inlineStr">
        <is>
          <t>B0CCQ3ZNHC</t>
        </is>
      </c>
      <c r="D73" s="44" t="n"/>
      <c r="E73" s="23" t="inlineStr">
        <is>
          <t>?th=1&amp;psc=1&amp;tag=sdcdeals03-20</t>
        </is>
      </c>
      <c r="F73" s="19">
        <f>HYPERLINK("https://redirect.sdcdeals.com/redirect?destination=https%3A%2F%2Fwww.amazon.com%2Fdp%2FB0CCQ3ZNHC%3Fth%3D1%26psc%3D1%26tag%3Dsdcdeals03-20", "Amazon Link")</f>
        <v/>
      </c>
      <c r="G73" s="19" t="inlineStr">
        <is>
          <t>https://www.jcpenney.com/s?searchTerm={search_term}</t>
        </is>
      </c>
      <c r="H73" s="23" t="inlineStr">
        <is>
          <t>196478772980</t>
        </is>
      </c>
      <c r="I73" s="19">
        <f>HYPERLINK("https://www.jcpenney.com/s?searchTerm=196478772980", "Retail Link")</f>
        <v/>
      </c>
      <c r="J73" s="23" t="inlineStr">
        <is>
          <t>8</t>
        </is>
      </c>
      <c r="K73" s="21" t="inlineStr">
        <is>
          <t>adidas Women's VL Court Bold Sneaker, Grey/Off White/White, 7.5</t>
        </is>
      </c>
      <c r="L73" s="24" t="n">
        <v>71.2405</v>
      </c>
      <c r="M73" s="24" t="n">
        <v>79.95</v>
      </c>
      <c r="N73" s="24" t="n">
        <v>-10.903</v>
      </c>
      <c r="O73" s="24">
        <f>V73-M73</f>
        <v/>
      </c>
      <c r="P73" s="25">
        <f>N73/L73</f>
        <v/>
      </c>
      <c r="Q73" s="23" t="n">
        <v>36477</v>
      </c>
      <c r="R73" s="23" t="n"/>
      <c r="S73" s="26" t="n">
        <v>2.25091702</v>
      </c>
      <c r="T73" s="24" t="n">
        <v>79.95</v>
      </c>
      <c r="U73" s="24" t="n">
        <v>81.91</v>
      </c>
      <c r="V73" s="24" t="n">
        <v>80.18000000000001</v>
      </c>
      <c r="W73" s="26" t="inlineStr">
        <is>
          <t>adidas Vl Court Bold Womens Sneakers</t>
        </is>
      </c>
      <c r="X73" s="23" t="n">
        <v>2</v>
      </c>
      <c r="Y73" s="18">
        <f>AC73-AB73</f>
        <v/>
      </c>
      <c r="Z73" s="27" t="n">
        <v>27</v>
      </c>
      <c r="AA73" s="27" t="n">
        <v>69</v>
      </c>
      <c r="AB73" s="27" t="n">
        <v>1</v>
      </c>
      <c r="AC73" s="27" t="n">
        <v>56</v>
      </c>
      <c r="AD73" s="1" t="inlineStr">
        <is>
          <t>NLK49</t>
        </is>
      </c>
      <c r="AE73" s="1" t="inlineStr">
        <is>
          <t>Grey/Off White/White</t>
        </is>
      </c>
      <c r="AF73" s="4" t="n">
        <v>11.99</v>
      </c>
      <c r="AG73" s="4" t="n">
        <v>7.62</v>
      </c>
    </row>
    <row r="74" ht="47.25" customHeight="1">
      <c r="A74" s="18" t="inlineStr">
        <is>
          <t>196478776636</t>
        </is>
      </c>
      <c r="B74" s="19" t="inlineStr">
        <is>
          <t>https://www.amazon.com/dp/</t>
        </is>
      </c>
      <c r="C74" s="20" t="inlineStr">
        <is>
          <t>B0CCPYK6XY</t>
        </is>
      </c>
      <c r="D74" s="44" t="n"/>
      <c r="E74" s="23" t="inlineStr">
        <is>
          <t>?th=1&amp;psc=1&amp;tag=sdcdeals03-20</t>
        </is>
      </c>
      <c r="F74" s="19">
        <f>HYPERLINK("https://redirect.sdcdeals.com/redirect?destination=https%3A%2F%2Fwww.amazon.com%2Fdp%2FB0CCPYK6XY%3Fth%3D1%26psc%3D1%26tag%3Dsdcdeals03-20", "Amazon Link")</f>
        <v/>
      </c>
      <c r="G74" s="19" t="inlineStr">
        <is>
          <t>https://www.jcpenney.com/s?searchTerm={search_term}</t>
        </is>
      </c>
      <c r="H74" s="23" t="inlineStr">
        <is>
          <t>196478776636</t>
        </is>
      </c>
      <c r="I74" s="19">
        <f>HYPERLINK("https://www.jcpenney.com/s?searchTerm=196478776636", "Retail Link")</f>
        <v/>
      </c>
      <c r="J74" s="23" t="inlineStr">
        <is>
          <t>8</t>
        </is>
      </c>
      <c r="K74" s="21" t="inlineStr">
        <is>
          <t>adidas Women's VL Court Bold Sneaker, Grey/Off White/White, 8</t>
        </is>
      </c>
      <c r="L74" s="24" t="n">
        <v>71.2405</v>
      </c>
      <c r="M74" s="24" t="n">
        <v>79.95</v>
      </c>
      <c r="N74" s="24" t="n">
        <v>-10.823</v>
      </c>
      <c r="O74" s="24">
        <f>V74-M74</f>
        <v/>
      </c>
      <c r="P74" s="25">
        <f>N74/L74</f>
        <v/>
      </c>
      <c r="Q74" s="23" t="n">
        <v>33534</v>
      </c>
      <c r="R74" s="23" t="n"/>
      <c r="S74" s="26" t="n">
        <v>2.33910182</v>
      </c>
      <c r="T74" s="24" t="n">
        <v>79.95</v>
      </c>
      <c r="U74" s="24" t="n">
        <v>83</v>
      </c>
      <c r="V74" s="24" t="n">
        <v>77.59999999999999</v>
      </c>
      <c r="W74" s="26" t="inlineStr">
        <is>
          <t>adidas Vl Court Bold Womens Sneakers</t>
        </is>
      </c>
      <c r="X74" s="23" t="n">
        <v>5</v>
      </c>
      <c r="Y74" s="18">
        <f>AC74-AB74</f>
        <v/>
      </c>
      <c r="Z74" s="27" t="n">
        <v>46</v>
      </c>
      <c r="AA74" s="27" t="n">
        <v>118</v>
      </c>
      <c r="AB74" s="27" t="n">
        <v>0</v>
      </c>
      <c r="AC74" s="27" t="n">
        <v>56</v>
      </c>
      <c r="AD74" s="1" t="inlineStr">
        <is>
          <t>NLK49</t>
        </is>
      </c>
      <c r="AE74" s="1" t="inlineStr">
        <is>
          <t>Grey/Off White/White</t>
        </is>
      </c>
      <c r="AF74" s="4" t="n">
        <v>11.99</v>
      </c>
      <c r="AG74" s="4" t="n">
        <v>7.54</v>
      </c>
    </row>
    <row r="75" ht="47.25" customHeight="1">
      <c r="A75" s="18" t="inlineStr">
        <is>
          <t>196478772973</t>
        </is>
      </c>
      <c r="B75" s="19" t="inlineStr">
        <is>
          <t>https://www.amazon.com/dp/</t>
        </is>
      </c>
      <c r="C75" s="20" t="inlineStr">
        <is>
          <t>B0CCQDCQW6</t>
        </is>
      </c>
      <c r="D75" s="44" t="n"/>
      <c r="E75" s="23" t="inlineStr">
        <is>
          <t>?th=1&amp;psc=1&amp;tag=sdcdeals03-20</t>
        </is>
      </c>
      <c r="F75" s="19">
        <f>HYPERLINK("https://redirect.sdcdeals.com/redirect?destination=https%3A%2F%2Fwww.amazon.com%2Fdp%2FB0CCQDCQW6%3Fth%3D1%26psc%3D1%26tag%3Dsdcdeals03-20", "Amazon Link")</f>
        <v/>
      </c>
      <c r="G75" s="19" t="inlineStr">
        <is>
          <t>https://www.jcpenney.com/s?searchTerm={search_term}</t>
        </is>
      </c>
      <c r="H75" s="23" t="inlineStr">
        <is>
          <t>196478772973</t>
        </is>
      </c>
      <c r="I75" s="19">
        <f>HYPERLINK("https://www.jcpenney.com/s?searchTerm=196478772973", "Retail Link")</f>
        <v/>
      </c>
      <c r="J75" s="23" t="inlineStr">
        <is>
          <t>8</t>
        </is>
      </c>
      <c r="K75" s="21" t="inlineStr">
        <is>
          <t>adidas Women's VL Court Bold Sneaker, Grey/Off White/White, 8.5</t>
        </is>
      </c>
      <c r="L75" s="24" t="n">
        <v>71.2405</v>
      </c>
      <c r="M75" s="24" t="n">
        <v>79.95</v>
      </c>
      <c r="N75" s="24" t="n">
        <v>-11.703</v>
      </c>
      <c r="O75" s="24">
        <f>V75-M75</f>
        <v/>
      </c>
      <c r="P75" s="25">
        <f>N75/L75</f>
        <v/>
      </c>
      <c r="Q75" s="23" t="n">
        <v>33534</v>
      </c>
      <c r="R75" s="23" t="n"/>
      <c r="S75" s="26" t="n">
        <v>2.29060018</v>
      </c>
      <c r="T75" s="24" t="n">
        <v>79.95</v>
      </c>
      <c r="U75" s="24" t="n">
        <v>81.02</v>
      </c>
      <c r="V75" s="24" t="n">
        <v>77.76000000000001</v>
      </c>
      <c r="W75" s="26" t="inlineStr">
        <is>
          <t>adidas Vl Court Bold Womens Sneakers</t>
        </is>
      </c>
      <c r="X75" s="23" t="n">
        <v>6</v>
      </c>
      <c r="Y75" s="18">
        <f>AC75-AB75</f>
        <v/>
      </c>
      <c r="Z75" s="27" t="n">
        <v>40</v>
      </c>
      <c r="AA75" s="27" t="n">
        <v>97</v>
      </c>
      <c r="AB75" s="27" t="n">
        <v>0</v>
      </c>
      <c r="AC75" s="27" t="n">
        <v>56</v>
      </c>
      <c r="AD75" s="1" t="inlineStr">
        <is>
          <t>NLK49</t>
        </is>
      </c>
      <c r="AE75" s="1" t="inlineStr">
        <is>
          <t>Grey/Off White/White</t>
        </is>
      </c>
      <c r="AF75" s="4" t="n">
        <v>11.99</v>
      </c>
      <c r="AG75" s="4" t="n">
        <v>8.42</v>
      </c>
    </row>
    <row r="76" ht="47.25" customHeight="1">
      <c r="A76" s="18" t="inlineStr">
        <is>
          <t>196478776681</t>
        </is>
      </c>
      <c r="B76" s="19" t="inlineStr">
        <is>
          <t>https://www.amazon.com/dp/</t>
        </is>
      </c>
      <c r="C76" s="20" t="inlineStr">
        <is>
          <t>B0CCQ6VKDJ</t>
        </is>
      </c>
      <c r="D76" s="44" t="n"/>
      <c r="E76" s="23" t="inlineStr">
        <is>
          <t>?th=1&amp;psc=1&amp;tag=sdcdeals03-20</t>
        </is>
      </c>
      <c r="F76" s="19">
        <f>HYPERLINK("https://redirect.sdcdeals.com/redirect?destination=https%3A%2F%2Fwww.amazon.com%2Fdp%2FB0CCQ6VKDJ%3Fth%3D1%26psc%3D1%26tag%3Dsdcdeals03-20", "Amazon Link")</f>
        <v/>
      </c>
      <c r="G76" s="19" t="inlineStr">
        <is>
          <t>https://www.jcpenney.com/s?searchTerm={search_term}</t>
        </is>
      </c>
      <c r="H76" s="23" t="inlineStr">
        <is>
          <t>196478776681</t>
        </is>
      </c>
      <c r="I76" s="19">
        <f>HYPERLINK("https://www.jcpenney.com/s?searchTerm=196478776681", "Retail Link")</f>
        <v/>
      </c>
      <c r="J76" s="23" t="inlineStr">
        <is>
          <t>8</t>
        </is>
      </c>
      <c r="K76" s="21" t="inlineStr">
        <is>
          <t>adidas Women's VL Court Bold Sneaker, Grey/Off White/White, 9</t>
        </is>
      </c>
      <c r="L76" s="24" t="n">
        <v>71.2405</v>
      </c>
      <c r="M76" s="24" t="n">
        <v>79.95</v>
      </c>
      <c r="N76" s="24" t="n">
        <v>-10.983</v>
      </c>
      <c r="O76" s="24">
        <f>V76-M76</f>
        <v/>
      </c>
      <c r="P76" s="25">
        <f>N76/L76</f>
        <v/>
      </c>
      <c r="Q76" s="23" t="n">
        <v>33534</v>
      </c>
      <c r="R76" s="23" t="n"/>
      <c r="S76" s="26" t="n">
        <v>2.4691744</v>
      </c>
      <c r="T76" s="24" t="n">
        <v>79.95</v>
      </c>
      <c r="U76" s="24" t="n">
        <v>82.27</v>
      </c>
      <c r="V76" s="24" t="n">
        <v>80.75</v>
      </c>
      <c r="W76" s="26" t="inlineStr">
        <is>
          <t>adidas Vl Court Bold Womens Sneakers</t>
        </is>
      </c>
      <c r="X76" s="23" t="n">
        <v>5</v>
      </c>
      <c r="Y76" s="18">
        <f>AC76-AB76</f>
        <v/>
      </c>
      <c r="Z76" s="27" t="n">
        <v>27</v>
      </c>
      <c r="AA76" s="27" t="n">
        <v>87</v>
      </c>
      <c r="AB76" s="27" t="n">
        <v>1</v>
      </c>
      <c r="AC76" s="27" t="n">
        <v>55</v>
      </c>
      <c r="AD76" s="1" t="inlineStr">
        <is>
          <t>NLK49</t>
        </is>
      </c>
      <c r="AE76" s="1" t="inlineStr">
        <is>
          <t>Grey/Off White/White</t>
        </is>
      </c>
      <c r="AF76" s="4" t="n">
        <v>11.99</v>
      </c>
      <c r="AG76" s="4" t="n">
        <v>7.7</v>
      </c>
    </row>
    <row r="77" ht="47.25" customHeight="1">
      <c r="A77" s="18" t="inlineStr">
        <is>
          <t>196478776667</t>
        </is>
      </c>
      <c r="B77" s="19" t="inlineStr">
        <is>
          <t>https://www.amazon.com/dp/</t>
        </is>
      </c>
      <c r="C77" s="20" t="inlineStr">
        <is>
          <t>B0CCQNJ997</t>
        </is>
      </c>
      <c r="D77" s="44" t="n"/>
      <c r="E77" s="23" t="inlineStr">
        <is>
          <t>?th=1&amp;psc=1&amp;tag=sdcdeals03-20</t>
        </is>
      </c>
      <c r="F77" s="19">
        <f>HYPERLINK("https://redirect.sdcdeals.com/redirect?destination=https%3A%2F%2Fwww.amazon.com%2Fdp%2FB0CCQNJ997%3Fth%3D1%26psc%3D1%26tag%3Dsdcdeals03-20", "Amazon Link")</f>
        <v/>
      </c>
      <c r="G77" s="19" t="inlineStr">
        <is>
          <t>https://www.jcpenney.com/s?searchTerm={search_term}</t>
        </is>
      </c>
      <c r="H77" s="23" t="inlineStr">
        <is>
          <t>196478776667</t>
        </is>
      </c>
      <c r="I77" s="19">
        <f>HYPERLINK("https://www.jcpenney.com/s?searchTerm=196478776667", "Retail Link")</f>
        <v/>
      </c>
      <c r="J77" s="23" t="inlineStr">
        <is>
          <t>8</t>
        </is>
      </c>
      <c r="K77" s="21" t="inlineStr">
        <is>
          <t>adidas Women's VL Court Bold Sneaker, Grey/Off White/White, 9.5</t>
        </is>
      </c>
      <c r="L77" s="24" t="n">
        <v>71.2405</v>
      </c>
      <c r="M77" s="24" t="n">
        <v>79.95</v>
      </c>
      <c r="N77" s="24" t="n">
        <v>-10.983</v>
      </c>
      <c r="O77" s="24">
        <f>V77-M77</f>
        <v/>
      </c>
      <c r="P77" s="25">
        <f>N77/L77</f>
        <v/>
      </c>
      <c r="Q77" s="23" t="n">
        <v>33534</v>
      </c>
      <c r="R77" s="23" t="n"/>
      <c r="S77" s="26" t="n">
        <v>2.5794054</v>
      </c>
      <c r="T77" s="24" t="n">
        <v>79.90000000000001</v>
      </c>
      <c r="U77" s="24" t="n">
        <v>79.95</v>
      </c>
      <c r="V77" s="24" t="n">
        <v>75.48</v>
      </c>
      <c r="W77" s="26" t="inlineStr">
        <is>
          <t>adidas Vl Court Bold Womens Sneakers</t>
        </is>
      </c>
      <c r="X77" s="23" t="n">
        <v>5</v>
      </c>
      <c r="Y77" s="18">
        <f>AC77-AB77</f>
        <v/>
      </c>
      <c r="Z77" s="27" t="n">
        <v>35</v>
      </c>
      <c r="AA77" s="27" t="n">
        <v>87</v>
      </c>
      <c r="AB77" s="27" t="n">
        <v>4</v>
      </c>
      <c r="AC77" s="27" t="n">
        <v>56</v>
      </c>
      <c r="AD77" s="1" t="inlineStr">
        <is>
          <t>NLK49</t>
        </is>
      </c>
      <c r="AE77" s="1" t="inlineStr">
        <is>
          <t>Grey/Off White/White</t>
        </is>
      </c>
      <c r="AF77" s="4" t="n">
        <v>11.99</v>
      </c>
      <c r="AG77" s="4" t="n">
        <v>7.7</v>
      </c>
    </row>
    <row r="78" ht="47.25" customHeight="1">
      <c r="A78" s="18" t="inlineStr">
        <is>
          <t>196478776674</t>
        </is>
      </c>
      <c r="B78" s="19" t="inlineStr">
        <is>
          <t>https://www.amazon.com/dp/</t>
        </is>
      </c>
      <c r="C78" s="20" t="inlineStr">
        <is>
          <t>B0CCQ8DDBZ</t>
        </is>
      </c>
      <c r="D78" s="44" t="n"/>
      <c r="E78" s="23" t="inlineStr">
        <is>
          <t>?th=1&amp;psc=1&amp;tag=sdcdeals03-20</t>
        </is>
      </c>
      <c r="F78" s="19">
        <f>HYPERLINK("https://redirect.sdcdeals.com/redirect?destination=https%3A%2F%2Fwww.amazon.com%2Fdp%2FB0CCQ8DDBZ%3Fth%3D1%26psc%3D1%26tag%3Dsdcdeals03-20", "Amazon Link")</f>
        <v/>
      </c>
      <c r="G78" s="19" t="inlineStr">
        <is>
          <t>https://www.jcpenney.com/s?searchTerm={search_term}</t>
        </is>
      </c>
      <c r="H78" s="23" t="inlineStr">
        <is>
          <t>196478776674</t>
        </is>
      </c>
      <c r="I78" s="19">
        <f>HYPERLINK("https://www.jcpenney.com/s?searchTerm=196478776674", "Retail Link")</f>
        <v/>
      </c>
      <c r="J78" s="23" t="inlineStr">
        <is>
          <t>8</t>
        </is>
      </c>
      <c r="K78" s="21" t="inlineStr">
        <is>
          <t>adidas Women's VL Court Bold Sneaker, Grey/Off White/White, 10</t>
        </is>
      </c>
      <c r="L78" s="24" t="n">
        <v>71.2405</v>
      </c>
      <c r="M78" s="24" t="n">
        <v>79.95</v>
      </c>
      <c r="N78" s="24" t="n">
        <v>-10.983</v>
      </c>
      <c r="O78" s="24">
        <f>V78-M78</f>
        <v/>
      </c>
      <c r="P78" s="25">
        <f>N78/L78</f>
        <v/>
      </c>
      <c r="Q78" s="23" t="n">
        <v>32687</v>
      </c>
      <c r="R78" s="23" t="n"/>
      <c r="S78" s="26" t="n">
        <v>2.55956382</v>
      </c>
      <c r="T78" s="24" t="n">
        <v>79.95</v>
      </c>
      <c r="U78" s="24" t="n">
        <v>79.95999999999999</v>
      </c>
      <c r="V78" s="24" t="n">
        <v>75.90000000000001</v>
      </c>
      <c r="W78" s="26" t="inlineStr">
        <is>
          <t>adidas Vl Court Bold Womens Sneakers</t>
        </is>
      </c>
      <c r="X78" s="23" t="n">
        <v>7</v>
      </c>
      <c r="Y78" s="18">
        <f>AC78-AB78</f>
        <v/>
      </c>
      <c r="Z78" s="27" t="n">
        <v>35</v>
      </c>
      <c r="AA78" s="27" t="n">
        <v>93</v>
      </c>
      <c r="AB78" s="27" t="n">
        <v>0</v>
      </c>
      <c r="AC78" s="27" t="n">
        <v>53</v>
      </c>
      <c r="AD78" s="1" t="inlineStr">
        <is>
          <t>NLK49</t>
        </is>
      </c>
      <c r="AE78" s="1" t="inlineStr">
        <is>
          <t>Grey/Off White/White</t>
        </is>
      </c>
      <c r="AF78" s="4" t="n">
        <v>11.99</v>
      </c>
      <c r="AG78" s="4" t="n">
        <v>7.7</v>
      </c>
    </row>
    <row r="79" ht="47.25" customHeight="1">
      <c r="A79" s="18" t="inlineStr">
        <is>
          <t>196478772997</t>
        </is>
      </c>
      <c r="B79" s="19" t="inlineStr">
        <is>
          <t>https://www.amazon.com/dp/</t>
        </is>
      </c>
      <c r="C79" s="20" t="inlineStr">
        <is>
          <t>B0CCQ5V6G7</t>
        </is>
      </c>
      <c r="D79" s="44" t="n"/>
      <c r="E79" s="23" t="inlineStr">
        <is>
          <t>?th=1&amp;psc=1&amp;tag=sdcdeals03-20</t>
        </is>
      </c>
      <c r="F79" s="19">
        <f>HYPERLINK("https://redirect.sdcdeals.com/redirect?destination=https%3A%2F%2Fwww.amazon.com%2Fdp%2FB0CCQ5V6G7%3Fth%3D1%26psc%3D1%26tag%3Dsdcdeals03-20", "Amazon Link")</f>
        <v/>
      </c>
      <c r="G79" s="19" t="inlineStr">
        <is>
          <t>https://www.jcpenney.com/s?searchTerm={search_term}</t>
        </is>
      </c>
      <c r="H79" s="23" t="inlineStr">
        <is>
          <t>196478772997</t>
        </is>
      </c>
      <c r="I79" s="19">
        <f>HYPERLINK("https://www.jcpenney.com/s?searchTerm=196478772997", "Retail Link")</f>
        <v/>
      </c>
      <c r="J79" s="23" t="inlineStr">
        <is>
          <t>8</t>
        </is>
      </c>
      <c r="K79" s="21" t="inlineStr">
        <is>
          <t>adidas Women's VL Court Bold Sneaker, Grey/Off White/White, 11</t>
        </is>
      </c>
      <c r="L79" s="24" t="n">
        <v>71.2405</v>
      </c>
      <c r="M79" s="24" t="n">
        <v>88.14</v>
      </c>
      <c r="N79" s="24" t="n">
        <v>-4.1815</v>
      </c>
      <c r="O79" s="24">
        <f>V79-M79</f>
        <v/>
      </c>
      <c r="P79" s="25">
        <f>N79/L79</f>
        <v/>
      </c>
      <c r="Q79" s="23" t="n">
        <v>32728</v>
      </c>
      <c r="R79" s="23" t="n"/>
      <c r="S79" s="26" t="n">
        <v>2.66979482</v>
      </c>
      <c r="T79" s="24" t="n">
        <v>88.14</v>
      </c>
      <c r="U79" s="24" t="n">
        <v>77.93000000000001</v>
      </c>
      <c r="V79" s="24" t="n">
        <v>75.98</v>
      </c>
      <c r="W79" s="26" t="inlineStr">
        <is>
          <t>adidas Vl Court Bold Womens Sneakers</t>
        </is>
      </c>
      <c r="X79" s="23" t="n">
        <v>5</v>
      </c>
      <c r="Y79" s="18">
        <f>AC79-AB79</f>
        <v/>
      </c>
      <c r="Z79" s="27" t="n">
        <v>32</v>
      </c>
      <c r="AA79" s="27" t="n">
        <v>102</v>
      </c>
      <c r="AB79" s="27" t="n">
        <v>1</v>
      </c>
      <c r="AC79" s="27" t="n">
        <v>56</v>
      </c>
      <c r="AD79" s="1" t="inlineStr">
        <is>
          <t>NLK49</t>
        </is>
      </c>
      <c r="AE79" s="1" t="inlineStr">
        <is>
          <t>Grey/Off White/White</t>
        </is>
      </c>
      <c r="AF79" s="4" t="n">
        <v>13.22</v>
      </c>
      <c r="AG79" s="4" t="n">
        <v>7.86</v>
      </c>
    </row>
    <row r="80" ht="47.25" customHeight="1">
      <c r="A80" s="18" t="inlineStr">
        <is>
          <t>197671555226</t>
        </is>
      </c>
      <c r="B80" s="19" t="inlineStr">
        <is>
          <t>https://www.amazon.com/dp/</t>
        </is>
      </c>
      <c r="C80" s="20" t="inlineStr">
        <is>
          <t>B0D32995S7</t>
        </is>
      </c>
      <c r="D80" s="44" t="n"/>
      <c r="E80" s="23" t="inlineStr">
        <is>
          <t>?th=1&amp;psc=1&amp;tag=sdcdeals03-20</t>
        </is>
      </c>
      <c r="F80" s="19">
        <f>HYPERLINK("https://redirect.sdcdeals.com/redirect?destination=https%3A%2F%2Fwww.amazon.com%2Fdp%2FB0D32995S7%3Fth%3D1%26psc%3D1%26tag%3Dsdcdeals03-20", "Amazon Link")</f>
        <v/>
      </c>
      <c r="G80" s="19" t="inlineStr">
        <is>
          <t>https://www.jcpenney.com/s?searchTerm={search_term}</t>
        </is>
      </c>
      <c r="H80" s="23" t="inlineStr">
        <is>
          <t>197671555226</t>
        </is>
      </c>
      <c r="I80" s="19">
        <f>HYPERLINK("https://www.jcpenney.com/s?searchTerm=197671555226", "Retail Link")</f>
        <v/>
      </c>
      <c r="J80" s="23" t="inlineStr">
        <is>
          <t>8</t>
        </is>
      </c>
      <c r="K80" s="21" t="inlineStr">
        <is>
          <t>PUMA Women's Club II Era Sneaker, Frosted Dew White-Gum, 5.5</t>
        </is>
      </c>
      <c r="L80" s="24" t="n">
        <v>66.5</v>
      </c>
      <c r="M80" s="24" t="n">
        <v>59.27</v>
      </c>
      <c r="N80" s="24" t="n">
        <v>-22.3605</v>
      </c>
      <c r="O80" s="24">
        <f>V80-M80</f>
        <v/>
      </c>
      <c r="P80" s="25">
        <f>N80/L80</f>
        <v/>
      </c>
      <c r="Q80" s="23" t="n">
        <v>96303</v>
      </c>
      <c r="R80" s="23" t="n"/>
      <c r="S80" s="26" t="n">
        <v>1.43079838</v>
      </c>
      <c r="T80" s="24" t="inlineStr"/>
      <c r="U80" s="24" t="n">
        <v>59.27</v>
      </c>
      <c r="V80" s="24" t="n">
        <v>66.68000000000001</v>
      </c>
      <c r="W80" s="26" t="inlineStr">
        <is>
          <t>PUMA Club Ii Era Womens Sneakers</t>
        </is>
      </c>
      <c r="X80" s="23" t="n">
        <v>1</v>
      </c>
      <c r="Y80" s="18">
        <f>AC80-AB80</f>
        <v/>
      </c>
      <c r="Z80" s="27" t="n">
        <v>8</v>
      </c>
      <c r="AA80" s="27" t="n">
        <v>74</v>
      </c>
      <c r="AB80" s="27" t="n">
        <v>1</v>
      </c>
      <c r="AC80" s="27" t="n">
        <v>23</v>
      </c>
      <c r="AD80" s="1" t="inlineStr">
        <is>
          <t>40100108</t>
        </is>
      </c>
      <c r="AE80" s="1" t="inlineStr">
        <is>
          <t>Frosted Dew-puma White-gum</t>
        </is>
      </c>
      <c r="AF80" s="4" t="inlineStr"/>
      <c r="AG80" s="4" t="n">
        <v>6.24</v>
      </c>
    </row>
    <row r="81" ht="47.25" customHeight="1">
      <c r="A81" s="18" t="inlineStr">
        <is>
          <t>197671555233</t>
        </is>
      </c>
      <c r="B81" s="19" t="inlineStr">
        <is>
          <t>https://www.amazon.com/dp/</t>
        </is>
      </c>
      <c r="C81" s="20" t="inlineStr">
        <is>
          <t>B0D32BZ5KM</t>
        </is>
      </c>
      <c r="D81" s="44" t="n"/>
      <c r="E81" s="23" t="inlineStr">
        <is>
          <t>?th=1&amp;psc=1&amp;tag=sdcdeals03-20</t>
        </is>
      </c>
      <c r="F81" s="19">
        <f>HYPERLINK("https://redirect.sdcdeals.com/redirect?destination=https%3A%2F%2Fwww.amazon.com%2Fdp%2FB0D32BZ5KM%3Fth%3D1%26psc%3D1%26tag%3Dsdcdeals03-20", "Amazon Link")</f>
        <v/>
      </c>
      <c r="G81" s="19" t="inlineStr">
        <is>
          <t>https://www.jcpenney.com/s?searchTerm={search_term}</t>
        </is>
      </c>
      <c r="H81" s="23" t="inlineStr">
        <is>
          <t>197671555233</t>
        </is>
      </c>
      <c r="I81" s="19">
        <f>HYPERLINK("https://www.jcpenney.com/s?searchTerm=197671555233", "Retail Link")</f>
        <v/>
      </c>
      <c r="J81" s="23" t="inlineStr">
        <is>
          <t>8</t>
        </is>
      </c>
      <c r="K81" s="21" t="inlineStr">
        <is>
          <t>PUMA Women's Club II Era Sneaker, Frosted Dew White-Gum, 6</t>
        </is>
      </c>
      <c r="L81" s="24" t="n">
        <v>66.5</v>
      </c>
      <c r="M81" s="24" t="n">
        <v>62.42</v>
      </c>
      <c r="N81" s="24" t="n">
        <v>-19.683</v>
      </c>
      <c r="O81" s="24">
        <f>V81-M81</f>
        <v/>
      </c>
      <c r="P81" s="25">
        <f>N81/L81</f>
        <v/>
      </c>
      <c r="Q81" s="23" t="n">
        <v>89371</v>
      </c>
      <c r="R81" s="23" t="n"/>
      <c r="S81" s="26" t="n">
        <v>1.43079838</v>
      </c>
      <c r="T81" s="24" t="n">
        <v>62.42</v>
      </c>
      <c r="U81" s="24" t="n">
        <v>65.40000000000001</v>
      </c>
      <c r="V81" s="24" t="n">
        <v>69.94</v>
      </c>
      <c r="W81" s="26" t="inlineStr">
        <is>
          <t>PUMA Club Ii Era Womens Sneakers</t>
        </is>
      </c>
      <c r="X81" s="23" t="n">
        <v>4</v>
      </c>
      <c r="Y81" s="18">
        <f>AC81-AB81</f>
        <v/>
      </c>
      <c r="Z81" s="27" t="n">
        <v>27</v>
      </c>
      <c r="AA81" s="27" t="n">
        <v>89</v>
      </c>
      <c r="AB81" s="27" t="n">
        <v>1</v>
      </c>
      <c r="AC81" s="27" t="n">
        <v>25</v>
      </c>
      <c r="AD81" s="1" t="inlineStr">
        <is>
          <t>40100108</t>
        </is>
      </c>
      <c r="AE81" s="1" t="inlineStr">
        <is>
          <t>Frosted Dew-puma White-gum</t>
        </is>
      </c>
      <c r="AF81" s="4" t="n">
        <v>9.359999999999999</v>
      </c>
      <c r="AG81" s="4" t="n">
        <v>6.24</v>
      </c>
    </row>
    <row r="82" ht="47.25" customHeight="1">
      <c r="A82" s="18" t="inlineStr">
        <is>
          <t>197671555240</t>
        </is>
      </c>
      <c r="B82" s="19" t="inlineStr">
        <is>
          <t>https://www.amazon.com/dp/</t>
        </is>
      </c>
      <c r="C82" s="20" t="inlineStr">
        <is>
          <t>B0D32F2DPW</t>
        </is>
      </c>
      <c r="D82" s="44" t="n"/>
      <c r="E82" s="23" t="inlineStr">
        <is>
          <t>?th=1&amp;psc=1&amp;tag=sdcdeals03-20</t>
        </is>
      </c>
      <c r="F82" s="19">
        <f>HYPERLINK("https://redirect.sdcdeals.com/redirect?destination=https%3A%2F%2Fwww.amazon.com%2Fdp%2FB0D32F2DPW%3Fth%3D1%26psc%3D1%26tag%3Dsdcdeals03-20", "Amazon Link")</f>
        <v/>
      </c>
      <c r="G82" s="19" t="inlineStr">
        <is>
          <t>https://www.jcpenney.com/s?searchTerm={search_term}</t>
        </is>
      </c>
      <c r="H82" s="23" t="inlineStr">
        <is>
          <t>197671555240</t>
        </is>
      </c>
      <c r="I82" s="19">
        <f>HYPERLINK("https://www.jcpenney.com/s?searchTerm=197671555240", "Retail Link")</f>
        <v/>
      </c>
      <c r="J82" s="23" t="inlineStr">
        <is>
          <t>8</t>
        </is>
      </c>
      <c r="K82" s="21" t="inlineStr">
        <is>
          <t>PUMA Women's Club II Era Sneaker, Frosted Dew White-Gum, 6.5</t>
        </is>
      </c>
      <c r="L82" s="24" t="n">
        <v>66.5</v>
      </c>
      <c r="M82" s="24" t="n">
        <v>64.8</v>
      </c>
      <c r="N82" s="24" t="n">
        <v>-18.03</v>
      </c>
      <c r="O82" s="24">
        <f>V82-M82</f>
        <v/>
      </c>
      <c r="P82" s="25">
        <f>N82/L82</f>
        <v/>
      </c>
      <c r="Q82" s="23" t="n">
        <v>91778</v>
      </c>
      <c r="R82" s="23" t="n"/>
      <c r="S82" s="26" t="n">
        <v>1.4991416</v>
      </c>
      <c r="T82" s="24" t="n">
        <v>64.8</v>
      </c>
      <c r="U82" s="24" t="n">
        <v>67.91</v>
      </c>
      <c r="V82" s="24" t="n">
        <v>71.26000000000001</v>
      </c>
      <c r="W82" s="26" t="inlineStr">
        <is>
          <t>PUMA Club Ii Era Womens Sneakers</t>
        </is>
      </c>
      <c r="X82" s="23" t="n">
        <v>4</v>
      </c>
      <c r="Y82" s="18">
        <f>AC82-AB82</f>
        <v/>
      </c>
      <c r="Z82" s="27" t="n">
        <v>27</v>
      </c>
      <c r="AA82" s="27" t="n">
        <v>87</v>
      </c>
      <c r="AB82" s="27" t="n">
        <v>0</v>
      </c>
      <c r="AC82" s="27" t="n">
        <v>25</v>
      </c>
      <c r="AD82" s="1" t="inlineStr">
        <is>
          <t>40100108</t>
        </is>
      </c>
      <c r="AE82" s="1" t="inlineStr">
        <is>
          <t>Frosted Dew-puma White-gum</t>
        </is>
      </c>
      <c r="AF82" s="4" t="n">
        <v>9.720000000000001</v>
      </c>
      <c r="AG82" s="4" t="n">
        <v>6.61</v>
      </c>
    </row>
    <row r="83" ht="47.25" customHeight="1">
      <c r="A83" s="18" t="inlineStr">
        <is>
          <t>197671555257</t>
        </is>
      </c>
      <c r="B83" s="19" t="inlineStr">
        <is>
          <t>https://www.amazon.com/dp/</t>
        </is>
      </c>
      <c r="C83" s="20" t="inlineStr">
        <is>
          <t>B0D32CPBRZ</t>
        </is>
      </c>
      <c r="D83" s="44" t="n"/>
      <c r="E83" s="23" t="inlineStr">
        <is>
          <t>?th=1&amp;psc=1&amp;tag=sdcdeals03-20</t>
        </is>
      </c>
      <c r="F83" s="19">
        <f>HYPERLINK("https://redirect.sdcdeals.com/redirect?destination=https%3A%2F%2Fwww.amazon.com%2Fdp%2FB0D32CPBRZ%3Fth%3D1%26psc%3D1%26tag%3Dsdcdeals03-20", "Amazon Link")</f>
        <v/>
      </c>
      <c r="G83" s="19" t="inlineStr">
        <is>
          <t>https://www.jcpenney.com/s?searchTerm={search_term}</t>
        </is>
      </c>
      <c r="H83" s="23" t="inlineStr">
        <is>
          <t>197671555257</t>
        </is>
      </c>
      <c r="I83" s="19">
        <f>HYPERLINK("https://www.jcpenney.com/s?searchTerm=197671555257", "Retail Link")</f>
        <v/>
      </c>
      <c r="J83" s="23" t="inlineStr">
        <is>
          <t>8</t>
        </is>
      </c>
      <c r="K83" s="21" t="inlineStr">
        <is>
          <t>PUMA Women's Club II Era Sneaker, Frosted Dew White-Gum, 7</t>
        </is>
      </c>
      <c r="L83" s="24" t="n">
        <v>66.5</v>
      </c>
      <c r="M83" s="24" t="n">
        <v>65.70999999999999</v>
      </c>
      <c r="N83" s="24" t="n">
        <v>-17.25650000000001</v>
      </c>
      <c r="O83" s="24">
        <f>V83-M83</f>
        <v/>
      </c>
      <c r="P83" s="25">
        <f>N83/L83</f>
        <v/>
      </c>
      <c r="Q83" s="23" t="n">
        <v>90881</v>
      </c>
      <c r="R83" s="23" t="n"/>
      <c r="S83" s="26" t="n">
        <v>1.543234</v>
      </c>
      <c r="T83" s="24" t="n">
        <v>65.70999999999999</v>
      </c>
      <c r="U83" s="24" t="n">
        <v>68.20999999999999</v>
      </c>
      <c r="V83" s="24" t="n">
        <v>71.42</v>
      </c>
      <c r="W83" s="26" t="inlineStr">
        <is>
          <t>PUMA Club Ii Era Womens Sneakers</t>
        </is>
      </c>
      <c r="X83" s="23" t="n">
        <v>4</v>
      </c>
      <c r="Y83" s="18">
        <f>AC83-AB83</f>
        <v/>
      </c>
      <c r="Z83" s="27" t="n">
        <v>19</v>
      </c>
      <c r="AA83" s="27" t="n">
        <v>73</v>
      </c>
      <c r="AB83" s="27" t="n">
        <v>0</v>
      </c>
      <c r="AC83" s="27" t="n">
        <v>24</v>
      </c>
      <c r="AD83" s="1" t="inlineStr">
        <is>
          <t>40100108</t>
        </is>
      </c>
      <c r="AE83" s="1" t="inlineStr">
        <is>
          <t>Frosted Dew-puma White-gum</t>
        </is>
      </c>
      <c r="AF83" s="4" t="n">
        <v>9.859999999999999</v>
      </c>
      <c r="AG83" s="4" t="n">
        <v>6.61</v>
      </c>
    </row>
    <row r="84" ht="47.25" customHeight="1">
      <c r="A84" s="18" t="inlineStr">
        <is>
          <t>197671555264</t>
        </is>
      </c>
      <c r="B84" s="19" t="inlineStr">
        <is>
          <t>https://www.amazon.com/dp/</t>
        </is>
      </c>
      <c r="C84" s="20" t="inlineStr">
        <is>
          <t>B0D32C5X59</t>
        </is>
      </c>
      <c r="D84" s="44" t="n"/>
      <c r="E84" s="23" t="inlineStr">
        <is>
          <t>?th=1&amp;psc=1&amp;tag=sdcdeals03-20</t>
        </is>
      </c>
      <c r="F84" s="19">
        <f>HYPERLINK("https://redirect.sdcdeals.com/redirect?destination=https%3A%2F%2Fwww.amazon.com%2Fdp%2FB0D32C5X59%3Fth%3D1%26psc%3D1%26tag%3Dsdcdeals03-20", "Amazon Link")</f>
        <v/>
      </c>
      <c r="G84" s="19" t="inlineStr">
        <is>
          <t>https://www.jcpenney.com/s?searchTerm={search_term}</t>
        </is>
      </c>
      <c r="H84" s="23" t="inlineStr">
        <is>
          <t>197671555264</t>
        </is>
      </c>
      <c r="I84" s="19">
        <f>HYPERLINK("https://www.jcpenney.com/s?searchTerm=197671555264", "Retail Link")</f>
        <v/>
      </c>
      <c r="J84" s="23" t="inlineStr">
        <is>
          <t>8</t>
        </is>
      </c>
      <c r="K84" s="21" t="inlineStr">
        <is>
          <t>PUMA Women's Club II Era Sneaker, Frosted Dew White-Gum, 7.5</t>
        </is>
      </c>
      <c r="L84" s="24" t="n">
        <v>66.5</v>
      </c>
      <c r="M84" s="24" t="n">
        <v>61.89</v>
      </c>
      <c r="N84" s="24" t="n">
        <v>-20.5035</v>
      </c>
      <c r="O84" s="24">
        <f>V84-M84</f>
        <v/>
      </c>
      <c r="P84" s="25">
        <f>N84/L84</f>
        <v/>
      </c>
      <c r="Q84" s="23" t="n">
        <v>89371</v>
      </c>
      <c r="R84" s="23" t="n"/>
      <c r="S84" s="26" t="n">
        <v>1.6093726</v>
      </c>
      <c r="T84" s="24" t="n">
        <v>61.89</v>
      </c>
      <c r="U84" s="24" t="n">
        <v>61.9</v>
      </c>
      <c r="V84" s="24" t="n">
        <v>68.09</v>
      </c>
      <c r="W84" s="26" t="inlineStr">
        <is>
          <t>PUMA Club Ii Era Womens Sneakers</t>
        </is>
      </c>
      <c r="X84" s="23" t="n">
        <v>3</v>
      </c>
      <c r="Y84" s="18">
        <f>AC84-AB84</f>
        <v/>
      </c>
      <c r="Z84" s="27" t="n">
        <v>25</v>
      </c>
      <c r="AA84" s="27" t="n">
        <v>84</v>
      </c>
      <c r="AB84" s="27" t="n">
        <v>0</v>
      </c>
      <c r="AC84" s="27" t="n">
        <v>25</v>
      </c>
      <c r="AD84" s="1" t="inlineStr">
        <is>
          <t>40100108</t>
        </is>
      </c>
      <c r="AE84" s="1" t="inlineStr">
        <is>
          <t>Frosted Dew-puma White-gum</t>
        </is>
      </c>
      <c r="AF84" s="4" t="n">
        <v>9.279999999999999</v>
      </c>
      <c r="AG84" s="4" t="n">
        <v>6.61</v>
      </c>
    </row>
    <row r="85" ht="47.25" customHeight="1">
      <c r="A85" s="18" t="inlineStr">
        <is>
          <t>197671555271</t>
        </is>
      </c>
      <c r="B85" s="19" t="inlineStr">
        <is>
          <t>https://www.amazon.com/dp/</t>
        </is>
      </c>
      <c r="C85" s="20" t="inlineStr">
        <is>
          <t>B0D32BWL1M</t>
        </is>
      </c>
      <c r="D85" s="44" t="n"/>
      <c r="E85" s="23" t="inlineStr">
        <is>
          <t>?th=1&amp;psc=1&amp;tag=sdcdeals03-20</t>
        </is>
      </c>
      <c r="F85" s="19">
        <f>HYPERLINK("https://redirect.sdcdeals.com/redirect?destination=https%3A%2F%2Fwww.amazon.com%2Fdp%2FB0D32BWL1M%3Fth%3D1%26psc%3D1%26tag%3Dsdcdeals03-20", "Amazon Link")</f>
        <v/>
      </c>
      <c r="G85" s="19" t="inlineStr">
        <is>
          <t>https://www.jcpenney.com/s?searchTerm={search_term}</t>
        </is>
      </c>
      <c r="H85" s="23" t="inlineStr">
        <is>
          <t>197671555271</t>
        </is>
      </c>
      <c r="I85" s="19">
        <f>HYPERLINK("https://www.jcpenney.com/s?searchTerm=197671555271", "Retail Link")</f>
        <v/>
      </c>
      <c r="J85" s="23" t="inlineStr">
        <is>
          <t>8</t>
        </is>
      </c>
      <c r="K85" s="21" t="inlineStr">
        <is>
          <t>PUMA Women's Club II Era Sneaker, Frosted Dew White-Gum, 8</t>
        </is>
      </c>
      <c r="L85" s="24" t="n">
        <v>66.5</v>
      </c>
      <c r="M85" s="24" t="n">
        <v>63.08</v>
      </c>
      <c r="N85" s="24" t="n">
        <v>-19.492</v>
      </c>
      <c r="O85" s="24">
        <f>V85-M85</f>
        <v/>
      </c>
      <c r="P85" s="25">
        <f>N85/L85</f>
        <v/>
      </c>
      <c r="Q85" s="23" t="n">
        <v>91778</v>
      </c>
      <c r="R85" s="23" t="n"/>
      <c r="S85" s="26" t="n">
        <v>1.58953102</v>
      </c>
      <c r="T85" s="24" t="n">
        <v>63.08</v>
      </c>
      <c r="U85" s="24" t="n">
        <v>63.12</v>
      </c>
      <c r="V85" s="24" t="n">
        <v>68.73</v>
      </c>
      <c r="W85" s="26" t="inlineStr">
        <is>
          <t>PUMA Club Ii Era Womens Sneakers</t>
        </is>
      </c>
      <c r="X85" s="23" t="n">
        <v>3</v>
      </c>
      <c r="Y85" s="18">
        <f>AC85-AB85</f>
        <v/>
      </c>
      <c r="Z85" s="27" t="n">
        <v>31</v>
      </c>
      <c r="AA85" s="27" t="n">
        <v>93</v>
      </c>
      <c r="AB85" s="27" t="n">
        <v>0</v>
      </c>
      <c r="AC85" s="27" t="n">
        <v>25</v>
      </c>
      <c r="AD85" s="1" t="inlineStr">
        <is>
          <t>40100108</t>
        </is>
      </c>
      <c r="AE85" s="1" t="inlineStr">
        <is>
          <t>Frosted Dew-puma White-gum</t>
        </is>
      </c>
      <c r="AF85" s="4" t="n">
        <v>9.460000000000001</v>
      </c>
      <c r="AG85" s="4" t="n">
        <v>6.61</v>
      </c>
    </row>
    <row r="86" ht="47.25" customHeight="1">
      <c r="A86" s="18" t="inlineStr">
        <is>
          <t>197671555288</t>
        </is>
      </c>
      <c r="B86" s="19" t="inlineStr">
        <is>
          <t>https://www.amazon.com/dp/</t>
        </is>
      </c>
      <c r="C86" s="20" t="inlineStr">
        <is>
          <t>B0D32C94C8</t>
        </is>
      </c>
      <c r="D86" s="44" t="n"/>
      <c r="E86" s="23" t="inlineStr">
        <is>
          <t>?th=1&amp;psc=1&amp;tag=sdcdeals03-20</t>
        </is>
      </c>
      <c r="F86" s="19">
        <f>HYPERLINK("https://redirect.sdcdeals.com/redirect?destination=https%3A%2F%2Fwww.amazon.com%2Fdp%2FB0D32C94C8%3Fth%3D1%26psc%3D1%26tag%3Dsdcdeals03-20", "Amazon Link")</f>
        <v/>
      </c>
      <c r="G86" s="19" t="inlineStr">
        <is>
          <t>https://www.jcpenney.com/s?searchTerm={search_term}</t>
        </is>
      </c>
      <c r="H86" s="23" t="inlineStr">
        <is>
          <t>197671555288</t>
        </is>
      </c>
      <c r="I86" s="19">
        <f>HYPERLINK("https://www.jcpenney.com/s?searchTerm=197671555288", "Retail Link")</f>
        <v/>
      </c>
      <c r="J86" s="23" t="inlineStr">
        <is>
          <t>8</t>
        </is>
      </c>
      <c r="K86" s="21" t="inlineStr">
        <is>
          <t>PUMA Women's Club II Era Sneaker, Frosted Dew White-Gum, 8.5</t>
        </is>
      </c>
      <c r="L86" s="24" t="n">
        <v>66.5</v>
      </c>
      <c r="M86" s="24" t="n">
        <v>68.44</v>
      </c>
      <c r="N86" s="24" t="n">
        <v>-14.936</v>
      </c>
      <c r="O86" s="24">
        <f>V86-M86</f>
        <v/>
      </c>
      <c r="P86" s="25">
        <f>N86/L86</f>
        <v/>
      </c>
      <c r="Q86" s="23" t="n">
        <v>89371</v>
      </c>
      <c r="R86" s="23" t="n"/>
      <c r="S86" s="26" t="n">
        <v>1.6424419</v>
      </c>
      <c r="T86" s="24" t="n">
        <v>60.49</v>
      </c>
      <c r="U86" s="24" t="n">
        <v>59.26</v>
      </c>
      <c r="V86" s="24" t="n">
        <v>66.69</v>
      </c>
      <c r="W86" s="26" t="inlineStr">
        <is>
          <t>PUMA Club Ii Era Womens Sneakers</t>
        </is>
      </c>
      <c r="X86" s="23" t="n">
        <v>4</v>
      </c>
      <c r="Y86" s="18">
        <f>AC86-AB86</f>
        <v/>
      </c>
      <c r="Z86" s="27" t="n">
        <v>31</v>
      </c>
      <c r="AA86" s="27" t="n">
        <v>101</v>
      </c>
      <c r="AB86" s="27" t="n">
        <v>0</v>
      </c>
      <c r="AC86" s="27" t="n">
        <v>25</v>
      </c>
      <c r="AD86" s="1" t="inlineStr">
        <is>
          <t>40100108</t>
        </is>
      </c>
      <c r="AE86" s="1" t="inlineStr">
        <is>
          <t>Frosted Dew-puma White-gum</t>
        </is>
      </c>
      <c r="AF86" s="4" t="n">
        <v>10.27</v>
      </c>
      <c r="AG86" s="4" t="n">
        <v>6.61</v>
      </c>
    </row>
    <row r="87" ht="47.25" customHeight="1">
      <c r="A87" s="18" t="inlineStr">
        <is>
          <t>197671555295</t>
        </is>
      </c>
      <c r="B87" s="19" t="inlineStr">
        <is>
          <t>https://www.amazon.com/dp/</t>
        </is>
      </c>
      <c r="C87" s="20" t="inlineStr">
        <is>
          <t>B0D32B9HCJ</t>
        </is>
      </c>
      <c r="D87" s="44" t="n"/>
      <c r="E87" s="23" t="inlineStr">
        <is>
          <t>?th=1&amp;psc=1&amp;tag=sdcdeals03-20</t>
        </is>
      </c>
      <c r="F87" s="19">
        <f>HYPERLINK("https://redirect.sdcdeals.com/redirect?destination=https%3A%2F%2Fwww.amazon.com%2Fdp%2FB0D32B9HCJ%3Fth%3D1%26psc%3D1%26tag%3Dsdcdeals03-20", "Amazon Link")</f>
        <v/>
      </c>
      <c r="G87" s="19" t="inlineStr">
        <is>
          <t>https://www.jcpenney.com/s?searchTerm={search_term}</t>
        </is>
      </c>
      <c r="H87" s="23" t="inlineStr">
        <is>
          <t>197671555295</t>
        </is>
      </c>
      <c r="I87" s="19">
        <f>HYPERLINK("https://www.jcpenney.com/s?searchTerm=197671555295", "Retail Link")</f>
        <v/>
      </c>
      <c r="J87" s="23" t="inlineStr">
        <is>
          <t>8</t>
        </is>
      </c>
      <c r="K87" s="21" t="inlineStr">
        <is>
          <t>PUMA Women's Club II Era Sneaker, Frosted Dew White-Gum, 9</t>
        </is>
      </c>
      <c r="L87" s="24" t="n">
        <v>66.5</v>
      </c>
      <c r="M87" s="24" t="n">
        <v>61.61</v>
      </c>
      <c r="N87" s="24" t="n">
        <v>-21.1615</v>
      </c>
      <c r="O87" s="24">
        <f>V87-M87</f>
        <v/>
      </c>
      <c r="P87" s="25">
        <f>N87/L87</f>
        <v/>
      </c>
      <c r="Q87" s="23" t="n">
        <v>93539</v>
      </c>
      <c r="R87" s="23" t="n"/>
      <c r="S87" s="26" t="n">
        <v>1.69976202</v>
      </c>
      <c r="T87" s="24" t="n">
        <v>61.61</v>
      </c>
      <c r="U87" s="24" t="n">
        <v>61.51</v>
      </c>
      <c r="V87" s="24" t="n">
        <v>67.87</v>
      </c>
      <c r="W87" s="26" t="inlineStr">
        <is>
          <t>PUMA Club Ii Era Womens Sneakers</t>
        </is>
      </c>
      <c r="X87" s="23" t="n">
        <v>4</v>
      </c>
      <c r="Y87" s="18">
        <f>AC87-AB87</f>
        <v/>
      </c>
      <c r="Z87" s="27" t="n">
        <v>33</v>
      </c>
      <c r="AA87" s="27" t="n">
        <v>117</v>
      </c>
      <c r="AB87" s="27" t="n">
        <v>1</v>
      </c>
      <c r="AC87" s="27" t="n">
        <v>27</v>
      </c>
      <c r="AD87" s="1" t="inlineStr">
        <is>
          <t>40100108</t>
        </is>
      </c>
      <c r="AE87" s="1" t="inlineStr">
        <is>
          <t>Frosted Dew-puma White-gum</t>
        </is>
      </c>
      <c r="AF87" s="4" t="n">
        <v>9.24</v>
      </c>
      <c r="AG87" s="4" t="n">
        <v>7.03</v>
      </c>
    </row>
    <row r="88" ht="47.25" customHeight="1">
      <c r="A88" s="18" t="inlineStr">
        <is>
          <t>197671555301</t>
        </is>
      </c>
      <c r="B88" s="19" t="inlineStr">
        <is>
          <t>https://www.amazon.com/dp/</t>
        </is>
      </c>
      <c r="C88" s="20" t="inlineStr">
        <is>
          <t>B0D3278TCL</t>
        </is>
      </c>
      <c r="D88" s="44" t="n"/>
      <c r="E88" s="23" t="inlineStr">
        <is>
          <t>?th=1&amp;psc=1&amp;tag=sdcdeals03-20</t>
        </is>
      </c>
      <c r="F88" s="19">
        <f>HYPERLINK("https://redirect.sdcdeals.com/redirect?destination=https%3A%2F%2Fwww.amazon.com%2Fdp%2FB0D3278TCL%3Fth%3D1%26psc%3D1%26tag%3Dsdcdeals03-20", "Amazon Link")</f>
        <v/>
      </c>
      <c r="G88" s="19" t="inlineStr">
        <is>
          <t>https://www.jcpenney.com/s?searchTerm={search_term}</t>
        </is>
      </c>
      <c r="H88" s="23" t="inlineStr">
        <is>
          <t>197671555301</t>
        </is>
      </c>
      <c r="I88" s="19">
        <f>HYPERLINK("https://www.jcpenney.com/s?searchTerm=197671555301", "Retail Link")</f>
        <v/>
      </c>
      <c r="J88" s="23" t="inlineStr">
        <is>
          <t>8</t>
        </is>
      </c>
      <c r="K88" s="21" t="inlineStr">
        <is>
          <t>PUMA Women's Club II Era Sneaker, Frosted Dew White-Gum, 9.5</t>
        </is>
      </c>
      <c r="L88" s="24" t="n">
        <v>66.5</v>
      </c>
      <c r="M88" s="24" t="n">
        <v>62.54</v>
      </c>
      <c r="N88" s="24" t="n">
        <v>-20.371</v>
      </c>
      <c r="O88" s="24">
        <f>V88-M88</f>
        <v/>
      </c>
      <c r="P88" s="25">
        <f>N88/L88</f>
        <v/>
      </c>
      <c r="Q88" s="23" t="n">
        <v>89371</v>
      </c>
      <c r="R88" s="23" t="n"/>
      <c r="S88" s="26" t="n">
        <v>1.7196036</v>
      </c>
      <c r="T88" s="24" t="n">
        <v>62.54</v>
      </c>
      <c r="U88" s="24" t="n">
        <v>62.85</v>
      </c>
      <c r="V88" s="24" t="n">
        <v>68.59</v>
      </c>
      <c r="W88" s="26" t="inlineStr">
        <is>
          <t>PUMA Club Ii Era Womens Sneakers</t>
        </is>
      </c>
      <c r="X88" s="23" t="n">
        <v>4</v>
      </c>
      <c r="Y88" s="18">
        <f>AC88-AB88</f>
        <v/>
      </c>
      <c r="Z88" s="27" t="n">
        <v>20</v>
      </c>
      <c r="AA88" s="27" t="n">
        <v>84</v>
      </c>
      <c r="AB88" s="27" t="n">
        <v>1</v>
      </c>
      <c r="AC88" s="27" t="n">
        <v>26</v>
      </c>
      <c r="AD88" s="1" t="inlineStr">
        <is>
          <t>40100108</t>
        </is>
      </c>
      <c r="AE88" s="1" t="inlineStr">
        <is>
          <t>Frosted Dew-puma White-gum</t>
        </is>
      </c>
      <c r="AF88" s="4" t="n">
        <v>9.380000000000001</v>
      </c>
      <c r="AG88" s="4" t="n">
        <v>7.03</v>
      </c>
    </row>
    <row r="89" ht="47.25" customHeight="1">
      <c r="A89" s="18" t="inlineStr">
        <is>
          <t>197671555318</t>
        </is>
      </c>
      <c r="B89" s="19" t="inlineStr">
        <is>
          <t>https://www.amazon.com/dp/</t>
        </is>
      </c>
      <c r="C89" s="20" t="inlineStr">
        <is>
          <t>B0D32BLFQP</t>
        </is>
      </c>
      <c r="D89" s="44" t="n"/>
      <c r="E89" s="23" t="inlineStr">
        <is>
          <t>?th=1&amp;psc=1&amp;tag=sdcdeals03-20</t>
        </is>
      </c>
      <c r="F89" s="19">
        <f>HYPERLINK("https://redirect.sdcdeals.com/redirect?destination=https%3A%2F%2Fwww.amazon.com%2Fdp%2FB0D32BLFQP%3Fth%3D1%26psc%3D1%26tag%3Dsdcdeals03-20", "Amazon Link")</f>
        <v/>
      </c>
      <c r="G89" s="19" t="inlineStr">
        <is>
          <t>https://www.jcpenney.com/s?searchTerm={search_term}</t>
        </is>
      </c>
      <c r="H89" s="23" t="inlineStr">
        <is>
          <t>197671555318</t>
        </is>
      </c>
      <c r="I89" s="19">
        <f>HYPERLINK("https://www.jcpenney.com/s?searchTerm=197671555318", "Retail Link")</f>
        <v/>
      </c>
      <c r="J89" s="23" t="inlineStr">
        <is>
          <t>8</t>
        </is>
      </c>
      <c r="K89" s="21" t="inlineStr">
        <is>
          <t>PUMA Women's Club II Era Sneaker, Frosted Dew White-Gum, 10</t>
        </is>
      </c>
      <c r="L89" s="24" t="n">
        <v>66.5</v>
      </c>
      <c r="M89" s="24" t="n">
        <v>62.63</v>
      </c>
      <c r="N89" s="24" t="n">
        <v>-20.2945</v>
      </c>
      <c r="O89" s="24">
        <f>V89-M89</f>
        <v/>
      </c>
      <c r="P89" s="25">
        <f>N89/L89</f>
        <v/>
      </c>
      <c r="Q89" s="23" t="n">
        <v>89371</v>
      </c>
      <c r="R89" s="23" t="n"/>
      <c r="S89" s="26" t="n">
        <v>1.80999302</v>
      </c>
      <c r="T89" s="24" t="n">
        <v>62.63</v>
      </c>
      <c r="U89" s="24" t="n">
        <v>64.5</v>
      </c>
      <c r="V89" s="24" t="n">
        <v>69.45999999999999</v>
      </c>
      <c r="W89" s="26" t="inlineStr">
        <is>
          <t>PUMA Club Ii Era Womens Sneakers</t>
        </is>
      </c>
      <c r="X89" s="23" t="n">
        <v>4</v>
      </c>
      <c r="Y89" s="18">
        <f>AC89-AB89</f>
        <v/>
      </c>
      <c r="Z89" s="27" t="n">
        <v>24</v>
      </c>
      <c r="AA89" s="27" t="n">
        <v>78</v>
      </c>
      <c r="AB89" s="27" t="n">
        <v>0</v>
      </c>
      <c r="AC89" s="27" t="n">
        <v>25</v>
      </c>
      <c r="AD89" s="1" t="inlineStr">
        <is>
          <t>40100108</t>
        </is>
      </c>
      <c r="AE89" s="1" t="inlineStr">
        <is>
          <t>Frosted Dew-puma White-gum</t>
        </is>
      </c>
      <c r="AF89" s="4" t="n">
        <v>9.390000000000001</v>
      </c>
      <c r="AG89" s="4" t="n">
        <v>7.03</v>
      </c>
    </row>
    <row r="90" ht="47.25" customHeight="1">
      <c r="A90" s="18" t="inlineStr">
        <is>
          <t>197671555332</t>
        </is>
      </c>
      <c r="B90" s="19" t="inlineStr">
        <is>
          <t>https://www.amazon.com/dp/</t>
        </is>
      </c>
      <c r="C90" s="20" t="inlineStr">
        <is>
          <t>B0D32B6BDM</t>
        </is>
      </c>
      <c r="D90" s="44" t="n"/>
      <c r="E90" s="23" t="inlineStr">
        <is>
          <t>?th=1&amp;psc=1&amp;tag=sdcdeals03-20</t>
        </is>
      </c>
      <c r="F90" s="19">
        <f>HYPERLINK("https://redirect.sdcdeals.com/redirect?destination=https%3A%2F%2Fwww.amazon.com%2Fdp%2FB0D32B6BDM%3Fth%3D1%26psc%3D1%26tag%3Dsdcdeals03-20", "Amazon Link")</f>
        <v/>
      </c>
      <c r="G90" s="19" t="inlineStr">
        <is>
          <t>https://www.jcpenney.com/s?searchTerm={search_term}</t>
        </is>
      </c>
      <c r="H90" s="23" t="inlineStr">
        <is>
          <t>197671555332</t>
        </is>
      </c>
      <c r="I90" s="19">
        <f>HYPERLINK("https://www.jcpenney.com/s?searchTerm=197671555332", "Retail Link")</f>
        <v/>
      </c>
      <c r="J90" s="23" t="inlineStr">
        <is>
          <t>8</t>
        </is>
      </c>
      <c r="K90" s="21" t="inlineStr">
        <is>
          <t>PUMA Women's Club II Era Sneaker, Frosted Dew White-Gum, 11</t>
        </is>
      </c>
      <c r="L90" s="24" t="n">
        <v>66.5</v>
      </c>
      <c r="M90" s="24" t="n">
        <v>66.48999999999999</v>
      </c>
      <c r="N90" s="24" t="n">
        <v>-17.6035</v>
      </c>
      <c r="O90" s="24">
        <f>V90-M90</f>
        <v/>
      </c>
      <c r="P90" s="25">
        <f>N90/L90</f>
        <v/>
      </c>
      <c r="Q90" s="23" t="n">
        <v>92182</v>
      </c>
      <c r="R90" s="23" t="n"/>
      <c r="S90" s="26" t="n">
        <v>1.90038244</v>
      </c>
      <c r="T90" s="24" t="n">
        <v>66.48999999999999</v>
      </c>
      <c r="U90" s="24" t="n">
        <v>66.8</v>
      </c>
      <c r="V90" s="24" t="n">
        <v>70.67</v>
      </c>
      <c r="W90" s="26" t="inlineStr">
        <is>
          <t>PUMA Club Ii Era Womens Sneakers</t>
        </is>
      </c>
      <c r="X90" s="23" t="n">
        <v>3</v>
      </c>
      <c r="Y90" s="18">
        <f>AC90-AB90</f>
        <v/>
      </c>
      <c r="Z90" s="27" t="n">
        <v>34</v>
      </c>
      <c r="AA90" s="27" t="n">
        <v>106</v>
      </c>
      <c r="AB90" s="27" t="n">
        <v>0</v>
      </c>
      <c r="AC90" s="27" t="n">
        <v>25</v>
      </c>
      <c r="AD90" s="1" t="inlineStr">
        <is>
          <t>40100108</t>
        </is>
      </c>
      <c r="AE90" s="1" t="inlineStr">
        <is>
          <t>Frosted Dew-puma White-gum</t>
        </is>
      </c>
      <c r="AF90" s="4" t="n">
        <v>9.970000000000001</v>
      </c>
      <c r="AG90" s="4" t="n">
        <v>7.62</v>
      </c>
    </row>
    <row r="91" ht="47.25" customHeight="1">
      <c r="A91" s="18" t="inlineStr">
        <is>
          <t>197671555646</t>
        </is>
      </c>
      <c r="B91" s="19" t="inlineStr">
        <is>
          <t>https://www.amazon.com/dp/</t>
        </is>
      </c>
      <c r="C91" s="20" t="inlineStr">
        <is>
          <t>B0D32CJYJX</t>
        </is>
      </c>
      <c r="D91" s="44" t="n"/>
      <c r="E91" s="23" t="inlineStr">
        <is>
          <t>?th=1&amp;psc=1&amp;tag=sdcdeals03-20</t>
        </is>
      </c>
      <c r="F91" s="19">
        <f>HYPERLINK("https://redirect.sdcdeals.com/redirect?destination=https%3A%2F%2Fwww.amazon.com%2Fdp%2FB0D32CJYJX%3Fth%3D1%26psc%3D1%26tag%3Dsdcdeals03-20", "Amazon Link")</f>
        <v/>
      </c>
      <c r="G91" s="19" t="inlineStr">
        <is>
          <t>https://www.jcpenney.com/s?searchTerm={search_term}</t>
        </is>
      </c>
      <c r="H91" s="23" t="inlineStr">
        <is>
          <t>197671555646</t>
        </is>
      </c>
      <c r="I91" s="19">
        <f>HYPERLINK("https://www.jcpenney.com/s?searchTerm=197671555646", "Retail Link")</f>
        <v/>
      </c>
      <c r="J91" s="23" t="inlineStr">
        <is>
          <t>8</t>
        </is>
      </c>
      <c r="K91" s="21" t="inlineStr">
        <is>
          <t>PUMA Women's Club II Era Sneaker, Eucalyptus-Future Pink, 5.5</t>
        </is>
      </c>
      <c r="L91" s="24" t="n">
        <v>66.5</v>
      </c>
      <c r="M91" s="24" t="n">
        <v>48.99</v>
      </c>
      <c r="N91" s="24" t="n">
        <v>-31.0985</v>
      </c>
      <c r="O91" s="24">
        <f>V91-M91</f>
        <v/>
      </c>
      <c r="P91" s="25">
        <f>N91/L91</f>
        <v/>
      </c>
      <c r="Q91" s="23" t="n">
        <v>89371</v>
      </c>
      <c r="R91" s="23" t="n"/>
      <c r="S91" s="26" t="n">
        <v>1.43079838</v>
      </c>
      <c r="T91" s="24" t="n">
        <v>48.99</v>
      </c>
      <c r="U91" s="24" t="n">
        <v>55.24</v>
      </c>
      <c r="V91" s="24" t="n">
        <v>62.55</v>
      </c>
      <c r="W91" s="26" t="inlineStr">
        <is>
          <t>PUMA Club Ii Era Womens Sneakers</t>
        </is>
      </c>
      <c r="X91" s="23" t="n">
        <v>1</v>
      </c>
      <c r="Y91" s="18">
        <f>AC91-AB91</f>
        <v/>
      </c>
      <c r="Z91" s="27" t="n">
        <v>18</v>
      </c>
      <c r="AA91" s="27" t="n">
        <v>68</v>
      </c>
      <c r="AB91" s="27" t="n">
        <v>0</v>
      </c>
      <c r="AC91" s="27" t="n">
        <v>26</v>
      </c>
      <c r="AD91" s="1" t="inlineStr">
        <is>
          <t>40100114</t>
        </is>
      </c>
      <c r="AE91" s="1" t="inlineStr">
        <is>
          <t>Eucalyptus-future Pink</t>
        </is>
      </c>
      <c r="AF91" s="4" t="n">
        <v>7.35</v>
      </c>
      <c r="AG91" s="4" t="n">
        <v>6.24</v>
      </c>
    </row>
    <row r="92" ht="47.25" customHeight="1">
      <c r="A92" s="18" t="inlineStr">
        <is>
          <t>197671555653</t>
        </is>
      </c>
      <c r="B92" s="19" t="inlineStr">
        <is>
          <t>https://www.amazon.com/dp/</t>
        </is>
      </c>
      <c r="C92" s="20" t="inlineStr">
        <is>
          <t>B0D329QLG1</t>
        </is>
      </c>
      <c r="D92" s="44" t="n"/>
      <c r="E92" s="23" t="inlineStr">
        <is>
          <t>?th=1&amp;psc=1&amp;tag=sdcdeals03-20</t>
        </is>
      </c>
      <c r="F92" s="19">
        <f>HYPERLINK("https://redirect.sdcdeals.com/redirect?destination=https%3A%2F%2Fwww.amazon.com%2Fdp%2FB0D329QLG1%3Fth%3D1%26psc%3D1%26tag%3Dsdcdeals03-20", "Amazon Link")</f>
        <v/>
      </c>
      <c r="G92" s="19" t="inlineStr">
        <is>
          <t>https://www.jcpenney.com/s?searchTerm={search_term}</t>
        </is>
      </c>
      <c r="H92" s="23" t="inlineStr">
        <is>
          <t>197671555653</t>
        </is>
      </c>
      <c r="I92" s="19">
        <f>HYPERLINK("https://www.jcpenney.com/s?searchTerm=197671555653", "Retail Link")</f>
        <v/>
      </c>
      <c r="J92" s="23" t="inlineStr">
        <is>
          <t>8</t>
        </is>
      </c>
      <c r="K92" s="21" t="inlineStr">
        <is>
          <t>PUMA Women's Club II Era Sneaker, Eucalyptus-Future Pink, 6</t>
        </is>
      </c>
      <c r="L92" s="24" t="n">
        <v>66.5</v>
      </c>
      <c r="M92" s="24" t="n">
        <v>77.2</v>
      </c>
      <c r="N92" s="24" t="n">
        <v>-7.119999999999997</v>
      </c>
      <c r="O92" s="24">
        <f>V92-M92</f>
        <v/>
      </c>
      <c r="P92" s="25">
        <f>N92/L92</f>
        <v/>
      </c>
      <c r="Q92" s="23" t="n">
        <v>89371</v>
      </c>
      <c r="R92" s="23" t="n"/>
      <c r="S92" s="26" t="n">
        <v>1.43079838</v>
      </c>
      <c r="T92" s="24" t="n">
        <v>77.2</v>
      </c>
      <c r="U92" s="24" t="n">
        <v>64.55</v>
      </c>
      <c r="V92" s="24" t="n">
        <v>68.55</v>
      </c>
      <c r="W92" s="26" t="inlineStr">
        <is>
          <t>PUMA Club Ii Era Womens Sneakers</t>
        </is>
      </c>
      <c r="X92" s="23" t="n">
        <v>5</v>
      </c>
      <c r="Y92" s="18">
        <f>AC92-AB92</f>
        <v/>
      </c>
      <c r="Z92" s="27" t="n">
        <v>31</v>
      </c>
      <c r="AA92" s="27" t="n">
        <v>89</v>
      </c>
      <c r="AB92" s="27" t="n">
        <v>1</v>
      </c>
      <c r="AC92" s="27" t="n">
        <v>26</v>
      </c>
      <c r="AD92" s="1" t="inlineStr">
        <is>
          <t>40100114</t>
        </is>
      </c>
      <c r="AE92" s="1" t="inlineStr">
        <is>
          <t>Eucalyptus-future Pink</t>
        </is>
      </c>
      <c r="AF92" s="4" t="inlineStr"/>
      <c r="AG92" s="4" t="n">
        <v>6.24</v>
      </c>
    </row>
    <row r="93" ht="47.25" customHeight="1">
      <c r="A93" s="18" t="inlineStr">
        <is>
          <t>197671555660</t>
        </is>
      </c>
      <c r="B93" s="19" t="inlineStr">
        <is>
          <t>https://www.amazon.com/dp/</t>
        </is>
      </c>
      <c r="C93" s="20" t="inlineStr">
        <is>
          <t>B0D32BPNBZ</t>
        </is>
      </c>
      <c r="D93" s="44" t="n"/>
      <c r="E93" s="23" t="inlineStr">
        <is>
          <t>?th=1&amp;psc=1&amp;tag=sdcdeals03-20</t>
        </is>
      </c>
      <c r="F93" s="19">
        <f>HYPERLINK("https://redirect.sdcdeals.com/redirect?destination=https%3A%2F%2Fwww.amazon.com%2Fdp%2FB0D32BPNBZ%3Fth%3D1%26psc%3D1%26tag%3Dsdcdeals03-20", "Amazon Link")</f>
        <v/>
      </c>
      <c r="G93" s="19" t="inlineStr">
        <is>
          <t>https://www.jcpenney.com/s?searchTerm={search_term}</t>
        </is>
      </c>
      <c r="H93" s="23" t="inlineStr">
        <is>
          <t>197671555660</t>
        </is>
      </c>
      <c r="I93" s="19">
        <f>HYPERLINK("https://www.jcpenney.com/s?searchTerm=197671555660", "Retail Link")</f>
        <v/>
      </c>
      <c r="J93" s="23" t="inlineStr">
        <is>
          <t>8</t>
        </is>
      </c>
      <c r="K93" s="21" t="inlineStr">
        <is>
          <t>PUMA Women's Club II Era Sneaker, Eucalyptus-Future Pink, 6.5</t>
        </is>
      </c>
      <c r="L93" s="24" t="n">
        <v>66.5</v>
      </c>
      <c r="M93" s="24" t="n">
        <v>76.33</v>
      </c>
      <c r="N93" s="24" t="n">
        <v>-8.229500000000002</v>
      </c>
      <c r="O93" s="24">
        <f>V93-M93</f>
        <v/>
      </c>
      <c r="P93" s="25">
        <f>N93/L93</f>
        <v/>
      </c>
      <c r="Q93" s="23" t="n">
        <v>89371</v>
      </c>
      <c r="R93" s="23" t="n"/>
      <c r="S93" s="26" t="n">
        <v>1.4991416</v>
      </c>
      <c r="T93" s="24" t="n">
        <v>76.33</v>
      </c>
      <c r="U93" s="24" t="n">
        <v>59.28</v>
      </c>
      <c r="V93" s="24" t="n">
        <v>67.56999999999999</v>
      </c>
      <c r="W93" s="26" t="inlineStr">
        <is>
          <t>PUMA Club Ii Era Womens Sneakers</t>
        </is>
      </c>
      <c r="X93" s="23" t="n">
        <v>2</v>
      </c>
      <c r="Y93" s="18">
        <f>AC93-AB93</f>
        <v/>
      </c>
      <c r="Z93" s="27" t="n">
        <v>30</v>
      </c>
      <c r="AA93" s="27" t="n">
        <v>91</v>
      </c>
      <c r="AB93" s="27" t="n">
        <v>0</v>
      </c>
      <c r="AC93" s="27" t="n">
        <v>25</v>
      </c>
      <c r="AD93" s="1" t="inlineStr">
        <is>
          <t>40100114</t>
        </is>
      </c>
      <c r="AE93" s="1" t="inlineStr">
        <is>
          <t>Eucalyptus-future Pink</t>
        </is>
      </c>
      <c r="AF93" s="4" t="inlineStr"/>
      <c r="AG93" s="4" t="n">
        <v>6.61</v>
      </c>
    </row>
    <row r="94" ht="47.25" customHeight="1">
      <c r="A94" s="18" t="inlineStr">
        <is>
          <t>197671555677</t>
        </is>
      </c>
      <c r="B94" s="19" t="inlineStr">
        <is>
          <t>https://www.amazon.com/dp/</t>
        </is>
      </c>
      <c r="C94" s="20" t="inlineStr">
        <is>
          <t>B0D32BM8VR</t>
        </is>
      </c>
      <c r="D94" s="44" t="n"/>
      <c r="E94" s="23" t="inlineStr">
        <is>
          <t>?th=1&amp;psc=1&amp;tag=sdcdeals03-20</t>
        </is>
      </c>
      <c r="F94" s="19">
        <f>HYPERLINK("https://redirect.sdcdeals.com/redirect?destination=https%3A%2F%2Fwww.amazon.com%2Fdp%2FB0D32BM8VR%3Fth%3D1%26psc%3D1%26tag%3Dsdcdeals03-20", "Amazon Link")</f>
        <v/>
      </c>
      <c r="G94" s="19" t="inlineStr">
        <is>
          <t>https://www.jcpenney.com/s?searchTerm={search_term}</t>
        </is>
      </c>
      <c r="H94" s="23" t="inlineStr">
        <is>
          <t>197671555677</t>
        </is>
      </c>
      <c r="I94" s="19">
        <f>HYPERLINK("https://www.jcpenney.com/s?searchTerm=197671555677", "Retail Link")</f>
        <v/>
      </c>
      <c r="J94" s="23" t="inlineStr">
        <is>
          <t>8</t>
        </is>
      </c>
      <c r="K94" s="21" t="inlineStr">
        <is>
          <t>PUMA Women's Club II Era Sneaker, Eucalyptus-Future Pink, 7</t>
        </is>
      </c>
      <c r="L94" s="24" t="n">
        <v>66.5</v>
      </c>
      <c r="M94" s="24" t="n">
        <v>67.75</v>
      </c>
      <c r="N94" s="24" t="n">
        <v>-15.9425</v>
      </c>
      <c r="O94" s="24">
        <f>V94-M94</f>
        <v/>
      </c>
      <c r="P94" s="25">
        <f>N94/L94</f>
        <v/>
      </c>
      <c r="Q94" s="23" t="n">
        <v>89371</v>
      </c>
      <c r="R94" s="23" t="n"/>
      <c r="S94" s="26" t="n">
        <v>1.543234</v>
      </c>
      <c r="T94" s="24" t="n">
        <v>67.26000000000001</v>
      </c>
      <c r="U94" s="24" t="n">
        <v>71.54000000000001</v>
      </c>
      <c r="V94" s="24" t="n">
        <v>73.54000000000001</v>
      </c>
      <c r="W94" s="26" t="inlineStr">
        <is>
          <t>PUMA Club Ii Era Womens Sneakers</t>
        </is>
      </c>
      <c r="X94" s="23" t="n">
        <v>5</v>
      </c>
      <c r="Y94" s="18">
        <f>AC94-AB94</f>
        <v/>
      </c>
      <c r="Z94" s="27" t="n">
        <v>25</v>
      </c>
      <c r="AA94" s="27" t="n">
        <v>78</v>
      </c>
      <c r="AB94" s="27" t="n">
        <v>0</v>
      </c>
      <c r="AC94" s="27" t="n">
        <v>25</v>
      </c>
      <c r="AD94" s="1" t="inlineStr">
        <is>
          <t>40100114</t>
        </is>
      </c>
      <c r="AE94" s="1" t="inlineStr">
        <is>
          <t>Eucalyptus-future Pink</t>
        </is>
      </c>
      <c r="AF94" s="4" t="n">
        <v>10.16</v>
      </c>
      <c r="AG94" s="4" t="n">
        <v>7.03</v>
      </c>
    </row>
    <row r="95" ht="47.25" customHeight="1">
      <c r="A95" s="18" t="inlineStr">
        <is>
          <t>197671555684</t>
        </is>
      </c>
      <c r="B95" s="19" t="inlineStr">
        <is>
          <t>https://www.amazon.com/dp/</t>
        </is>
      </c>
      <c r="C95" s="20" t="inlineStr">
        <is>
          <t>B0D32BJ9DK</t>
        </is>
      </c>
      <c r="D95" s="44" t="n"/>
      <c r="E95" s="23" t="inlineStr">
        <is>
          <t>?th=1&amp;psc=1&amp;tag=sdcdeals03-20</t>
        </is>
      </c>
      <c r="F95" s="19">
        <f>HYPERLINK("https://redirect.sdcdeals.com/redirect?destination=https%3A%2F%2Fwww.amazon.com%2Fdp%2FB0D32BJ9DK%3Fth%3D1%26psc%3D1%26tag%3Dsdcdeals03-20", "Amazon Link")</f>
        <v/>
      </c>
      <c r="G95" s="19" t="inlineStr">
        <is>
          <t>https://www.jcpenney.com/s?searchTerm={search_term}</t>
        </is>
      </c>
      <c r="H95" s="23" t="inlineStr">
        <is>
          <t>197671555684</t>
        </is>
      </c>
      <c r="I95" s="19">
        <f>HYPERLINK("https://www.jcpenney.com/s?searchTerm=197671555684", "Retail Link")</f>
        <v/>
      </c>
      <c r="J95" s="23" t="inlineStr">
        <is>
          <t>8</t>
        </is>
      </c>
      <c r="K95" s="21" t="inlineStr">
        <is>
          <t>PUMA Women's Club II Era Sneaker, Eucalyptus-Future Pink, 7.5</t>
        </is>
      </c>
      <c r="L95" s="24" t="n">
        <v>66.5</v>
      </c>
      <c r="M95" s="24" t="n">
        <v>66.23</v>
      </c>
      <c r="N95" s="24" t="n">
        <v>-16.8145</v>
      </c>
      <c r="O95" s="24">
        <f>V95-M95</f>
        <v/>
      </c>
      <c r="P95" s="25">
        <f>N95/L95</f>
        <v/>
      </c>
      <c r="Q95" s="23" t="n">
        <v>89371</v>
      </c>
      <c r="R95" s="23" t="n"/>
      <c r="S95" s="26" t="n">
        <v>1.56968944</v>
      </c>
      <c r="T95" s="24" t="n">
        <v>65.75</v>
      </c>
      <c r="U95" s="24" t="n">
        <v>72.52</v>
      </c>
      <c r="V95" s="24" t="n">
        <v>73.68000000000001</v>
      </c>
      <c r="W95" s="26" t="inlineStr">
        <is>
          <t>PUMA Club Ii Era Womens Sneakers</t>
        </is>
      </c>
      <c r="X95" s="23" t="n">
        <v>4</v>
      </c>
      <c r="Y95" s="18">
        <f>AC95-AB95</f>
        <v/>
      </c>
      <c r="Z95" s="27" t="n">
        <v>25</v>
      </c>
      <c r="AA95" s="27" t="n">
        <v>74</v>
      </c>
      <c r="AB95" s="27" t="n">
        <v>2</v>
      </c>
      <c r="AC95" s="27" t="n">
        <v>25</v>
      </c>
      <c r="AD95" s="1" t="inlineStr">
        <is>
          <t>40100114</t>
        </is>
      </c>
      <c r="AE95" s="1" t="inlineStr">
        <is>
          <t>Eucalyptus-future Pink</t>
        </is>
      </c>
      <c r="AF95" s="4" t="n">
        <v>9.93</v>
      </c>
      <c r="AG95" s="4" t="n">
        <v>6.61</v>
      </c>
    </row>
    <row r="96" ht="47.25" customHeight="1">
      <c r="A96" s="18" t="inlineStr">
        <is>
          <t>197671555691</t>
        </is>
      </c>
      <c r="B96" s="19" t="inlineStr">
        <is>
          <t>https://www.amazon.com/dp/</t>
        </is>
      </c>
      <c r="C96" s="20" t="inlineStr">
        <is>
          <t>B0D3296371</t>
        </is>
      </c>
      <c r="D96" s="44" t="n"/>
      <c r="E96" s="23" t="inlineStr">
        <is>
          <t>?th=1&amp;psc=1&amp;tag=sdcdeals03-20</t>
        </is>
      </c>
      <c r="F96" s="19">
        <f>HYPERLINK("https://redirect.sdcdeals.com/redirect?destination=https%3A%2F%2Fwww.amazon.com%2Fdp%2FB0D3296371%3Fth%3D1%26psc%3D1%26tag%3Dsdcdeals03-20", "Amazon Link")</f>
        <v/>
      </c>
      <c r="G96" s="19" t="inlineStr">
        <is>
          <t>https://www.jcpenney.com/s?searchTerm={search_term}</t>
        </is>
      </c>
      <c r="H96" s="23" t="inlineStr">
        <is>
          <t>197671555691</t>
        </is>
      </c>
      <c r="I96" s="19">
        <f>HYPERLINK("https://www.jcpenney.com/s?searchTerm=197671555691", "Retail Link")</f>
        <v/>
      </c>
      <c r="J96" s="23" t="inlineStr">
        <is>
          <t>8</t>
        </is>
      </c>
      <c r="K96" s="21" t="inlineStr">
        <is>
          <t>PUMA Women's Club II Era Sneaker, Eucalyptus-Future Pink, 8</t>
        </is>
      </c>
      <c r="L96" s="24" t="n">
        <v>66.5</v>
      </c>
      <c r="M96" s="24" t="n">
        <v>64.79000000000001</v>
      </c>
      <c r="N96" s="24" t="n">
        <v>-18.0385</v>
      </c>
      <c r="O96" s="24">
        <f>V96-M96</f>
        <v/>
      </c>
      <c r="P96" s="25">
        <f>N96/L96</f>
        <v/>
      </c>
      <c r="Q96" s="23" t="n">
        <v>89371</v>
      </c>
      <c r="R96" s="23" t="n"/>
      <c r="S96" s="26" t="n">
        <v>1.5983495</v>
      </c>
      <c r="T96" s="24" t="n">
        <v>64.79000000000001</v>
      </c>
      <c r="U96" s="24" t="n">
        <v>66.66</v>
      </c>
      <c r="V96" s="24" t="n">
        <v>70.73999999999999</v>
      </c>
      <c r="W96" s="26" t="inlineStr">
        <is>
          <t>PUMA Club Ii Era Womens Sneakers</t>
        </is>
      </c>
      <c r="X96" s="23" t="n">
        <v>7</v>
      </c>
      <c r="Y96" s="18">
        <f>AC96-AB96</f>
        <v/>
      </c>
      <c r="Z96" s="27" t="n">
        <v>27</v>
      </c>
      <c r="AA96" s="27" t="n">
        <v>88</v>
      </c>
      <c r="AB96" s="27" t="n">
        <v>2</v>
      </c>
      <c r="AC96" s="27" t="n">
        <v>25</v>
      </c>
      <c r="AD96" s="1" t="inlineStr">
        <is>
          <t>40100114</t>
        </is>
      </c>
      <c r="AE96" s="1" t="inlineStr">
        <is>
          <t>Eucalyptus-future Pink</t>
        </is>
      </c>
      <c r="AF96" s="4" t="n">
        <v>9.720000000000001</v>
      </c>
      <c r="AG96" s="4" t="n">
        <v>6.61</v>
      </c>
    </row>
    <row r="97" ht="47.25" customHeight="1">
      <c r="A97" s="18" t="inlineStr">
        <is>
          <t>197671555585</t>
        </is>
      </c>
      <c r="B97" s="19" t="inlineStr">
        <is>
          <t>https://www.amazon.com/dp/</t>
        </is>
      </c>
      <c r="C97" s="20" t="inlineStr">
        <is>
          <t>B0D32BRQLQ</t>
        </is>
      </c>
      <c r="D97" s="44" t="n"/>
      <c r="E97" s="23" t="inlineStr">
        <is>
          <t>?th=1&amp;psc=1&amp;tag=sdcdeals03-20</t>
        </is>
      </c>
      <c r="F97" s="19">
        <f>HYPERLINK("https://redirect.sdcdeals.com/redirect?destination=https%3A%2F%2Fwww.amazon.com%2Fdp%2FB0D32BRQLQ%3Fth%3D1%26psc%3D1%26tag%3Dsdcdeals03-20", "Amazon Link")</f>
        <v/>
      </c>
      <c r="G97" s="19" t="inlineStr">
        <is>
          <t>https://www.jcpenney.com/s?searchTerm={search_term}</t>
        </is>
      </c>
      <c r="H97" s="23" t="inlineStr">
        <is>
          <t>197671555585</t>
        </is>
      </c>
      <c r="I97" s="19">
        <f>HYPERLINK("https://www.jcpenney.com/s?searchTerm=197671555585", "Retail Link")</f>
        <v/>
      </c>
      <c r="J97" s="23" t="inlineStr">
        <is>
          <t>8</t>
        </is>
      </c>
      <c r="K97" s="21" t="inlineStr">
        <is>
          <t>PUMA Women's Club II Era Sneaker, Eucalyptus-Future Pink, 8.5</t>
        </is>
      </c>
      <c r="L97" s="24" t="n">
        <v>66.5</v>
      </c>
      <c r="M97" s="24" t="n">
        <v>77.2</v>
      </c>
      <c r="N97" s="24" t="n">
        <v>-7.489999999999995</v>
      </c>
      <c r="O97" s="24">
        <f>V97-M97</f>
        <v/>
      </c>
      <c r="P97" s="25">
        <f>N97/L97</f>
        <v/>
      </c>
      <c r="Q97" s="23" t="n">
        <v>90881</v>
      </c>
      <c r="R97" s="23" t="n"/>
      <c r="S97" s="26" t="n">
        <v>1.64905576</v>
      </c>
      <c r="T97" s="24" t="n">
        <v>77.2</v>
      </c>
      <c r="U97" s="24" t="n">
        <v>59.14</v>
      </c>
      <c r="V97" s="24" t="n">
        <v>67.29000000000001</v>
      </c>
      <c r="W97" s="26" t="inlineStr">
        <is>
          <t>PUMA Club Ii Era Womens Sneakers</t>
        </is>
      </c>
      <c r="X97" s="23" t="n">
        <v>6</v>
      </c>
      <c r="Y97" s="18">
        <f>AC97-AB97</f>
        <v/>
      </c>
      <c r="Z97" s="27" t="n">
        <v>29</v>
      </c>
      <c r="AA97" s="27" t="n">
        <v>94</v>
      </c>
      <c r="AB97" s="27" t="n">
        <v>1</v>
      </c>
      <c r="AC97" s="27" t="n">
        <v>27</v>
      </c>
      <c r="AD97" s="1" t="inlineStr">
        <is>
          <t>40100114</t>
        </is>
      </c>
      <c r="AE97" s="1" t="inlineStr">
        <is>
          <t>Eucalyptus-future Pink</t>
        </is>
      </c>
      <c r="AF97" s="4" t="inlineStr"/>
      <c r="AG97" s="4" t="n">
        <v>6.61</v>
      </c>
    </row>
    <row r="98" ht="47.25" customHeight="1">
      <c r="A98" s="18" t="inlineStr">
        <is>
          <t>197671555592</t>
        </is>
      </c>
      <c r="B98" s="19" t="inlineStr">
        <is>
          <t>https://www.amazon.com/dp/</t>
        </is>
      </c>
      <c r="C98" s="20" t="inlineStr">
        <is>
          <t>B0D32CRVGW</t>
        </is>
      </c>
      <c r="D98" s="44" t="n"/>
      <c r="E98" s="23" t="inlineStr">
        <is>
          <t>?th=1&amp;psc=1&amp;tag=sdcdeals03-20</t>
        </is>
      </c>
      <c r="F98" s="19">
        <f>HYPERLINK("https://redirect.sdcdeals.com/redirect?destination=https%3A%2F%2Fwww.amazon.com%2Fdp%2FB0D32CRVGW%3Fth%3D1%26psc%3D1%26tag%3Dsdcdeals03-20", "Amazon Link")</f>
        <v/>
      </c>
      <c r="G98" s="19" t="inlineStr">
        <is>
          <t>https://www.jcpenney.com/s?searchTerm={search_term}</t>
        </is>
      </c>
      <c r="H98" s="23" t="inlineStr">
        <is>
          <t>197671555592</t>
        </is>
      </c>
      <c r="I98" s="19">
        <f>HYPERLINK("https://www.jcpenney.com/s?searchTerm=197671555592", "Retail Link")</f>
        <v/>
      </c>
      <c r="J98" s="23" t="inlineStr">
        <is>
          <t>8</t>
        </is>
      </c>
      <c r="K98" s="21" t="inlineStr">
        <is>
          <t>PUMA Women's Club II Era Sneaker, Eucalyptus-Future Pink, 9</t>
        </is>
      </c>
      <c r="L98" s="24" t="n">
        <v>66.5</v>
      </c>
      <c r="M98" s="24" t="n">
        <v>82.47</v>
      </c>
      <c r="N98" s="24" t="n">
        <v>-3.430500000000009</v>
      </c>
      <c r="O98" s="24">
        <f>V98-M98</f>
        <v/>
      </c>
      <c r="P98" s="25">
        <f>N98/L98</f>
        <v/>
      </c>
      <c r="Q98" s="23" t="n">
        <v>89371</v>
      </c>
      <c r="R98" s="23" t="n"/>
      <c r="S98" s="26" t="n">
        <v>1.653465</v>
      </c>
      <c r="T98" s="24" t="n">
        <v>77.2</v>
      </c>
      <c r="U98" s="24" t="n">
        <v>62.05</v>
      </c>
      <c r="V98" s="24" t="n">
        <v>68.64</v>
      </c>
      <c r="W98" s="26" t="inlineStr">
        <is>
          <t>PUMA Club Ii Era Womens Sneakers</t>
        </is>
      </c>
      <c r="X98" s="23" t="n">
        <v>6</v>
      </c>
      <c r="Y98" s="18">
        <f>AC98-AB98</f>
        <v/>
      </c>
      <c r="Z98" s="27" t="n">
        <v>19</v>
      </c>
      <c r="AA98" s="27" t="n">
        <v>91</v>
      </c>
      <c r="AB98" s="27" t="n">
        <v>1</v>
      </c>
      <c r="AC98" s="27" t="n">
        <v>26</v>
      </c>
      <c r="AD98" s="1" t="inlineStr">
        <is>
          <t>40100114</t>
        </is>
      </c>
      <c r="AE98" s="1" t="inlineStr">
        <is>
          <t>Eucalyptus-future Pink</t>
        </is>
      </c>
      <c r="AF98" s="4" t="n">
        <v>12.37</v>
      </c>
      <c r="AG98" s="4" t="n">
        <v>7.03</v>
      </c>
    </row>
    <row r="99" ht="47.25" customHeight="1">
      <c r="A99" s="18" t="inlineStr">
        <is>
          <t>197671555608</t>
        </is>
      </c>
      <c r="B99" s="19" t="inlineStr">
        <is>
          <t>https://www.amazon.com/dp/</t>
        </is>
      </c>
      <c r="C99" s="20" t="inlineStr">
        <is>
          <t>B0D326SMS6</t>
        </is>
      </c>
      <c r="D99" s="44" t="n"/>
      <c r="E99" s="23" t="inlineStr">
        <is>
          <t>?th=1&amp;psc=1&amp;tag=sdcdeals03-20</t>
        </is>
      </c>
      <c r="F99" s="19">
        <f>HYPERLINK("https://redirect.sdcdeals.com/redirect?destination=https%3A%2F%2Fwww.amazon.com%2Fdp%2FB0D326SMS6%3Fth%3D1%26psc%3D1%26tag%3Dsdcdeals03-20", "Amazon Link")</f>
        <v/>
      </c>
      <c r="G99" s="19" t="inlineStr">
        <is>
          <t>https://www.jcpenney.com/s?searchTerm={search_term}</t>
        </is>
      </c>
      <c r="H99" s="23" t="inlineStr">
        <is>
          <t>197671555608</t>
        </is>
      </c>
      <c r="I99" s="19">
        <f>HYPERLINK("https://www.jcpenney.com/s?searchTerm=197671555608", "Retail Link")</f>
        <v/>
      </c>
      <c r="J99" s="23" t="inlineStr">
        <is>
          <t>8</t>
        </is>
      </c>
      <c r="K99" s="21" t="inlineStr">
        <is>
          <t>PUMA Women's Club II Era Sneaker, Eucalyptus-Future Pink, 9.5</t>
        </is>
      </c>
      <c r="L99" s="24" t="n">
        <v>66.5</v>
      </c>
      <c r="M99" s="24" t="n">
        <v>63.77</v>
      </c>
      <c r="N99" s="24" t="n">
        <v>-19.3255</v>
      </c>
      <c r="O99" s="24">
        <f>V99-M99</f>
        <v/>
      </c>
      <c r="P99" s="25">
        <f>N99/L99</f>
        <v/>
      </c>
      <c r="Q99" s="23" t="n">
        <v>93539</v>
      </c>
      <c r="R99" s="23" t="n"/>
      <c r="S99" s="26" t="n">
        <v>1.7196036</v>
      </c>
      <c r="T99" s="24" t="n">
        <v>63.77</v>
      </c>
      <c r="U99" s="24" t="n">
        <v>62.02</v>
      </c>
      <c r="V99" s="24" t="n">
        <v>70.18000000000001</v>
      </c>
      <c r="W99" s="26" t="inlineStr">
        <is>
          <t>PUMA Club Ii Era Womens Sneakers</t>
        </is>
      </c>
      <c r="X99" s="23" t="n">
        <v>2</v>
      </c>
      <c r="Y99" s="18">
        <f>AC99-AB99</f>
        <v/>
      </c>
      <c r="Z99" s="27" t="n">
        <v>25</v>
      </c>
      <c r="AA99" s="27" t="n">
        <v>85</v>
      </c>
      <c r="AB99" s="27" t="n">
        <v>0</v>
      </c>
      <c r="AC99" s="27" t="n">
        <v>26</v>
      </c>
      <c r="AD99" s="1" t="inlineStr">
        <is>
          <t>40100114</t>
        </is>
      </c>
      <c r="AE99" s="1" t="inlineStr">
        <is>
          <t>Eucalyptus-future Pink</t>
        </is>
      </c>
      <c r="AF99" s="4" t="n">
        <v>9.57</v>
      </c>
      <c r="AG99" s="4" t="n">
        <v>7.03</v>
      </c>
    </row>
    <row r="100" ht="47.25" customHeight="1">
      <c r="A100" s="18" t="inlineStr">
        <is>
          <t>197671555615</t>
        </is>
      </c>
      <c r="B100" s="19" t="inlineStr">
        <is>
          <t>https://www.amazon.com/dp/</t>
        </is>
      </c>
      <c r="C100" s="20" t="inlineStr">
        <is>
          <t>B0D32BDJX3</t>
        </is>
      </c>
      <c r="D100" s="44" t="n"/>
      <c r="E100" s="23" t="inlineStr">
        <is>
          <t>?th=1&amp;psc=1&amp;tag=sdcdeals03-20</t>
        </is>
      </c>
      <c r="F100" s="19">
        <f>HYPERLINK("https://redirect.sdcdeals.com/redirect?destination=https%3A%2F%2Fwww.amazon.com%2Fdp%2FB0D32BDJX3%3Fth%3D1%26psc%3D1%26tag%3Dsdcdeals03-20", "Amazon Link")</f>
        <v/>
      </c>
      <c r="G100" s="19" t="inlineStr">
        <is>
          <t>https://www.jcpenney.com/s?searchTerm={search_term}</t>
        </is>
      </c>
      <c r="H100" s="23" t="inlineStr">
        <is>
          <t>197671555615</t>
        </is>
      </c>
      <c r="I100" s="19">
        <f>HYPERLINK("https://www.jcpenney.com/s?searchTerm=197671555615", "Retail Link")</f>
        <v/>
      </c>
      <c r="J100" s="23" t="inlineStr">
        <is>
          <t>8</t>
        </is>
      </c>
      <c r="K100" s="21" t="inlineStr">
        <is>
          <t>PUMA Women's Club II Era Sneaker, Eucalyptus-Future Pink, 10</t>
        </is>
      </c>
      <c r="L100" s="24" t="n">
        <v>66.5</v>
      </c>
      <c r="M100" s="24" t="n">
        <v>77.2</v>
      </c>
      <c r="N100" s="24" t="n">
        <v>-7.909999999999997</v>
      </c>
      <c r="O100" s="24">
        <f>V100-M100</f>
        <v/>
      </c>
      <c r="P100" s="25">
        <f>N100/L100</f>
        <v/>
      </c>
      <c r="Q100" s="23" t="n">
        <v>89371</v>
      </c>
      <c r="R100" s="23" t="n"/>
      <c r="S100" s="26" t="n">
        <v>1.80999302</v>
      </c>
      <c r="T100" s="24" t="n">
        <v>77.2</v>
      </c>
      <c r="U100" s="24" t="n">
        <v>60.11</v>
      </c>
      <c r="V100" s="24" t="n">
        <v>67.23</v>
      </c>
      <c r="W100" s="26" t="inlineStr">
        <is>
          <t>PUMA Club Ii Era Womens Sneakers</t>
        </is>
      </c>
      <c r="X100" s="23" t="n">
        <v>5</v>
      </c>
      <c r="Y100" s="18">
        <f>AC100-AB100</f>
        <v/>
      </c>
      <c r="Z100" s="27" t="n">
        <v>30</v>
      </c>
      <c r="AA100" s="27" t="n">
        <v>93</v>
      </c>
      <c r="AB100" s="27" t="n">
        <v>0</v>
      </c>
      <c r="AC100" s="27" t="n">
        <v>25</v>
      </c>
      <c r="AD100" s="1" t="inlineStr">
        <is>
          <t>40100114</t>
        </is>
      </c>
      <c r="AE100" s="1" t="inlineStr">
        <is>
          <t>Eucalyptus-future Pink</t>
        </is>
      </c>
      <c r="AF100" s="4" t="inlineStr"/>
      <c r="AG100" s="4" t="n">
        <v>7.03</v>
      </c>
    </row>
    <row r="101" ht="47.25" customHeight="1">
      <c r="A101" s="18" t="inlineStr">
        <is>
          <t>197671555639</t>
        </is>
      </c>
      <c r="B101" s="19" t="inlineStr">
        <is>
          <t>https://www.amazon.com/dp/</t>
        </is>
      </c>
      <c r="C101" s="20" t="inlineStr">
        <is>
          <t>B0D32BWZ71</t>
        </is>
      </c>
      <c r="D101" s="44" t="n"/>
      <c r="E101" s="23" t="inlineStr">
        <is>
          <t>?th=1&amp;psc=1&amp;tag=sdcdeals03-20</t>
        </is>
      </c>
      <c r="F101" s="19">
        <f>HYPERLINK("https://redirect.sdcdeals.com/redirect?destination=https%3A%2F%2Fwww.amazon.com%2Fdp%2FB0D32BWZ71%3Fth%3D1%26psc%3D1%26tag%3Dsdcdeals03-20", "Amazon Link")</f>
        <v/>
      </c>
      <c r="G101" s="19" t="inlineStr">
        <is>
          <t>https://www.jcpenney.com/s?searchTerm={search_term}</t>
        </is>
      </c>
      <c r="H101" s="23" t="inlineStr">
        <is>
          <t>197671555639</t>
        </is>
      </c>
      <c r="I101" s="19">
        <f>HYPERLINK("https://www.jcpenney.com/s?searchTerm=197671555639", "Retail Link")</f>
        <v/>
      </c>
      <c r="J101" s="23" t="inlineStr">
        <is>
          <t>8</t>
        </is>
      </c>
      <c r="K101" s="21" t="inlineStr">
        <is>
          <t>PUMA Women's Club II Era Sneaker, Eucalyptus-Future Pink, 11</t>
        </is>
      </c>
      <c r="L101" s="24" t="n">
        <v>66.5</v>
      </c>
      <c r="M101" s="24" t="n">
        <v>77.2</v>
      </c>
      <c r="N101" s="24" t="n">
        <v>-8.499999999999993</v>
      </c>
      <c r="O101" s="24">
        <f>V101-M101</f>
        <v/>
      </c>
      <c r="P101" s="25">
        <f>N101/L101</f>
        <v/>
      </c>
      <c r="Q101" s="23" t="n">
        <v>89371</v>
      </c>
      <c r="R101" s="23" t="n"/>
      <c r="S101" s="26" t="n">
        <v>1.90038244</v>
      </c>
      <c r="T101" s="24" t="n">
        <v>77.2</v>
      </c>
      <c r="U101" s="24" t="n">
        <v>61.71</v>
      </c>
      <c r="V101" s="24" t="n">
        <v>69.97</v>
      </c>
      <c r="W101" s="26" t="inlineStr">
        <is>
          <t>PUMA Club Ii Era Womens Sneakers</t>
        </is>
      </c>
      <c r="X101" s="23" t="n">
        <v>5</v>
      </c>
      <c r="Y101" s="18">
        <f>AC101-AB101</f>
        <v/>
      </c>
      <c r="Z101" s="27" t="n">
        <v>16</v>
      </c>
      <c r="AA101" s="27" t="n">
        <v>66</v>
      </c>
      <c r="AB101" s="27" t="n">
        <v>2</v>
      </c>
      <c r="AC101" s="27" t="n">
        <v>25</v>
      </c>
      <c r="AD101" s="1" t="inlineStr">
        <is>
          <t>40100114</t>
        </is>
      </c>
      <c r="AE101" s="1" t="inlineStr">
        <is>
          <t>Eucalyptus-future Pink</t>
        </is>
      </c>
      <c r="AF101" s="4" t="inlineStr"/>
      <c r="AG101" s="4" t="n">
        <v>7.62</v>
      </c>
    </row>
    <row r="102" ht="47.25" customHeight="1">
      <c r="A102" s="18" t="inlineStr">
        <is>
          <t>196471925925</t>
        </is>
      </c>
      <c r="B102" s="19" t="inlineStr">
        <is>
          <t>https://www.amazon.com/dp/</t>
        </is>
      </c>
      <c r="C102" s="20" t="inlineStr">
        <is>
          <t>B0C2JWBZMZ</t>
        </is>
      </c>
      <c r="D102" s="44" t="n"/>
      <c r="E102" s="23" t="inlineStr">
        <is>
          <t>?th=1&amp;psc=1&amp;tag=sdcdeals03-20</t>
        </is>
      </c>
      <c r="F102" s="19">
        <f>HYPERLINK("https://redirect.sdcdeals.com/redirect?destination=https%3A%2F%2Fwww.amazon.com%2Fdp%2FB0C2JWBZMZ%3Fth%3D1%26psc%3D1%26tag%3Dsdcdeals03-20", "Amazon Link")</f>
        <v/>
      </c>
      <c r="G102" s="19" t="inlineStr">
        <is>
          <t>https://www.jcpenney.com/s?searchTerm={search_term}</t>
        </is>
      </c>
      <c r="H102" s="23" t="inlineStr">
        <is>
          <t>196471925925</t>
        </is>
      </c>
      <c r="I102" s="19">
        <f>HYPERLINK("https://www.jcpenney.com/s?searchTerm=196471925925", "Retail Link")</f>
        <v/>
      </c>
      <c r="J102" s="23" t="inlineStr">
        <is>
          <t>n/a</t>
        </is>
      </c>
      <c r="K102" s="21" t="inlineStr">
        <is>
          <t>adidas Women's Grand Court Alpha Sneaker, Grey/White/Silver Metallic, 5</t>
        </is>
      </c>
      <c r="L102" s="24" t="n">
        <v>71.2405</v>
      </c>
      <c r="M102" s="24" t="inlineStr"/>
      <c r="N102" s="24" t="n"/>
      <c r="O102" s="24">
        <f>V102-M102</f>
        <v/>
      </c>
      <c r="P102" s="25">
        <f>N102/L102</f>
        <v/>
      </c>
      <c r="Q102" s="23" t="n"/>
      <c r="R102" s="23" t="n"/>
      <c r="S102" s="26" t="n">
        <v>1.86951776</v>
      </c>
      <c r="T102" s="24" t="inlineStr"/>
      <c r="U102" s="24" t="inlineStr"/>
      <c r="V102" s="24" t="inlineStr"/>
      <c r="W102" s="26" t="inlineStr">
        <is>
          <t>adidas Grand Court Alpha Womens Sneakers</t>
        </is>
      </c>
      <c r="X102" s="23" t="n"/>
      <c r="Y102" s="18">
        <f>AC102-AB102</f>
        <v/>
      </c>
      <c r="Z102" s="27" t="n">
        <v>0</v>
      </c>
      <c r="AA102" s="27" t="n">
        <v>5</v>
      </c>
      <c r="AB102" s="27" t="n">
        <v>0</v>
      </c>
      <c r="AC102" s="27" t="n">
        <v>80</v>
      </c>
      <c r="AD102" s="1" t="inlineStr">
        <is>
          <t>MAX01</t>
        </is>
      </c>
      <c r="AE102" s="1" t="inlineStr">
        <is>
          <t>Grey/White/Silver Metallic</t>
        </is>
      </c>
      <c r="AF102" s="4" t="inlineStr"/>
      <c r="AG102" s="4" t="n">
        <v>7.62</v>
      </c>
    </row>
    <row r="103" ht="47.25" customHeight="1">
      <c r="A103" s="18" t="inlineStr">
        <is>
          <t>196471922238</t>
        </is>
      </c>
      <c r="B103" s="19" t="inlineStr">
        <is>
          <t>https://www.amazon.com/dp/</t>
        </is>
      </c>
      <c r="C103" s="20" t="inlineStr">
        <is>
          <t>B0C2JZ7PYZ</t>
        </is>
      </c>
      <c r="D103" s="44" t="n"/>
      <c r="E103" s="23" t="inlineStr">
        <is>
          <t>?th=1&amp;psc=1&amp;tag=sdcdeals03-20</t>
        </is>
      </c>
      <c r="F103" s="19">
        <f>HYPERLINK("https://redirect.sdcdeals.com/redirect?destination=https%3A%2F%2Fwww.amazon.com%2Fdp%2FB0C2JZ7PYZ%3Fth%3D1%26psc%3D1%26tag%3Dsdcdeals03-20", "Amazon Link")</f>
        <v/>
      </c>
      <c r="G103" s="19" t="inlineStr">
        <is>
          <t>https://www.jcpenney.com/s?searchTerm={search_term}</t>
        </is>
      </c>
      <c r="H103" s="23" t="inlineStr">
        <is>
          <t>196471922238</t>
        </is>
      </c>
      <c r="I103" s="19">
        <f>HYPERLINK("https://www.jcpenney.com/s?searchTerm=196471922238", "Retail Link")</f>
        <v/>
      </c>
      <c r="J103" s="23" t="inlineStr">
        <is>
          <t>n/a</t>
        </is>
      </c>
      <c r="K103" s="21" t="inlineStr">
        <is>
          <t>adidas Women's Grand Court Alpha Sneaker, Grey/White/Silver Metallic, 5.5</t>
        </is>
      </c>
      <c r="L103" s="24" t="n">
        <v>71.2405</v>
      </c>
      <c r="M103" s="24" t="inlineStr"/>
      <c r="N103" s="24" t="n"/>
      <c r="O103" s="24">
        <f>V103-M103</f>
        <v/>
      </c>
      <c r="P103" s="25">
        <f>N103/L103</f>
        <v/>
      </c>
      <c r="Q103" s="23" t="n">
        <v>103539</v>
      </c>
      <c r="R103" s="23" t="n"/>
      <c r="S103" s="26" t="n">
        <v>1.92022402</v>
      </c>
      <c r="T103" s="24" t="inlineStr"/>
      <c r="U103" s="24" t="inlineStr"/>
      <c r="V103" s="24" t="inlineStr"/>
      <c r="W103" s="26" t="inlineStr">
        <is>
          <t>adidas Grand Court Alpha Womens Sneakers</t>
        </is>
      </c>
      <c r="X103" s="23" t="n">
        <v>1</v>
      </c>
      <c r="Y103" s="18">
        <f>AC103-AB103</f>
        <v/>
      </c>
      <c r="Z103" s="27" t="n">
        <v>1</v>
      </c>
      <c r="AA103" s="27" t="n">
        <v>10</v>
      </c>
      <c r="AB103" s="27" t="n">
        <v>0</v>
      </c>
      <c r="AC103" s="27" t="n">
        <v>646</v>
      </c>
      <c r="AD103" s="1" t="inlineStr">
        <is>
          <t>MAX01</t>
        </is>
      </c>
      <c r="AE103" s="1" t="inlineStr">
        <is>
          <t>Grey/White/Silver Metallic</t>
        </is>
      </c>
      <c r="AF103" s="4" t="inlineStr"/>
      <c r="AG103" s="4" t="n">
        <v>7.62</v>
      </c>
    </row>
    <row r="104" ht="47.25" customHeight="1">
      <c r="A104" s="18" t="inlineStr">
        <is>
          <t>196471922283</t>
        </is>
      </c>
      <c r="B104" s="19" t="inlineStr">
        <is>
          <t>https://www.amazon.com/dp/</t>
        </is>
      </c>
      <c r="C104" s="20" t="inlineStr">
        <is>
          <t>B0C2JXSGC8</t>
        </is>
      </c>
      <c r="D104" s="44" t="n"/>
      <c r="E104" s="23" t="inlineStr">
        <is>
          <t>?th=1&amp;psc=1&amp;tag=sdcdeals03-20</t>
        </is>
      </c>
      <c r="F104" s="19">
        <f>HYPERLINK("https://redirect.sdcdeals.com/redirect?destination=https%3A%2F%2Fwww.amazon.com%2Fdp%2FB0C2JXSGC8%3Fth%3D1%26psc%3D1%26tag%3Dsdcdeals03-20", "Amazon Link")</f>
        <v/>
      </c>
      <c r="G104" s="19" t="inlineStr">
        <is>
          <t>https://www.jcpenney.com/s?searchTerm={search_term}</t>
        </is>
      </c>
      <c r="H104" s="23" t="inlineStr">
        <is>
          <t>196471922283</t>
        </is>
      </c>
      <c r="I104" s="19">
        <f>HYPERLINK("https://www.jcpenney.com/s?searchTerm=196471922283", "Retail Link")</f>
        <v/>
      </c>
      <c r="J104" s="23" t="inlineStr">
        <is>
          <t>n/a</t>
        </is>
      </c>
      <c r="K104" s="21" t="inlineStr">
        <is>
          <t>adidas Women's Grand Court Alpha Sneaker, Grey/White/Silver Metallic, 6</t>
        </is>
      </c>
      <c r="L104" s="24" t="n">
        <v>71.2405</v>
      </c>
      <c r="M104" s="24" t="n">
        <v>84.39</v>
      </c>
      <c r="N104" s="24" t="n">
        <v>-7.209000000000003</v>
      </c>
      <c r="O104" s="24">
        <f>V104-M104</f>
        <v/>
      </c>
      <c r="P104" s="25">
        <f>N104/L104</f>
        <v/>
      </c>
      <c r="Q104" s="23" t="n">
        <v>88789</v>
      </c>
      <c r="R104" s="23" t="n"/>
      <c r="S104" s="26" t="n">
        <v>2.0282504</v>
      </c>
      <c r="T104" s="24" t="n">
        <v>84.39</v>
      </c>
      <c r="U104" s="24" t="inlineStr"/>
      <c r="V104" s="24" t="n">
        <v>78.17</v>
      </c>
      <c r="W104" s="26" t="inlineStr">
        <is>
          <t>adidas Grand Court Alpha Womens Sneakers</t>
        </is>
      </c>
      <c r="X104" s="23" t="n">
        <v>2</v>
      </c>
      <c r="Y104" s="18">
        <f>AC104-AB104</f>
        <v/>
      </c>
      <c r="Z104" s="27" t="n">
        <v>22</v>
      </c>
      <c r="AA104" s="27" t="n">
        <v>67</v>
      </c>
      <c r="AB104" s="27" t="n">
        <v>4</v>
      </c>
      <c r="AC104" s="27" t="n">
        <v>667</v>
      </c>
      <c r="AD104" s="1" t="inlineStr">
        <is>
          <t>MAX01</t>
        </is>
      </c>
      <c r="AE104" s="1" t="inlineStr">
        <is>
          <t>Grey/White/Silver Metallic</t>
        </is>
      </c>
      <c r="AF104" s="4" t="inlineStr"/>
      <c r="AG104" s="4" t="n">
        <v>7.7</v>
      </c>
    </row>
    <row r="105" ht="47.25" customHeight="1">
      <c r="A105" s="18" t="inlineStr">
        <is>
          <t>196471925895</t>
        </is>
      </c>
      <c r="B105" s="19" t="inlineStr">
        <is>
          <t>https://www.amazon.com/dp/</t>
        </is>
      </c>
      <c r="C105" s="20" t="inlineStr">
        <is>
          <t>B0C2JWXSNR</t>
        </is>
      </c>
      <c r="D105" s="44" t="n"/>
      <c r="E105" s="23" t="inlineStr">
        <is>
          <t>?th=1&amp;psc=1&amp;tag=sdcdeals03-20</t>
        </is>
      </c>
      <c r="F105" s="19">
        <f>HYPERLINK("https://redirect.sdcdeals.com/redirect?destination=https%3A%2F%2Fwww.amazon.com%2Fdp%2FB0C2JWXSNR%3Fth%3D1%26psc%3D1%26tag%3Dsdcdeals03-20", "Amazon Link")</f>
        <v/>
      </c>
      <c r="G105" s="19" t="inlineStr">
        <is>
          <t>https://www.jcpenney.com/s?searchTerm={search_term}</t>
        </is>
      </c>
      <c r="H105" s="23" t="inlineStr">
        <is>
          <t>196471925895</t>
        </is>
      </c>
      <c r="I105" s="19">
        <f>HYPERLINK("https://www.jcpenney.com/s?searchTerm=196471925895", "Retail Link")</f>
        <v/>
      </c>
      <c r="J105" s="23" t="inlineStr">
        <is>
          <t>n/a</t>
        </is>
      </c>
      <c r="K105" s="21" t="inlineStr">
        <is>
          <t>adidas Women's Grand Court Alpha Sneaker, Grey/White/Silver Metallic, 6.5</t>
        </is>
      </c>
      <c r="L105" s="24" t="n">
        <v>71.2405</v>
      </c>
      <c r="M105" s="24" t="n">
        <v>98.98999999999999</v>
      </c>
      <c r="N105" s="24" t="n">
        <v>5.280999999999992</v>
      </c>
      <c r="O105" s="24">
        <f>V105-M105</f>
        <v/>
      </c>
      <c r="P105" s="25">
        <f>N105/L105</f>
        <v/>
      </c>
      <c r="Q105" s="23" t="n">
        <v>88789</v>
      </c>
      <c r="R105" s="23" t="n"/>
      <c r="S105" s="26" t="n">
        <v>1.9731349</v>
      </c>
      <c r="T105" s="24" t="n">
        <v>98.98999999999999</v>
      </c>
      <c r="U105" s="24" t="n">
        <v>78.81999999999999</v>
      </c>
      <c r="V105" s="24" t="n">
        <v>75.68000000000001</v>
      </c>
      <c r="W105" s="26" t="inlineStr">
        <is>
          <t>adidas Grand Court Alpha Womens Sneakers</t>
        </is>
      </c>
      <c r="X105" s="23" t="n">
        <v>1</v>
      </c>
      <c r="Y105" s="18">
        <f>AC105-AB105</f>
        <v/>
      </c>
      <c r="Z105" s="27" t="n">
        <v>26</v>
      </c>
      <c r="AA105" s="27" t="n">
        <v>69</v>
      </c>
      <c r="AB105" s="27" t="n">
        <v>3</v>
      </c>
      <c r="AC105" s="27" t="n">
        <v>665</v>
      </c>
      <c r="AD105" s="1" t="inlineStr">
        <is>
          <t>MAX01</t>
        </is>
      </c>
      <c r="AE105" s="1" t="inlineStr">
        <is>
          <t>Grey/White/Silver Metallic</t>
        </is>
      </c>
      <c r="AF105" s="4" t="inlineStr"/>
      <c r="AG105" s="4" t="n">
        <v>7.62</v>
      </c>
    </row>
    <row r="106" ht="47.25" customHeight="1">
      <c r="A106" s="18" t="inlineStr">
        <is>
          <t>196471925901</t>
        </is>
      </c>
      <c r="B106" s="19" t="inlineStr">
        <is>
          <t>https://www.amazon.com/dp/</t>
        </is>
      </c>
      <c r="C106" s="20" t="inlineStr">
        <is>
          <t>B0C2JYRKP5</t>
        </is>
      </c>
      <c r="D106" s="44" t="n"/>
      <c r="E106" s="23" t="inlineStr">
        <is>
          <t>?th=1&amp;psc=1&amp;tag=sdcdeals03-20</t>
        </is>
      </c>
      <c r="F106" s="19">
        <f>HYPERLINK("https://redirect.sdcdeals.com/redirect?destination=https%3A%2F%2Fwww.amazon.com%2Fdp%2FB0C2JYRKP5%3Fth%3D1%26psc%3D1%26tag%3Dsdcdeals03-20", "Amazon Link")</f>
        <v/>
      </c>
      <c r="G106" s="19" t="inlineStr">
        <is>
          <t>https://www.jcpenney.com/s?searchTerm={search_term}</t>
        </is>
      </c>
      <c r="H106" s="23" t="inlineStr">
        <is>
          <t>196471925901</t>
        </is>
      </c>
      <c r="I106" s="19">
        <f>HYPERLINK("https://www.jcpenney.com/s?searchTerm=196471925901", "Retail Link")</f>
        <v/>
      </c>
      <c r="J106" s="23" t="inlineStr">
        <is>
          <t>n/a</t>
        </is>
      </c>
      <c r="K106" s="21" t="inlineStr">
        <is>
          <t>adidas Women's Grand Court Alpha Sneaker, Grey/White/Silver Metallic, 7</t>
        </is>
      </c>
      <c r="L106" s="24" t="n">
        <v>71.2405</v>
      </c>
      <c r="M106" s="24" t="n">
        <v>101.45</v>
      </c>
      <c r="N106" s="24" t="n">
        <v>7.292000000000002</v>
      </c>
      <c r="O106" s="24">
        <f>V106-M106</f>
        <v/>
      </c>
      <c r="P106" s="25">
        <f>N106/L106</f>
        <v/>
      </c>
      <c r="Q106" s="23" t="n">
        <v>88789</v>
      </c>
      <c r="R106" s="23" t="n"/>
      <c r="S106" s="26" t="n">
        <v>2.1495045</v>
      </c>
      <c r="T106" s="24" t="n">
        <v>101.45</v>
      </c>
      <c r="U106" s="24" t="inlineStr"/>
      <c r="V106" s="24" t="n">
        <v>79.73</v>
      </c>
      <c r="W106" s="26" t="inlineStr">
        <is>
          <t>adidas Grand Court Alpha Womens Sneakers</t>
        </is>
      </c>
      <c r="X106" s="23" t="n">
        <v>3</v>
      </c>
      <c r="Y106" s="18">
        <f>AC106-AB106</f>
        <v/>
      </c>
      <c r="Z106" s="27" t="n">
        <v>30</v>
      </c>
      <c r="AA106" s="27" t="n">
        <v>80</v>
      </c>
      <c r="AB106" s="27" t="n">
        <v>10</v>
      </c>
      <c r="AC106" s="27" t="n">
        <v>668</v>
      </c>
      <c r="AD106" s="1" t="inlineStr">
        <is>
          <t>MAX01</t>
        </is>
      </c>
      <c r="AE106" s="1" t="inlineStr">
        <is>
          <t>Grey/White/Silver Metallic</t>
        </is>
      </c>
      <c r="AF106" s="4" t="inlineStr"/>
      <c r="AG106" s="4" t="n">
        <v>7.7</v>
      </c>
    </row>
    <row r="107" ht="47.25" customHeight="1">
      <c r="A107" s="18" t="inlineStr">
        <is>
          <t>196471922269</t>
        </is>
      </c>
      <c r="B107" s="19" t="inlineStr">
        <is>
          <t>https://www.amazon.com/dp/</t>
        </is>
      </c>
      <c r="C107" s="20" t="inlineStr">
        <is>
          <t>B0C2JXDQ7Y</t>
        </is>
      </c>
      <c r="D107" s="44" t="n"/>
      <c r="E107" s="23" t="inlineStr">
        <is>
          <t>?th=1&amp;psc=1&amp;tag=sdcdeals03-20</t>
        </is>
      </c>
      <c r="F107" s="19">
        <f>HYPERLINK("https://redirect.sdcdeals.com/redirect?destination=https%3A%2F%2Fwww.amazon.com%2Fdp%2FB0C2JXDQ7Y%3Fth%3D1%26psc%3D1%26tag%3Dsdcdeals03-20", "Amazon Link")</f>
        <v/>
      </c>
      <c r="G107" s="19" t="inlineStr">
        <is>
          <t>https://www.jcpenney.com/s?searchTerm={search_term}</t>
        </is>
      </c>
      <c r="H107" s="23" t="inlineStr">
        <is>
          <t>196471922269</t>
        </is>
      </c>
      <c r="I107" s="19">
        <f>HYPERLINK("https://www.jcpenney.com/s?searchTerm=196471922269", "Retail Link")</f>
        <v/>
      </c>
      <c r="J107" s="23" t="inlineStr">
        <is>
          <t>n/a</t>
        </is>
      </c>
      <c r="K107" s="21" t="inlineStr">
        <is>
          <t>adidas Women's Grand Court Alpha Sneaker, Grey/White/Silver Metallic, 7.5</t>
        </is>
      </c>
      <c r="L107" s="24" t="n">
        <v>71.2405</v>
      </c>
      <c r="M107" s="24" t="n">
        <v>101.45</v>
      </c>
      <c r="N107" s="24" t="n">
        <v>7.292000000000002</v>
      </c>
      <c r="O107" s="24">
        <f>V107-M107</f>
        <v/>
      </c>
      <c r="P107" s="25">
        <f>N107/L107</f>
        <v/>
      </c>
      <c r="Q107" s="23" t="n">
        <v>88789</v>
      </c>
      <c r="R107" s="23" t="n"/>
      <c r="S107" s="26" t="n">
        <v>1.90038244</v>
      </c>
      <c r="T107" s="24" t="n">
        <v>101.45</v>
      </c>
      <c r="U107" s="24" t="inlineStr"/>
      <c r="V107" s="24" t="n">
        <v>79.37</v>
      </c>
      <c r="W107" s="26" t="inlineStr">
        <is>
          <t>adidas Grand Court Alpha Womens Sneakers</t>
        </is>
      </c>
      <c r="X107" s="23" t="n">
        <v>2</v>
      </c>
      <c r="Y107" s="18">
        <f>AC107-AB107</f>
        <v/>
      </c>
      <c r="Z107" s="27" t="n">
        <v>25</v>
      </c>
      <c r="AA107" s="27" t="n">
        <v>70</v>
      </c>
      <c r="AB107" s="27" t="n">
        <v>3</v>
      </c>
      <c r="AC107" s="27" t="n">
        <v>668</v>
      </c>
      <c r="AD107" s="1" t="inlineStr">
        <is>
          <t>MAX01</t>
        </is>
      </c>
      <c r="AE107" s="1" t="inlineStr">
        <is>
          <t>Grey/White/Silver Metallic</t>
        </is>
      </c>
      <c r="AF107" s="4" t="inlineStr"/>
      <c r="AG107" s="4" t="n">
        <v>7.7</v>
      </c>
    </row>
    <row r="108" ht="47.25" customHeight="1">
      <c r="A108" s="18" t="inlineStr">
        <is>
          <t>196471922252</t>
        </is>
      </c>
      <c r="B108" s="19" t="inlineStr">
        <is>
          <t>https://www.amazon.com/dp/</t>
        </is>
      </c>
      <c r="C108" s="20" t="inlineStr">
        <is>
          <t>B0C2JXNJ53</t>
        </is>
      </c>
      <c r="D108" s="44" t="n"/>
      <c r="E108" s="23" t="inlineStr">
        <is>
          <t>?th=1&amp;psc=1&amp;tag=sdcdeals03-20</t>
        </is>
      </c>
      <c r="F108" s="19">
        <f>HYPERLINK("https://redirect.sdcdeals.com/redirect?destination=https%3A%2F%2Fwww.amazon.com%2Fdp%2FB0C2JXNJ53%3Fth%3D1%26psc%3D1%26tag%3Dsdcdeals03-20", "Amazon Link")</f>
        <v/>
      </c>
      <c r="G108" s="19" t="inlineStr">
        <is>
          <t>https://www.jcpenney.com/s?searchTerm={search_term}</t>
        </is>
      </c>
      <c r="H108" s="23" t="inlineStr">
        <is>
          <t>196471922252</t>
        </is>
      </c>
      <c r="I108" s="19">
        <f>HYPERLINK("https://www.jcpenney.com/s?searchTerm=196471922252", "Retail Link")</f>
        <v/>
      </c>
      <c r="J108" s="23" t="inlineStr">
        <is>
          <t>n/a</t>
        </is>
      </c>
      <c r="K108" s="21" t="inlineStr">
        <is>
          <t>adidas Women's Grand Court Alpha Sneaker, Grey/White/Silver Metallic, 8</t>
        </is>
      </c>
      <c r="L108" s="24" t="n">
        <v>71.2405</v>
      </c>
      <c r="M108" s="24" t="n">
        <v>101.45</v>
      </c>
      <c r="N108" s="24" t="n">
        <v>7.212000000000003</v>
      </c>
      <c r="O108" s="24">
        <f>V108-M108</f>
        <v/>
      </c>
      <c r="P108" s="25">
        <f>N108/L108</f>
        <v/>
      </c>
      <c r="Q108" s="23" t="n">
        <v>88789</v>
      </c>
      <c r="R108" s="23" t="n"/>
      <c r="S108" s="26" t="n">
        <v>2.1605276</v>
      </c>
      <c r="T108" s="24" t="n">
        <v>101.45</v>
      </c>
      <c r="U108" s="24" t="n">
        <v>76.38</v>
      </c>
      <c r="V108" s="24" t="n">
        <v>78.3</v>
      </c>
      <c r="W108" s="26" t="inlineStr">
        <is>
          <t>adidas Grand Court Alpha Womens Sneakers</t>
        </is>
      </c>
      <c r="X108" s="23" t="n">
        <v>3</v>
      </c>
      <c r="Y108" s="18">
        <f>AC108-AB108</f>
        <v/>
      </c>
      <c r="Z108" s="27" t="n">
        <v>33</v>
      </c>
      <c r="AA108" s="27" t="n">
        <v>81</v>
      </c>
      <c r="AB108" s="27" t="n">
        <v>4</v>
      </c>
      <c r="AC108" s="27" t="n">
        <v>668</v>
      </c>
      <c r="AD108" s="1" t="inlineStr">
        <is>
          <t>MAX01</t>
        </is>
      </c>
      <c r="AE108" s="1" t="inlineStr">
        <is>
          <t>Grey/White/Silver Metallic</t>
        </is>
      </c>
      <c r="AF108" s="4" t="inlineStr"/>
      <c r="AG108" s="4" t="n">
        <v>7.78</v>
      </c>
    </row>
    <row r="109" ht="47.25" customHeight="1">
      <c r="A109" s="18" t="inlineStr">
        <is>
          <t>196471922191</t>
        </is>
      </c>
      <c r="B109" s="19" t="inlineStr">
        <is>
          <t>https://www.amazon.com/dp/</t>
        </is>
      </c>
      <c r="C109" s="20" t="inlineStr">
        <is>
          <t>B0C2JYGN93</t>
        </is>
      </c>
      <c r="D109" s="44" t="n"/>
      <c r="E109" s="23" t="inlineStr">
        <is>
          <t>?th=1&amp;psc=1&amp;tag=sdcdeals03-20</t>
        </is>
      </c>
      <c r="F109" s="19">
        <f>HYPERLINK("https://redirect.sdcdeals.com/redirect?destination=https%3A%2F%2Fwww.amazon.com%2Fdp%2FB0C2JYGN93%3Fth%3D1%26psc%3D1%26tag%3Dsdcdeals03-20", "Amazon Link")</f>
        <v/>
      </c>
      <c r="G109" s="19" t="inlineStr">
        <is>
          <t>https://www.jcpenney.com/s?searchTerm={search_term}</t>
        </is>
      </c>
      <c r="H109" s="23" t="inlineStr">
        <is>
          <t>196471922191</t>
        </is>
      </c>
      <c r="I109" s="19">
        <f>HYPERLINK("https://www.jcpenney.com/s?searchTerm=196471922191", "Retail Link")</f>
        <v/>
      </c>
      <c r="J109" s="23" t="inlineStr">
        <is>
          <t>n/a</t>
        </is>
      </c>
      <c r="K109" s="21" t="inlineStr">
        <is>
          <t>adidas Women's Grand Court Alpha Sneaker, Grey/White/Silver Metallic, 8.5</t>
        </is>
      </c>
      <c r="L109" s="24" t="n">
        <v>71.2405</v>
      </c>
      <c r="M109" s="24" t="n">
        <v>84.39</v>
      </c>
      <c r="N109" s="24" t="n">
        <v>-7.369</v>
      </c>
      <c r="O109" s="24">
        <f>V109-M109</f>
        <v/>
      </c>
      <c r="P109" s="25">
        <f>N109/L109</f>
        <v/>
      </c>
      <c r="Q109" s="23" t="n">
        <v>88789</v>
      </c>
      <c r="R109" s="23" t="n"/>
      <c r="S109" s="26" t="n">
        <v>2.2266662</v>
      </c>
      <c r="T109" s="24" t="n">
        <v>84.39</v>
      </c>
      <c r="U109" s="24" t="n">
        <v>77.91</v>
      </c>
      <c r="V109" s="24" t="n">
        <v>74.61</v>
      </c>
      <c r="W109" s="26" t="inlineStr">
        <is>
          <t>adidas Grand Court Alpha Womens Sneakers</t>
        </is>
      </c>
      <c r="X109" s="23" t="n">
        <v>2</v>
      </c>
      <c r="Y109" s="18">
        <f>AC109-AB109</f>
        <v/>
      </c>
      <c r="Z109" s="27" t="n">
        <v>25</v>
      </c>
      <c r="AA109" s="27" t="n">
        <v>58</v>
      </c>
      <c r="AB109" s="27" t="n">
        <v>14</v>
      </c>
      <c r="AC109" s="27" t="n">
        <v>668</v>
      </c>
      <c r="AD109" s="1" t="inlineStr">
        <is>
          <t>MAX01</t>
        </is>
      </c>
      <c r="AE109" s="1" t="inlineStr">
        <is>
          <t>Grey/White/Silver Metallic</t>
        </is>
      </c>
      <c r="AF109" s="4" t="inlineStr"/>
      <c r="AG109" s="4" t="n">
        <v>7.86</v>
      </c>
    </row>
    <row r="110" ht="47.25" customHeight="1">
      <c r="A110" s="18" t="inlineStr">
        <is>
          <t>196471922276</t>
        </is>
      </c>
      <c r="B110" s="19" t="inlineStr">
        <is>
          <t>https://www.amazon.com/dp/</t>
        </is>
      </c>
      <c r="C110" s="20" t="inlineStr">
        <is>
          <t>B0C2JYY3NR</t>
        </is>
      </c>
      <c r="D110" s="44" t="n"/>
      <c r="E110" s="23" t="inlineStr">
        <is>
          <t>?th=1&amp;psc=1&amp;tag=sdcdeals03-20</t>
        </is>
      </c>
      <c r="F110" s="19">
        <f>HYPERLINK("https://redirect.sdcdeals.com/redirect?destination=https%3A%2F%2Fwww.amazon.com%2Fdp%2FB0C2JYY3NR%3Fth%3D1%26psc%3D1%26tag%3Dsdcdeals03-20", "Amazon Link")</f>
        <v/>
      </c>
      <c r="G110" s="19" t="inlineStr">
        <is>
          <t>https://www.jcpenney.com/s?searchTerm={search_term}</t>
        </is>
      </c>
      <c r="H110" s="23" t="inlineStr">
        <is>
          <t>196471922276</t>
        </is>
      </c>
      <c r="I110" s="19">
        <f>HYPERLINK("https://www.jcpenney.com/s?searchTerm=196471922276", "Retail Link")</f>
        <v/>
      </c>
      <c r="J110" s="23" t="inlineStr">
        <is>
          <t>n/a</t>
        </is>
      </c>
      <c r="K110" s="21" t="inlineStr">
        <is>
          <t>adidas Women's Grand Court Alpha Sneaker, Grey/White/Silver Metallic, 9</t>
        </is>
      </c>
      <c r="L110" s="24" t="n">
        <v>71.2405</v>
      </c>
      <c r="M110" s="24" t="n">
        <v>78.28</v>
      </c>
      <c r="N110" s="24" t="n">
        <v>-12.7225</v>
      </c>
      <c r="O110" s="24">
        <f>V110-M110</f>
        <v/>
      </c>
      <c r="P110" s="25">
        <f>N110/L110</f>
        <v/>
      </c>
      <c r="Q110" s="23" t="n">
        <v>92975</v>
      </c>
      <c r="R110" s="23" t="n"/>
      <c r="S110" s="26" t="n">
        <v>2.30162328</v>
      </c>
      <c r="T110" s="24" t="inlineStr"/>
      <c r="U110" s="24" t="n">
        <v>78.28</v>
      </c>
      <c r="V110" s="24" t="n">
        <v>69.01000000000001</v>
      </c>
      <c r="W110" s="26" t="inlineStr">
        <is>
          <t>adidas Grand Court Alpha Womens Sneakers</t>
        </is>
      </c>
      <c r="X110" s="23" t="n">
        <v>2</v>
      </c>
      <c r="Y110" s="18">
        <f>AC110-AB110</f>
        <v/>
      </c>
      <c r="Z110" s="27" t="n">
        <v>24</v>
      </c>
      <c r="AA110" s="27" t="n">
        <v>72</v>
      </c>
      <c r="AB110" s="27" t="n">
        <v>7</v>
      </c>
      <c r="AC110" s="27" t="n">
        <v>665</v>
      </c>
      <c r="AD110" s="1" t="inlineStr">
        <is>
          <t>MAX01</t>
        </is>
      </c>
      <c r="AE110" s="1" t="inlineStr">
        <is>
          <t>Grey/White/Silver Metallic</t>
        </is>
      </c>
      <c r="AF110" s="4" t="inlineStr"/>
      <c r="AG110" s="4" t="n">
        <v>8.02</v>
      </c>
    </row>
    <row r="111" ht="47.25" customHeight="1">
      <c r="A111" s="18" t="inlineStr">
        <is>
          <t>196471922245</t>
        </is>
      </c>
      <c r="B111" s="19" t="inlineStr">
        <is>
          <t>https://www.amazon.com/dp/</t>
        </is>
      </c>
      <c r="C111" s="20" t="inlineStr">
        <is>
          <t>B0C2JZ91RZ</t>
        </is>
      </c>
      <c r="D111" s="44" t="n"/>
      <c r="E111" s="23" t="inlineStr">
        <is>
          <t>?th=1&amp;psc=1&amp;tag=sdcdeals03-20</t>
        </is>
      </c>
      <c r="F111" s="19">
        <f>HYPERLINK("https://redirect.sdcdeals.com/redirect?destination=https%3A%2F%2Fwww.amazon.com%2Fdp%2FB0C2JZ91RZ%3Fth%3D1%26psc%3D1%26tag%3Dsdcdeals03-20", "Amazon Link")</f>
        <v/>
      </c>
      <c r="G111" s="19" t="inlineStr">
        <is>
          <t>https://www.jcpenney.com/s?searchTerm={search_term}</t>
        </is>
      </c>
      <c r="H111" s="23" t="inlineStr">
        <is>
          <t>196471922245</t>
        </is>
      </c>
      <c r="I111" s="19">
        <f>HYPERLINK("https://www.jcpenney.com/s?searchTerm=196471922245", "Retail Link")</f>
        <v/>
      </c>
      <c r="J111" s="23" t="inlineStr">
        <is>
          <t>n/a</t>
        </is>
      </c>
      <c r="K111" s="21" t="inlineStr">
        <is>
          <t>adidas Women's Grand Court Alpha Sneaker, Grey/White/Silver Metallic, 9.5</t>
        </is>
      </c>
      <c r="L111" s="24" t="n">
        <v>71.2405</v>
      </c>
      <c r="M111" s="24" t="n">
        <v>69.98999999999999</v>
      </c>
      <c r="N111" s="24" t="n">
        <v>-19.609</v>
      </c>
      <c r="O111" s="24">
        <f>V111-M111</f>
        <v/>
      </c>
      <c r="P111" s="25">
        <f>N111/L111</f>
        <v/>
      </c>
      <c r="Q111" s="23" t="n">
        <v>88789</v>
      </c>
      <c r="R111" s="23" t="n"/>
      <c r="S111" s="26" t="n">
        <v>2.31044176</v>
      </c>
      <c r="T111" s="24" t="n">
        <v>69.98999999999999</v>
      </c>
      <c r="U111" s="24" t="n">
        <v>74.26000000000001</v>
      </c>
      <c r="V111" s="24" t="n">
        <v>69.29000000000001</v>
      </c>
      <c r="W111" s="26" t="inlineStr">
        <is>
          <t>adidas Grand Court Alpha Womens Sneakers</t>
        </is>
      </c>
      <c r="X111" s="23" t="n">
        <v>5</v>
      </c>
      <c r="Y111" s="18">
        <f>AC111-AB111</f>
        <v/>
      </c>
      <c r="Z111" s="27" t="n">
        <v>35</v>
      </c>
      <c r="AA111" s="27" t="n">
        <v>76</v>
      </c>
      <c r="AB111" s="27" t="n">
        <v>8</v>
      </c>
      <c r="AC111" s="27" t="n">
        <v>667</v>
      </c>
      <c r="AD111" s="1" t="inlineStr">
        <is>
          <t>MAX01</t>
        </is>
      </c>
      <c r="AE111" s="1" t="inlineStr">
        <is>
          <t>Grey/White/Silver Metallic</t>
        </is>
      </c>
      <c r="AF111" s="4" t="n">
        <v>10.5</v>
      </c>
      <c r="AG111" s="4" t="n">
        <v>7.86</v>
      </c>
    </row>
    <row r="112" ht="47.25" customHeight="1">
      <c r="A112" s="18" t="inlineStr">
        <is>
          <t>196471922207</t>
        </is>
      </c>
      <c r="B112" s="19" t="inlineStr">
        <is>
          <t>https://www.amazon.com/dp/</t>
        </is>
      </c>
      <c r="C112" s="20" t="inlineStr">
        <is>
          <t>B0C2JY8MFP</t>
        </is>
      </c>
      <c r="D112" s="44" t="n"/>
      <c r="E112" s="23" t="inlineStr">
        <is>
          <t>?th=1&amp;psc=1&amp;tag=sdcdeals03-20</t>
        </is>
      </c>
      <c r="F112" s="19">
        <f>HYPERLINK("https://redirect.sdcdeals.com/redirect?destination=https%3A%2F%2Fwww.amazon.com%2Fdp%2FB0C2JY8MFP%3Fth%3D1%26psc%3D1%26tag%3Dsdcdeals03-20", "Amazon Link")</f>
        <v/>
      </c>
      <c r="G112" s="19" t="inlineStr">
        <is>
          <t>https://www.jcpenney.com/s?searchTerm={search_term}</t>
        </is>
      </c>
      <c r="H112" s="23" t="inlineStr">
        <is>
          <t>196471922207</t>
        </is>
      </c>
      <c r="I112" s="19">
        <f>HYPERLINK("https://www.jcpenney.com/s?searchTerm=196471922207", "Retail Link")</f>
        <v/>
      </c>
      <c r="J112" s="23" t="inlineStr">
        <is>
          <t>n/a</t>
        </is>
      </c>
      <c r="K112" s="21" t="inlineStr">
        <is>
          <t>adidas Women's Grand Court Alpha Sneaker, Grey/White/Silver Metallic, 10</t>
        </is>
      </c>
      <c r="L112" s="24" t="n">
        <v>71.2405</v>
      </c>
      <c r="M112" s="24" t="n">
        <v>69.98999999999999</v>
      </c>
      <c r="N112" s="24" t="n">
        <v>-19.609</v>
      </c>
      <c r="O112" s="24">
        <f>V112-M112</f>
        <v/>
      </c>
      <c r="P112" s="25">
        <f>N112/L112</f>
        <v/>
      </c>
      <c r="Q112" s="23" t="n">
        <v>88789</v>
      </c>
      <c r="R112" s="23" t="n"/>
      <c r="S112" s="26" t="n">
        <v>2.4361051</v>
      </c>
      <c r="T112" s="24" t="n">
        <v>69.94</v>
      </c>
      <c r="U112" s="24" t="n">
        <v>77.47</v>
      </c>
      <c r="V112" s="24" t="n">
        <v>75.37</v>
      </c>
      <c r="W112" s="26" t="inlineStr">
        <is>
          <t>adidas Grand Court Alpha Womens Sneakers</t>
        </is>
      </c>
      <c r="X112" s="23" t="n">
        <v>3</v>
      </c>
      <c r="Y112" s="18">
        <f>AC112-AB112</f>
        <v/>
      </c>
      <c r="Z112" s="27" t="n">
        <v>41</v>
      </c>
      <c r="AA112" s="27" t="n">
        <v>89</v>
      </c>
      <c r="AB112" s="27" t="n">
        <v>2</v>
      </c>
      <c r="AC112" s="27" t="n">
        <v>668</v>
      </c>
      <c r="AD112" s="1" t="inlineStr">
        <is>
          <t>MAX01</t>
        </is>
      </c>
      <c r="AE112" s="1" t="inlineStr">
        <is>
          <t>Grey/White/Silver Metallic</t>
        </is>
      </c>
      <c r="AF112" s="4" t="n">
        <v>10.5</v>
      </c>
      <c r="AG112" s="4" t="n">
        <v>7.86</v>
      </c>
    </row>
    <row r="113" ht="47.25" customHeight="1">
      <c r="A113" s="18" t="inlineStr">
        <is>
          <t>196471922214</t>
        </is>
      </c>
      <c r="B113" s="19" t="inlineStr">
        <is>
          <t>https://www.amazon.com/dp/</t>
        </is>
      </c>
      <c r="C113" s="20" t="inlineStr">
        <is>
          <t>B0C2JZDCHT</t>
        </is>
      </c>
      <c r="D113" s="44" t="n"/>
      <c r="E113" s="23" t="inlineStr">
        <is>
          <t>?th=1&amp;psc=1&amp;tag=sdcdeals03-20</t>
        </is>
      </c>
      <c r="F113" s="19">
        <f>HYPERLINK("https://redirect.sdcdeals.com/redirect?destination=https%3A%2F%2Fwww.amazon.com%2Fdp%2FB0C2JZDCHT%3Fth%3D1%26psc%3D1%26tag%3Dsdcdeals03-20", "Amazon Link")</f>
        <v/>
      </c>
      <c r="G113" s="19" t="inlineStr">
        <is>
          <t>https://www.jcpenney.com/s?searchTerm={search_term}</t>
        </is>
      </c>
      <c r="H113" s="23" t="inlineStr">
        <is>
          <t>196471922214</t>
        </is>
      </c>
      <c r="I113" s="19">
        <f>HYPERLINK("https://www.jcpenney.com/s?searchTerm=196471922214", "Retail Link")</f>
        <v/>
      </c>
      <c r="J113" s="23" t="inlineStr">
        <is>
          <t>n/a</t>
        </is>
      </c>
      <c r="K113" s="21" t="inlineStr">
        <is>
          <t>adidas Women's Grand Court Alpha Sneaker, Grey/White/Silver Metallic, 11</t>
        </is>
      </c>
      <c r="L113" s="24" t="n">
        <v>71.2405</v>
      </c>
      <c r="M113" s="24" t="n">
        <v>71.13</v>
      </c>
      <c r="N113" s="24" t="n">
        <v>-18.8</v>
      </c>
      <c r="O113" s="24">
        <f>V113-M113</f>
        <v/>
      </c>
      <c r="P113" s="25">
        <f>N113/L113</f>
        <v/>
      </c>
      <c r="Q113" s="23" t="n">
        <v>88789</v>
      </c>
      <c r="R113" s="23" t="n"/>
      <c r="S113" s="26" t="n">
        <v>2.5683823</v>
      </c>
      <c r="T113" s="24" t="n">
        <v>69.98999999999999</v>
      </c>
      <c r="U113" s="24" t="n">
        <v>72.09999999999999</v>
      </c>
      <c r="V113" s="24" t="n">
        <v>74.08</v>
      </c>
      <c r="W113" s="26" t="inlineStr">
        <is>
          <t>adidas Grand Court Alpha Womens Sneakers</t>
        </is>
      </c>
      <c r="X113" s="23" t="n">
        <v>4</v>
      </c>
      <c r="Y113" s="18">
        <f>AC113-AB113</f>
        <v/>
      </c>
      <c r="Z113" s="27" t="n">
        <v>31</v>
      </c>
      <c r="AA113" s="27" t="n">
        <v>85</v>
      </c>
      <c r="AB113" s="27" t="n">
        <v>2</v>
      </c>
      <c r="AC113" s="27" t="n">
        <v>668</v>
      </c>
      <c r="AD113" s="1" t="inlineStr">
        <is>
          <t>MAX01</t>
        </is>
      </c>
      <c r="AE113" s="1" t="inlineStr">
        <is>
          <t>Grey/White/Silver Metallic</t>
        </is>
      </c>
      <c r="AF113" s="4" t="n">
        <v>10.67</v>
      </c>
      <c r="AG113" s="4" t="n">
        <v>8.02</v>
      </c>
    </row>
    <row r="114" ht="47.25" customHeight="1">
      <c r="A114" s="18" t="inlineStr">
        <is>
          <t>197609350343</t>
        </is>
      </c>
      <c r="B114" s="19" t="inlineStr">
        <is>
          <t>https://www.amazon.com/dp/</t>
        </is>
      </c>
      <c r="C114" s="20" t="inlineStr">
        <is>
          <t>B0CKMNGKTL</t>
        </is>
      </c>
      <c r="D114" s="44" t="n"/>
      <c r="E114" s="23" t="inlineStr">
        <is>
          <t>?th=1&amp;psc=1&amp;tag=sdcdeals03-20</t>
        </is>
      </c>
      <c r="F114" s="19">
        <f>HYPERLINK("https://redirect.sdcdeals.com/redirect?destination=https%3A%2F%2Fwww.amazon.com%2Fdp%2FB0CKMNGKTL%3Fth%3D1%26psc%3D1%26tag%3Dsdcdeals03-20", "Amazon Link")</f>
        <v/>
      </c>
      <c r="G114" s="19" t="inlineStr">
        <is>
          <t>https://www.jcpenney.com/s?searchTerm={search_term}</t>
        </is>
      </c>
      <c r="H114" s="23" t="inlineStr">
        <is>
          <t>197609350343</t>
        </is>
      </c>
      <c r="I114" s="19">
        <f>HYPERLINK("https://www.jcpenney.com/s?searchTerm=197609350343", "Retail Link")</f>
        <v/>
      </c>
      <c r="J114" s="23" t="inlineStr">
        <is>
          <t>n/a</t>
        </is>
      </c>
      <c r="K114" s="21" t="inlineStr">
        <is>
          <t>adidas Women's Grand Court Alpha 00s Sneaker, Purple Burst/White/Purple Burst, 5</t>
        </is>
      </c>
      <c r="L114" s="24" t="n">
        <v>71.2405</v>
      </c>
      <c r="M114" s="24" t="n">
        <v>79.95</v>
      </c>
      <c r="N114" s="24" t="n">
        <v>-10.903</v>
      </c>
      <c r="O114" s="24">
        <f>V114-M114</f>
        <v/>
      </c>
      <c r="P114" s="25">
        <f>N114/L114</f>
        <v/>
      </c>
      <c r="Q114" s="23" t="n">
        <v>57820</v>
      </c>
      <c r="R114" s="23" t="n"/>
      <c r="S114" s="26" t="n">
        <v>2.0502966</v>
      </c>
      <c r="T114" s="24" t="n">
        <v>79.95</v>
      </c>
      <c r="U114" s="24" t="n">
        <v>79.81</v>
      </c>
      <c r="V114" s="24" t="n">
        <v>81.16</v>
      </c>
      <c r="W114" s="26" t="inlineStr">
        <is>
          <t>adidas Grand Court Alpha Womens Sneakers</t>
        </is>
      </c>
      <c r="X114" s="23" t="n">
        <v>5</v>
      </c>
      <c r="Y114" s="18">
        <f>AC114-AB114</f>
        <v/>
      </c>
      <c r="Z114" s="27" t="n">
        <v>29</v>
      </c>
      <c r="AA114" s="27" t="n">
        <v>96</v>
      </c>
      <c r="AB114" s="27" t="n">
        <v>0</v>
      </c>
      <c r="AC114" s="27" t="n">
        <v>43</v>
      </c>
      <c r="AD114" s="1" t="inlineStr">
        <is>
          <t>NMM60</t>
        </is>
      </c>
      <c r="AE114" s="1" t="inlineStr">
        <is>
          <t>Purple Burst/White/Purple Burst</t>
        </is>
      </c>
      <c r="AF114" s="4" t="n">
        <v>11.99</v>
      </c>
      <c r="AG114" s="4" t="n">
        <v>7.62</v>
      </c>
    </row>
    <row r="115" ht="47.25" customHeight="1">
      <c r="A115" s="18" t="inlineStr">
        <is>
          <t>197609346674</t>
        </is>
      </c>
      <c r="B115" s="19" t="inlineStr">
        <is>
          <t>https://www.amazon.com/dp/</t>
        </is>
      </c>
      <c r="C115" s="20" t="inlineStr">
        <is>
          <t>B0CKMPD7KP</t>
        </is>
      </c>
      <c r="D115" s="44" t="n"/>
      <c r="E115" s="23" t="inlineStr">
        <is>
          <t>?th=1&amp;psc=1&amp;tag=sdcdeals03-20</t>
        </is>
      </c>
      <c r="F115" s="19">
        <f>HYPERLINK("https://redirect.sdcdeals.com/redirect?destination=https%3A%2F%2Fwww.amazon.com%2Fdp%2FB0CKMPD7KP%3Fth%3D1%26psc%3D1%26tag%3Dsdcdeals03-20", "Amazon Link")</f>
        <v/>
      </c>
      <c r="G115" s="19" t="inlineStr">
        <is>
          <t>https://www.jcpenney.com/s?searchTerm={search_term}</t>
        </is>
      </c>
      <c r="H115" s="23" t="inlineStr">
        <is>
          <t>197609346674</t>
        </is>
      </c>
      <c r="I115" s="19">
        <f>HYPERLINK("https://www.jcpenney.com/s?searchTerm=197609346674", "Retail Link")</f>
        <v/>
      </c>
      <c r="J115" s="23" t="inlineStr">
        <is>
          <t>n/a</t>
        </is>
      </c>
      <c r="K115" s="21" t="inlineStr">
        <is>
          <t>adidas Women's Grand Court Alpha 00s Sneaker, Purple Burst/White/Purple Burst, 5.5</t>
        </is>
      </c>
      <c r="L115" s="24" t="n">
        <v>71.2405</v>
      </c>
      <c r="M115" s="24" t="n">
        <v>101.46</v>
      </c>
      <c r="N115" s="24" t="n">
        <v>7.380499999999984</v>
      </c>
      <c r="O115" s="24">
        <f>V115-M115</f>
        <v/>
      </c>
      <c r="P115" s="25">
        <f>N115/L115</f>
        <v/>
      </c>
      <c r="Q115" s="23" t="n">
        <v>52743</v>
      </c>
      <c r="R115" s="23" t="n"/>
      <c r="S115" s="26" t="n">
        <v>2.08997976</v>
      </c>
      <c r="T115" s="24" t="n">
        <v>101.46</v>
      </c>
      <c r="U115" s="24" t="n">
        <v>79.48</v>
      </c>
      <c r="V115" s="24" t="n">
        <v>80.67</v>
      </c>
      <c r="W115" s="26" t="inlineStr">
        <is>
          <t>adidas Grand Court Alpha Womens Sneakers</t>
        </is>
      </c>
      <c r="X115" s="23" t="n">
        <v>5</v>
      </c>
      <c r="Y115" s="18">
        <f>AC115-AB115</f>
        <v/>
      </c>
      <c r="Z115" s="27" t="n">
        <v>39</v>
      </c>
      <c r="AA115" s="27" t="n">
        <v>121</v>
      </c>
      <c r="AB115" s="27" t="n">
        <v>0</v>
      </c>
      <c r="AC115" s="27" t="n">
        <v>43</v>
      </c>
      <c r="AD115" s="1" t="inlineStr">
        <is>
          <t>NMM60</t>
        </is>
      </c>
      <c r="AE115" s="1" t="inlineStr">
        <is>
          <t>Purple Burst/White/Purple Burst</t>
        </is>
      </c>
      <c r="AF115" s="4" t="inlineStr"/>
      <c r="AG115" s="4" t="n">
        <v>7.62</v>
      </c>
    </row>
    <row r="116" ht="47.25" customHeight="1">
      <c r="A116" s="18" t="inlineStr">
        <is>
          <t>197609350336</t>
        </is>
      </c>
      <c r="B116" s="19" t="inlineStr">
        <is>
          <t>https://www.amazon.com/dp/</t>
        </is>
      </c>
      <c r="C116" s="20" t="inlineStr">
        <is>
          <t>B0CKMPD3CX</t>
        </is>
      </c>
      <c r="D116" s="44" t="n"/>
      <c r="E116" s="23" t="inlineStr">
        <is>
          <t>?th=1&amp;psc=1&amp;tag=sdcdeals03-20</t>
        </is>
      </c>
      <c r="F116" s="19">
        <f>HYPERLINK("https://redirect.sdcdeals.com/redirect?destination=https%3A%2F%2Fwww.amazon.com%2Fdp%2FB0CKMPD3CX%3Fth%3D1%26psc%3D1%26tag%3Dsdcdeals03-20", "Amazon Link")</f>
        <v/>
      </c>
      <c r="G116" s="19" t="inlineStr">
        <is>
          <t>https://www.jcpenney.com/s?searchTerm={search_term}</t>
        </is>
      </c>
      <c r="H116" s="23" t="inlineStr">
        <is>
          <t>197609350336</t>
        </is>
      </c>
      <c r="I116" s="19">
        <f>HYPERLINK("https://www.jcpenney.com/s?searchTerm=197609350336", "Retail Link")</f>
        <v/>
      </c>
      <c r="J116" s="23" t="inlineStr">
        <is>
          <t>n/a</t>
        </is>
      </c>
      <c r="K116" s="21" t="inlineStr">
        <is>
          <t>adidas Women's Grand Court Alpha 00s Sneaker, Purple Burst/White/Purple Burst, 6</t>
        </is>
      </c>
      <c r="L116" s="24" t="n">
        <v>71.2405</v>
      </c>
      <c r="M116" s="24" t="n">
        <v>79.95</v>
      </c>
      <c r="N116" s="24" t="n">
        <v>-10.903</v>
      </c>
      <c r="O116" s="24">
        <f>V116-M116</f>
        <v/>
      </c>
      <c r="P116" s="25">
        <f>N116/L116</f>
        <v/>
      </c>
      <c r="Q116" s="23" t="n">
        <v>55574</v>
      </c>
      <c r="R116" s="23" t="n"/>
      <c r="S116" s="26" t="n">
        <v>2.1605276</v>
      </c>
      <c r="T116" s="24" t="n">
        <v>79.95</v>
      </c>
      <c r="U116" s="24" t="n">
        <v>78.18000000000001</v>
      </c>
      <c r="V116" s="24" t="n">
        <v>78.18000000000001</v>
      </c>
      <c r="W116" s="26" t="inlineStr">
        <is>
          <t>adidas Grand Court Alpha Womens Sneakers</t>
        </is>
      </c>
      <c r="X116" s="23" t="n">
        <v>8</v>
      </c>
      <c r="Y116" s="18">
        <f>AC116-AB116</f>
        <v/>
      </c>
      <c r="Z116" s="27" t="n">
        <v>31</v>
      </c>
      <c r="AA116" s="27" t="n">
        <v>99</v>
      </c>
      <c r="AB116" s="27" t="n">
        <v>0</v>
      </c>
      <c r="AC116" s="27" t="n">
        <v>43</v>
      </c>
      <c r="AD116" s="1" t="inlineStr">
        <is>
          <t>NMM60</t>
        </is>
      </c>
      <c r="AE116" s="1" t="inlineStr">
        <is>
          <t>Purple Burst/White/Purple Burst</t>
        </is>
      </c>
      <c r="AF116" s="4" t="n">
        <v>11.99</v>
      </c>
      <c r="AG116" s="4" t="n">
        <v>7.62</v>
      </c>
    </row>
    <row r="117" ht="47.25" customHeight="1">
      <c r="A117" s="18" t="inlineStr">
        <is>
          <t>197609350305</t>
        </is>
      </c>
      <c r="B117" s="19" t="inlineStr">
        <is>
          <t>https://www.amazon.com/dp/</t>
        </is>
      </c>
      <c r="C117" s="20" t="inlineStr">
        <is>
          <t>B0CKMP6LY4</t>
        </is>
      </c>
      <c r="D117" s="44" t="n"/>
      <c r="E117" s="23" t="inlineStr">
        <is>
          <t>?th=1&amp;psc=1&amp;tag=sdcdeals03-20</t>
        </is>
      </c>
      <c r="F117" s="19">
        <f>HYPERLINK("https://redirect.sdcdeals.com/redirect?destination=https%3A%2F%2Fwww.amazon.com%2Fdp%2FB0CKMP6LY4%3Fth%3D1%26psc%3D1%26tag%3Dsdcdeals03-20", "Amazon Link")</f>
        <v/>
      </c>
      <c r="G117" s="19" t="inlineStr">
        <is>
          <t>https://www.jcpenney.com/s?searchTerm={search_term}</t>
        </is>
      </c>
      <c r="H117" s="23" t="inlineStr">
        <is>
          <t>197609350305</t>
        </is>
      </c>
      <c r="I117" s="19">
        <f>HYPERLINK("https://www.jcpenney.com/s?searchTerm=197609350305", "Retail Link")</f>
        <v/>
      </c>
      <c r="J117" s="23" t="inlineStr">
        <is>
          <t>n/a</t>
        </is>
      </c>
      <c r="K117" s="21" t="inlineStr">
        <is>
          <t>adidas Women's Grand Court Alpha 00s Sneaker, Purple Burst/White/Purple Burst, 6.5</t>
        </is>
      </c>
      <c r="L117" s="24" t="n">
        <v>71.2405</v>
      </c>
      <c r="M117" s="24" t="n">
        <v>79.95</v>
      </c>
      <c r="N117" s="24" t="n">
        <v>-10.983</v>
      </c>
      <c r="O117" s="24">
        <f>V117-M117</f>
        <v/>
      </c>
      <c r="P117" s="25">
        <f>N117/L117</f>
        <v/>
      </c>
      <c r="Q117" s="23" t="n">
        <v>55574</v>
      </c>
      <c r="R117" s="23" t="n"/>
      <c r="S117" s="26" t="n">
        <v>2.1605276</v>
      </c>
      <c r="T117" s="24" t="n">
        <v>79.95</v>
      </c>
      <c r="U117" s="24" t="n">
        <v>79.69</v>
      </c>
      <c r="V117" s="24" t="n">
        <v>79.69</v>
      </c>
      <c r="W117" s="26" t="inlineStr">
        <is>
          <t>adidas Grand Court Alpha Womens Sneakers</t>
        </is>
      </c>
      <c r="X117" s="23" t="n">
        <v>8</v>
      </c>
      <c r="Y117" s="18">
        <f>AC117-AB117</f>
        <v/>
      </c>
      <c r="Z117" s="27" t="n">
        <v>30</v>
      </c>
      <c r="AA117" s="27" t="n">
        <v>98</v>
      </c>
      <c r="AB117" s="27" t="n">
        <v>0</v>
      </c>
      <c r="AC117" s="27" t="n">
        <v>43</v>
      </c>
      <c r="AD117" s="1" t="inlineStr">
        <is>
          <t>NMM60</t>
        </is>
      </c>
      <c r="AE117" s="1" t="inlineStr">
        <is>
          <t>Purple Burst/White/Purple Burst</t>
        </is>
      </c>
      <c r="AF117" s="4" t="n">
        <v>11.99</v>
      </c>
      <c r="AG117" s="4" t="n">
        <v>7.7</v>
      </c>
    </row>
    <row r="118" ht="47.25" customHeight="1">
      <c r="A118" s="18" t="inlineStr">
        <is>
          <t>197609346650</t>
        </is>
      </c>
      <c r="B118" s="19" t="inlineStr">
        <is>
          <t>https://www.amazon.com/dp/</t>
        </is>
      </c>
      <c r="C118" s="20" t="inlineStr">
        <is>
          <t>B0CKMMHKN7</t>
        </is>
      </c>
      <c r="D118" s="44" t="n"/>
      <c r="E118" s="23" t="inlineStr">
        <is>
          <t>?th=1&amp;psc=1&amp;tag=sdcdeals03-20</t>
        </is>
      </c>
      <c r="F118" s="19">
        <f>HYPERLINK("https://redirect.sdcdeals.com/redirect?destination=https%3A%2F%2Fwww.amazon.com%2Fdp%2FB0CKMMHKN7%3Fth%3D1%26psc%3D1%26tag%3Dsdcdeals03-20", "Amazon Link")</f>
        <v/>
      </c>
      <c r="G118" s="19" t="inlineStr">
        <is>
          <t>https://www.jcpenney.com/s?searchTerm={search_term}</t>
        </is>
      </c>
      <c r="H118" s="23" t="inlineStr">
        <is>
          <t>197609346650</t>
        </is>
      </c>
      <c r="I118" s="19">
        <f>HYPERLINK("https://www.jcpenney.com/s?searchTerm=197609346650", "Retail Link")</f>
        <v/>
      </c>
      <c r="J118" s="23" t="inlineStr">
        <is>
          <t>n/a</t>
        </is>
      </c>
      <c r="K118" s="21" t="inlineStr">
        <is>
          <t>adidas Women's Grand Court Alpha 00s Sneaker, Purple Burst/White/Purple Burst, 7</t>
        </is>
      </c>
      <c r="L118" s="24" t="n">
        <v>71.2405</v>
      </c>
      <c r="M118" s="24" t="n">
        <v>79.95</v>
      </c>
      <c r="N118" s="24" t="n">
        <v>-10.983</v>
      </c>
      <c r="O118" s="24">
        <f>V118-M118</f>
        <v/>
      </c>
      <c r="P118" s="25">
        <f>N118/L118</f>
        <v/>
      </c>
      <c r="Q118" s="23" t="n">
        <v>55574</v>
      </c>
      <c r="R118" s="23" t="n"/>
      <c r="S118" s="26" t="n">
        <v>2.20021076</v>
      </c>
      <c r="T118" s="24" t="n">
        <v>79.95</v>
      </c>
      <c r="U118" s="24" t="n">
        <v>80.5</v>
      </c>
      <c r="V118" s="24" t="n">
        <v>80.97</v>
      </c>
      <c r="W118" s="26" t="inlineStr">
        <is>
          <t>adidas Grand Court Alpha Womens Sneakers</t>
        </is>
      </c>
      <c r="X118" s="23" t="n">
        <v>6</v>
      </c>
      <c r="Y118" s="18">
        <f>AC118-AB118</f>
        <v/>
      </c>
      <c r="Z118" s="27" t="n">
        <v>35</v>
      </c>
      <c r="AA118" s="27" t="n">
        <v>100</v>
      </c>
      <c r="AB118" s="27" t="n">
        <v>2</v>
      </c>
      <c r="AC118" s="27" t="n">
        <v>43</v>
      </c>
      <c r="AD118" s="1" t="inlineStr">
        <is>
          <t>NMM60</t>
        </is>
      </c>
      <c r="AE118" s="1" t="inlineStr">
        <is>
          <t>Purple Burst/White/Purple Burst</t>
        </is>
      </c>
      <c r="AF118" s="4" t="n">
        <v>11.99</v>
      </c>
      <c r="AG118" s="4" t="n">
        <v>7.7</v>
      </c>
    </row>
    <row r="119" ht="47.25" customHeight="1">
      <c r="A119" s="18" t="inlineStr">
        <is>
          <t>197609350282</t>
        </is>
      </c>
      <c r="B119" s="19" t="inlineStr">
        <is>
          <t>https://www.amazon.com/dp/</t>
        </is>
      </c>
      <c r="C119" s="20" t="inlineStr">
        <is>
          <t>B0CKMQJDK7</t>
        </is>
      </c>
      <c r="D119" s="44" t="n"/>
      <c r="E119" s="23" t="inlineStr">
        <is>
          <t>?th=1&amp;psc=1&amp;tag=sdcdeals03-20</t>
        </is>
      </c>
      <c r="F119" s="19">
        <f>HYPERLINK("https://redirect.sdcdeals.com/redirect?destination=https%3A%2F%2Fwww.amazon.com%2Fdp%2FB0CKMQJDK7%3Fth%3D1%26psc%3D1%26tag%3Dsdcdeals03-20", "Amazon Link")</f>
        <v/>
      </c>
      <c r="G119" s="19" t="inlineStr">
        <is>
          <t>https://www.jcpenney.com/s?searchTerm={search_term}</t>
        </is>
      </c>
      <c r="H119" s="23" t="inlineStr">
        <is>
          <t>197609350282</t>
        </is>
      </c>
      <c r="I119" s="19">
        <f>HYPERLINK("https://www.jcpenney.com/s?searchTerm=197609350282", "Retail Link")</f>
        <v/>
      </c>
      <c r="J119" s="23" t="inlineStr">
        <is>
          <t>n/a</t>
        </is>
      </c>
      <c r="K119" s="21" t="inlineStr">
        <is>
          <t>adidas Women's Grand Court Alpha 00s Sneaker, Purple Burst/White/Purple Burst, 7.5</t>
        </is>
      </c>
      <c r="L119" s="24" t="n">
        <v>71.2405</v>
      </c>
      <c r="M119" s="24" t="n">
        <v>79.95</v>
      </c>
      <c r="N119" s="24" t="n">
        <v>-10.983</v>
      </c>
      <c r="O119" s="24">
        <f>V119-M119</f>
        <v/>
      </c>
      <c r="P119" s="25">
        <f>N119/L119</f>
        <v/>
      </c>
      <c r="Q119" s="23" t="n">
        <v>57820</v>
      </c>
      <c r="R119" s="23" t="n"/>
      <c r="S119" s="26" t="n">
        <v>2.24430316</v>
      </c>
      <c r="T119" s="24" t="n">
        <v>79.95</v>
      </c>
      <c r="U119" s="24" t="n">
        <v>79.09</v>
      </c>
      <c r="V119" s="24" t="n">
        <v>80.25</v>
      </c>
      <c r="W119" s="26" t="inlineStr">
        <is>
          <t>adidas Grand Court Alpha Womens Sneakers</t>
        </is>
      </c>
      <c r="X119" s="23" t="n">
        <v>7</v>
      </c>
      <c r="Y119" s="18">
        <f>AC119-AB119</f>
        <v/>
      </c>
      <c r="Z119" s="27" t="n">
        <v>31</v>
      </c>
      <c r="AA119" s="27" t="n">
        <v>95</v>
      </c>
      <c r="AB119" s="27" t="n">
        <v>0</v>
      </c>
      <c r="AC119" s="27" t="n">
        <v>43</v>
      </c>
      <c r="AD119" s="1" t="inlineStr">
        <is>
          <t>NMM60</t>
        </is>
      </c>
      <c r="AE119" s="1" t="inlineStr">
        <is>
          <t>Purple Burst/White/Purple Burst</t>
        </is>
      </c>
      <c r="AF119" s="4" t="n">
        <v>11.99</v>
      </c>
      <c r="AG119" s="4" t="n">
        <v>7.7</v>
      </c>
    </row>
    <row r="120" ht="47.25" customHeight="1">
      <c r="A120" s="18" t="inlineStr">
        <is>
          <t>197609350367</t>
        </is>
      </c>
      <c r="B120" s="19" t="inlineStr">
        <is>
          <t>https://www.amazon.com/dp/</t>
        </is>
      </c>
      <c r="C120" s="20" t="inlineStr">
        <is>
          <t>B0CKMPD3CY</t>
        </is>
      </c>
      <c r="D120" s="44" t="n"/>
      <c r="E120" s="23" t="inlineStr">
        <is>
          <t>?th=1&amp;psc=1&amp;tag=sdcdeals03-20</t>
        </is>
      </c>
      <c r="F120" s="19">
        <f>HYPERLINK("https://redirect.sdcdeals.com/redirect?destination=https%3A%2F%2Fwww.amazon.com%2Fdp%2FB0CKMPD3CY%3Fth%3D1%26psc%3D1%26tag%3Dsdcdeals03-20", "Amazon Link")</f>
        <v/>
      </c>
      <c r="G120" s="19" t="inlineStr">
        <is>
          <t>https://www.jcpenney.com/s?searchTerm={search_term}</t>
        </is>
      </c>
      <c r="H120" s="23" t="inlineStr">
        <is>
          <t>197609350367</t>
        </is>
      </c>
      <c r="I120" s="19">
        <f>HYPERLINK("https://www.jcpenney.com/s?searchTerm=197609350367", "Retail Link")</f>
        <v/>
      </c>
      <c r="J120" s="23" t="inlineStr">
        <is>
          <t>n/a</t>
        </is>
      </c>
      <c r="K120" s="21" t="inlineStr">
        <is>
          <t>adidas Women's Grand Court Alpha 00s Sneaker, Purple Burst/White/Purple Burst, 8</t>
        </is>
      </c>
      <c r="L120" s="24" t="n">
        <v>71.2405</v>
      </c>
      <c r="M120" s="24" t="n">
        <v>75</v>
      </c>
      <c r="N120" s="24" t="n">
        <v>-15.1905</v>
      </c>
      <c r="O120" s="24">
        <f>V120-M120</f>
        <v/>
      </c>
      <c r="P120" s="25">
        <f>N120/L120</f>
        <v/>
      </c>
      <c r="Q120" s="23" t="n">
        <v>55574</v>
      </c>
      <c r="R120" s="23" t="n"/>
      <c r="S120" s="26" t="n">
        <v>2.4691744</v>
      </c>
      <c r="T120" s="24" t="n">
        <v>75</v>
      </c>
      <c r="U120" s="24" t="n">
        <v>79.12</v>
      </c>
      <c r="V120" s="24" t="n">
        <v>79.91</v>
      </c>
      <c r="W120" s="26" t="inlineStr">
        <is>
          <t>adidas Grand Court Alpha Womens Sneakers</t>
        </is>
      </c>
      <c r="X120" s="23" t="n">
        <v>7</v>
      </c>
      <c r="Y120" s="18">
        <f>AC120-AB120</f>
        <v/>
      </c>
      <c r="Z120" s="27" t="n">
        <v>32</v>
      </c>
      <c r="AA120" s="27" t="n">
        <v>101</v>
      </c>
      <c r="AB120" s="27" t="n">
        <v>1</v>
      </c>
      <c r="AC120" s="27" t="n">
        <v>43</v>
      </c>
      <c r="AD120" s="1" t="inlineStr">
        <is>
          <t>NMM60</t>
        </is>
      </c>
      <c r="AE120" s="1" t="inlineStr">
        <is>
          <t>Purple Burst/White/Purple Burst</t>
        </is>
      </c>
      <c r="AF120" s="4" t="n">
        <v>11.25</v>
      </c>
      <c r="AG120" s="4" t="n">
        <v>7.7</v>
      </c>
    </row>
    <row r="121" ht="47.25" customHeight="1">
      <c r="A121" s="18" t="inlineStr">
        <is>
          <t>197609350374</t>
        </is>
      </c>
      <c r="B121" s="19" t="inlineStr">
        <is>
          <t>https://www.amazon.com/dp/</t>
        </is>
      </c>
      <c r="C121" s="20" t="inlineStr">
        <is>
          <t>B0CKMP822P</t>
        </is>
      </c>
      <c r="D121" s="44" t="n"/>
      <c r="E121" s="23" t="inlineStr">
        <is>
          <t>?th=1&amp;psc=1&amp;tag=sdcdeals03-20</t>
        </is>
      </c>
      <c r="F121" s="19">
        <f>HYPERLINK("https://redirect.sdcdeals.com/redirect?destination=https%3A%2F%2Fwww.amazon.com%2Fdp%2FB0CKMP822P%3Fth%3D1%26psc%3D1%26tag%3Dsdcdeals03-20", "Amazon Link")</f>
        <v/>
      </c>
      <c r="G121" s="19" t="inlineStr">
        <is>
          <t>https://www.jcpenney.com/s?searchTerm={search_term}</t>
        </is>
      </c>
      <c r="H121" s="23" t="inlineStr">
        <is>
          <t>197609350374</t>
        </is>
      </c>
      <c r="I121" s="19">
        <f>HYPERLINK("https://www.jcpenney.com/s?searchTerm=197609350374", "Retail Link")</f>
        <v/>
      </c>
      <c r="J121" s="23" t="inlineStr">
        <is>
          <t>n/a</t>
        </is>
      </c>
      <c r="K121" s="21" t="inlineStr">
        <is>
          <t>adidas Women's Grand Court Alpha 00s Sneaker, Purple Burst/White/Purple Burst, 8.5</t>
        </is>
      </c>
      <c r="L121" s="24" t="n">
        <v>71.2405</v>
      </c>
      <c r="M121" s="24" t="n">
        <v>79.95</v>
      </c>
      <c r="N121" s="24" t="n">
        <v>-10.983</v>
      </c>
      <c r="O121" s="24">
        <f>V121-M121</f>
        <v/>
      </c>
      <c r="P121" s="25">
        <f>N121/L121</f>
        <v/>
      </c>
      <c r="Q121" s="23" t="n">
        <v>57820</v>
      </c>
      <c r="R121" s="23" t="n"/>
      <c r="S121" s="26" t="n">
        <v>2.3589434</v>
      </c>
      <c r="T121" s="24" t="n">
        <v>79.95</v>
      </c>
      <c r="U121" s="24" t="n">
        <v>78.18000000000001</v>
      </c>
      <c r="V121" s="24" t="n">
        <v>79.22</v>
      </c>
      <c r="W121" s="26" t="inlineStr">
        <is>
          <t>adidas Grand Court Alpha Womens Sneakers</t>
        </is>
      </c>
      <c r="X121" s="23" t="n">
        <v>8</v>
      </c>
      <c r="Y121" s="18">
        <f>AC121-AB121</f>
        <v/>
      </c>
      <c r="Z121" s="27" t="n">
        <v>31</v>
      </c>
      <c r="AA121" s="27" t="n">
        <v>97</v>
      </c>
      <c r="AB121" s="27" t="n">
        <v>0</v>
      </c>
      <c r="AC121" s="27" t="n">
        <v>43</v>
      </c>
      <c r="AD121" s="1" t="inlineStr">
        <is>
          <t>NMM60</t>
        </is>
      </c>
      <c r="AE121" s="1" t="inlineStr">
        <is>
          <t>Purple Burst/White/Purple Burst</t>
        </is>
      </c>
      <c r="AF121" s="4" t="n">
        <v>11.99</v>
      </c>
      <c r="AG121" s="4" t="n">
        <v>7.7</v>
      </c>
    </row>
    <row r="122" ht="47.25" customHeight="1">
      <c r="A122" s="18" t="inlineStr">
        <is>
          <t>197609346667</t>
        </is>
      </c>
      <c r="B122" s="19" t="inlineStr">
        <is>
          <t>https://www.amazon.com/dp/</t>
        </is>
      </c>
      <c r="C122" s="20" t="inlineStr">
        <is>
          <t>B0CKMP41ML</t>
        </is>
      </c>
      <c r="D122" s="44" t="n"/>
      <c r="E122" s="23" t="inlineStr">
        <is>
          <t>?th=1&amp;psc=1&amp;tag=sdcdeals03-20</t>
        </is>
      </c>
      <c r="F122" s="19">
        <f>HYPERLINK("https://redirect.sdcdeals.com/redirect?destination=https%3A%2F%2Fwww.amazon.com%2Fdp%2FB0CKMP41ML%3Fth%3D1%26psc%3D1%26tag%3Dsdcdeals03-20", "Amazon Link")</f>
        <v/>
      </c>
      <c r="G122" s="19" t="inlineStr">
        <is>
          <t>https://www.jcpenney.com/s?searchTerm={search_term}</t>
        </is>
      </c>
      <c r="H122" s="23" t="inlineStr">
        <is>
          <t>197609346667</t>
        </is>
      </c>
      <c r="I122" s="19">
        <f>HYPERLINK("https://www.jcpenney.com/s?searchTerm=197609346667", "Retail Link")</f>
        <v/>
      </c>
      <c r="J122" s="23" t="inlineStr">
        <is>
          <t>n/a</t>
        </is>
      </c>
      <c r="K122" s="21" t="inlineStr">
        <is>
          <t>adidas Women's Grand Court Alpha 00s Sneaker, Purple Burst/White/Purple Burst, 9</t>
        </is>
      </c>
      <c r="L122" s="24" t="n">
        <v>71.2405</v>
      </c>
      <c r="M122" s="24" t="n">
        <v>79.95</v>
      </c>
      <c r="N122" s="24" t="n">
        <v>-11.143</v>
      </c>
      <c r="O122" s="24">
        <f>V122-M122</f>
        <v/>
      </c>
      <c r="P122" s="25">
        <f>N122/L122</f>
        <v/>
      </c>
      <c r="Q122" s="23" t="n">
        <v>55574</v>
      </c>
      <c r="R122" s="23" t="n"/>
      <c r="S122" s="26" t="n">
        <v>2.40524042</v>
      </c>
      <c r="T122" s="24" t="n">
        <v>79.95</v>
      </c>
      <c r="U122" s="24" t="n">
        <v>78.56999999999999</v>
      </c>
      <c r="V122" s="24" t="n">
        <v>79.05</v>
      </c>
      <c r="W122" s="26" t="inlineStr">
        <is>
          <t>adidas Grand Court Alpha Womens Sneakers</t>
        </is>
      </c>
      <c r="X122" s="23" t="n">
        <v>7</v>
      </c>
      <c r="Y122" s="18">
        <f>AC122-AB122</f>
        <v/>
      </c>
      <c r="Z122" s="27" t="n">
        <v>37</v>
      </c>
      <c r="AA122" s="27" t="n">
        <v>117</v>
      </c>
      <c r="AB122" s="27" t="n">
        <v>0</v>
      </c>
      <c r="AC122" s="27" t="n">
        <v>43</v>
      </c>
      <c r="AD122" s="1" t="inlineStr">
        <is>
          <t>NMM60</t>
        </is>
      </c>
      <c r="AE122" s="1" t="inlineStr">
        <is>
          <t>Purple Burst/White/Purple Burst</t>
        </is>
      </c>
      <c r="AF122" s="4" t="n">
        <v>11.99</v>
      </c>
      <c r="AG122" s="4" t="n">
        <v>7.86</v>
      </c>
    </row>
    <row r="123" ht="47.25" customHeight="1">
      <c r="A123" s="18" t="inlineStr">
        <is>
          <t>197609350299</t>
        </is>
      </c>
      <c r="B123" s="19" t="inlineStr">
        <is>
          <t>https://www.amazon.com/dp/</t>
        </is>
      </c>
      <c r="C123" s="20" t="inlineStr">
        <is>
          <t>B0CKMR1GS8</t>
        </is>
      </c>
      <c r="D123" s="44" t="n"/>
      <c r="E123" s="23" t="inlineStr">
        <is>
          <t>?th=1&amp;psc=1&amp;tag=sdcdeals03-20</t>
        </is>
      </c>
      <c r="F123" s="19">
        <f>HYPERLINK("https://redirect.sdcdeals.com/redirect?destination=https%3A%2F%2Fwww.amazon.com%2Fdp%2FB0CKMR1GS8%3Fth%3D1%26psc%3D1%26tag%3Dsdcdeals03-20", "Amazon Link")</f>
        <v/>
      </c>
      <c r="G123" s="19" t="inlineStr">
        <is>
          <t>https://www.jcpenney.com/s?searchTerm={search_term}</t>
        </is>
      </c>
      <c r="H123" s="23" t="inlineStr">
        <is>
          <t>197609350299</t>
        </is>
      </c>
      <c r="I123" s="19">
        <f>HYPERLINK("https://www.jcpenney.com/s?searchTerm=197609350299", "Retail Link")</f>
        <v/>
      </c>
      <c r="J123" s="23" t="inlineStr">
        <is>
          <t>n/a</t>
        </is>
      </c>
      <c r="K123" s="21" t="inlineStr">
        <is>
          <t>adidas Women's Grand Court Alpha 00s Sneaker, Purple Burst/White/Purple Burst, 9.5</t>
        </is>
      </c>
      <c r="L123" s="24" t="n">
        <v>71.2405</v>
      </c>
      <c r="M123" s="24" t="n">
        <v>79.95</v>
      </c>
      <c r="N123" s="24" t="n">
        <v>-11.143</v>
      </c>
      <c r="O123" s="24">
        <f>V123-M123</f>
        <v/>
      </c>
      <c r="P123" s="25">
        <f>N123/L123</f>
        <v/>
      </c>
      <c r="Q123" s="23" t="n">
        <v>55574</v>
      </c>
      <c r="R123" s="23" t="n"/>
      <c r="S123" s="26" t="n">
        <v>2.5794054</v>
      </c>
      <c r="T123" s="24" t="n">
        <v>79.90000000000001</v>
      </c>
      <c r="U123" s="24" t="n">
        <v>78.52</v>
      </c>
      <c r="V123" s="24" t="n">
        <v>79.06999999999999</v>
      </c>
      <c r="W123" s="26" t="inlineStr">
        <is>
          <t>adidas Grand Court Alpha Womens Sneakers</t>
        </is>
      </c>
      <c r="X123" s="23" t="n">
        <v>7</v>
      </c>
      <c r="Y123" s="18">
        <f>AC123-AB123</f>
        <v/>
      </c>
      <c r="Z123" s="27" t="n">
        <v>29</v>
      </c>
      <c r="AA123" s="27" t="n">
        <v>94</v>
      </c>
      <c r="AB123" s="27" t="n">
        <v>0</v>
      </c>
      <c r="AC123" s="27" t="n">
        <v>43</v>
      </c>
      <c r="AD123" s="1" t="inlineStr">
        <is>
          <t>NMM60</t>
        </is>
      </c>
      <c r="AE123" s="1" t="inlineStr">
        <is>
          <t>Purple Burst/White/Purple Burst</t>
        </is>
      </c>
      <c r="AF123" s="4" t="n">
        <v>11.99</v>
      </c>
      <c r="AG123" s="4" t="n">
        <v>7.86</v>
      </c>
    </row>
    <row r="124" ht="47.25" customHeight="1">
      <c r="A124" s="18" t="inlineStr">
        <is>
          <t>197609350329</t>
        </is>
      </c>
      <c r="B124" s="19" t="inlineStr">
        <is>
          <t>https://www.amazon.com/dp/</t>
        </is>
      </c>
      <c r="C124" s="20" t="inlineStr">
        <is>
          <t>B0CKMNXHS6</t>
        </is>
      </c>
      <c r="D124" s="44" t="n"/>
      <c r="E124" s="23" t="inlineStr">
        <is>
          <t>?th=1&amp;psc=1&amp;tag=sdcdeals03-20</t>
        </is>
      </c>
      <c r="F124" s="19">
        <f>HYPERLINK("https://redirect.sdcdeals.com/redirect?destination=https%3A%2F%2Fwww.amazon.com%2Fdp%2FB0CKMNXHS6%3Fth%3D1%26psc%3D1%26tag%3Dsdcdeals03-20", "Amazon Link")</f>
        <v/>
      </c>
      <c r="G124" s="19" t="inlineStr">
        <is>
          <t>https://www.jcpenney.com/s?searchTerm={search_term}</t>
        </is>
      </c>
      <c r="H124" s="23" t="inlineStr">
        <is>
          <t>197609350329</t>
        </is>
      </c>
      <c r="I124" s="19">
        <f>HYPERLINK("https://www.jcpenney.com/s?searchTerm=197609350329", "Retail Link")</f>
        <v/>
      </c>
      <c r="J124" s="23" t="inlineStr">
        <is>
          <t>n/a</t>
        </is>
      </c>
      <c r="K124" s="21" t="inlineStr">
        <is>
          <t>adidas Women's Grand Court Alpha 00s Sneaker, Purple Burst/White/Purple Burst, 10</t>
        </is>
      </c>
      <c r="L124" s="24" t="n">
        <v>71.2405</v>
      </c>
      <c r="M124" s="24" t="n">
        <v>79.95</v>
      </c>
      <c r="N124" s="24" t="n">
        <v>-11.143</v>
      </c>
      <c r="O124" s="24">
        <f>V124-M124</f>
        <v/>
      </c>
      <c r="P124" s="25">
        <f>N124/L124</f>
        <v/>
      </c>
      <c r="Q124" s="23" t="n">
        <v>55574</v>
      </c>
      <c r="R124" s="23" t="n"/>
      <c r="S124" s="26" t="n">
        <v>2.45153744</v>
      </c>
      <c r="T124" s="24" t="n">
        <v>79.95</v>
      </c>
      <c r="U124" s="24" t="n">
        <v>78.81999999999999</v>
      </c>
      <c r="V124" s="24" t="n">
        <v>80.04000000000001</v>
      </c>
      <c r="W124" s="26" t="inlineStr">
        <is>
          <t>adidas Grand Court Alpha Womens Sneakers</t>
        </is>
      </c>
      <c r="X124" s="23" t="n">
        <v>5</v>
      </c>
      <c r="Y124" s="18">
        <f>AC124-AB124</f>
        <v/>
      </c>
      <c r="Z124" s="27" t="n">
        <v>27</v>
      </c>
      <c r="AA124" s="27" t="n">
        <v>101</v>
      </c>
      <c r="AB124" s="27" t="n">
        <v>0</v>
      </c>
      <c r="AC124" s="27" t="n">
        <v>36</v>
      </c>
      <c r="AD124" s="1" t="inlineStr">
        <is>
          <t>NMM60</t>
        </is>
      </c>
      <c r="AE124" s="1" t="inlineStr">
        <is>
          <t>Purple Burst/White/Purple Burst</t>
        </is>
      </c>
      <c r="AF124" s="4" t="n">
        <v>11.99</v>
      </c>
      <c r="AG124" s="4" t="n">
        <v>7.86</v>
      </c>
    </row>
    <row r="125" ht="47.25" customHeight="1">
      <c r="A125" s="18" t="inlineStr">
        <is>
          <t>197609350312</t>
        </is>
      </c>
      <c r="B125" s="19" t="inlineStr">
        <is>
          <t>https://www.amazon.com/dp/</t>
        </is>
      </c>
      <c r="C125" s="20" t="inlineStr">
        <is>
          <t>B0CKMPVDJP</t>
        </is>
      </c>
      <c r="D125" s="44" t="n"/>
      <c r="E125" s="23" t="inlineStr">
        <is>
          <t>?th=1&amp;psc=1&amp;tag=sdcdeals03-20</t>
        </is>
      </c>
      <c r="F125" s="19">
        <f>HYPERLINK("https://redirect.sdcdeals.com/redirect?destination=https%3A%2F%2Fwww.amazon.com%2Fdp%2FB0CKMPVDJP%3Fth%3D1%26psc%3D1%26tag%3Dsdcdeals03-20", "Amazon Link")</f>
        <v/>
      </c>
      <c r="G125" s="19" t="inlineStr">
        <is>
          <t>https://www.jcpenney.com/s?searchTerm={search_term}</t>
        </is>
      </c>
      <c r="H125" s="23" t="inlineStr">
        <is>
          <t>197609350312</t>
        </is>
      </c>
      <c r="I125" s="19">
        <f>HYPERLINK("https://www.jcpenney.com/s?searchTerm=197609350312", "Retail Link")</f>
        <v/>
      </c>
      <c r="J125" s="23" t="inlineStr">
        <is>
          <t>n/a</t>
        </is>
      </c>
      <c r="K125" s="21" t="inlineStr">
        <is>
          <t>adidas Women's Grand Court Alpha 00s Sneaker, Purple Burst/White/Purple Burst, 11</t>
        </is>
      </c>
      <c r="L125" s="24" t="n">
        <v>71.2405</v>
      </c>
      <c r="M125" s="24" t="n">
        <v>79.95</v>
      </c>
      <c r="N125" s="24" t="n">
        <v>-11.143</v>
      </c>
      <c r="O125" s="24">
        <f>V125-M125</f>
        <v/>
      </c>
      <c r="P125" s="25">
        <f>N125/L125</f>
        <v/>
      </c>
      <c r="Q125" s="23" t="n">
        <v>55574</v>
      </c>
      <c r="R125" s="23" t="n"/>
      <c r="S125" s="26" t="n">
        <v>2.70947798</v>
      </c>
      <c r="T125" s="24" t="n">
        <v>79.95</v>
      </c>
      <c r="U125" s="24" t="n">
        <v>85.33</v>
      </c>
      <c r="V125" s="24" t="n">
        <v>87.06999999999999</v>
      </c>
      <c r="W125" s="26" t="inlineStr">
        <is>
          <t>adidas Grand Court Alpha Womens Sneakers</t>
        </is>
      </c>
      <c r="X125" s="23" t="n">
        <v>4</v>
      </c>
      <c r="Y125" s="18">
        <f>AC125-AB125</f>
        <v/>
      </c>
      <c r="Z125" s="27" t="n">
        <v>21</v>
      </c>
      <c r="AA125" s="27" t="n">
        <v>74</v>
      </c>
      <c r="AB125" s="27" t="n">
        <v>1</v>
      </c>
      <c r="AC125" s="27" t="n">
        <v>36</v>
      </c>
      <c r="AD125" s="1" t="inlineStr">
        <is>
          <t>NMM60</t>
        </is>
      </c>
      <c r="AE125" s="1" t="inlineStr">
        <is>
          <t>Purple Burst/White/Purple Burst</t>
        </is>
      </c>
      <c r="AF125" s="4" t="n">
        <v>11.99</v>
      </c>
      <c r="AG125" s="4" t="n">
        <v>7.86</v>
      </c>
    </row>
    <row r="126" ht="47.25" customHeight="1">
      <c r="A126" s="18" t="inlineStr">
        <is>
          <t>197609350466</t>
        </is>
      </c>
      <c r="B126" s="19" t="inlineStr">
        <is>
          <t>https://www.amazon.com/dp/</t>
        </is>
      </c>
      <c r="C126" s="20" t="inlineStr">
        <is>
          <t>B0CKMP6T4T</t>
        </is>
      </c>
      <c r="D126" s="44" t="n"/>
      <c r="E126" s="23" t="inlineStr">
        <is>
          <t>?th=1&amp;psc=1&amp;tag=sdcdeals03-20</t>
        </is>
      </c>
      <c r="F126" s="19">
        <f>HYPERLINK("https://redirect.sdcdeals.com/redirect?destination=https%3A%2F%2Fwww.amazon.com%2Fdp%2FB0CKMP6T4T%3Fth%3D1%26psc%3D1%26tag%3Dsdcdeals03-20", "Amazon Link")</f>
        <v/>
      </c>
      <c r="G126" s="19" t="inlineStr">
        <is>
          <t>https://www.jcpenney.com/s?searchTerm={search_term}</t>
        </is>
      </c>
      <c r="H126" s="23" t="inlineStr">
        <is>
          <t>197609350466</t>
        </is>
      </c>
      <c r="I126" s="19">
        <f>HYPERLINK("https://www.jcpenney.com/s?searchTerm=197609350466", "Retail Link")</f>
        <v/>
      </c>
      <c r="J126" s="23" t="inlineStr">
        <is>
          <t>n/a</t>
        </is>
      </c>
      <c r="K126" s="21" t="inlineStr">
        <is>
          <t>adidas Women's Grand Court Alpha 00s Sneaker, Grey/White/Silver Metallic, 5</t>
        </is>
      </c>
      <c r="L126" s="24" t="n">
        <v>71.2405</v>
      </c>
      <c r="M126" s="24" t="inlineStr"/>
      <c r="N126" s="24" t="n"/>
      <c r="O126" s="24">
        <f>V126-M126</f>
        <v/>
      </c>
      <c r="P126" s="25">
        <f>N126/L126</f>
        <v/>
      </c>
      <c r="Q126" s="23" t="n"/>
      <c r="R126" s="23" t="n"/>
      <c r="S126" s="26" t="n">
        <v>2.0502966</v>
      </c>
      <c r="T126" s="24" t="inlineStr"/>
      <c r="U126" s="24" t="inlineStr"/>
      <c r="V126" s="24" t="inlineStr"/>
      <c r="W126" s="26" t="inlineStr">
        <is>
          <t>adidas Grand Court Alpha Womens Sneakers</t>
        </is>
      </c>
      <c r="X126" s="23" t="n"/>
      <c r="Y126" s="18">
        <f>AC126-AB126</f>
        <v/>
      </c>
      <c r="Z126" s="27" t="n">
        <v>2</v>
      </c>
      <c r="AA126" s="27" t="n">
        <v>26</v>
      </c>
      <c r="AB126" s="27" t="n">
        <v>0</v>
      </c>
      <c r="AC126" s="27" t="n">
        <v>36</v>
      </c>
      <c r="AD126" s="1" t="inlineStr">
        <is>
          <t>NMM60</t>
        </is>
      </c>
      <c r="AE126" s="1" t="inlineStr">
        <is>
          <t>Grey/White/Silver Metallic</t>
        </is>
      </c>
      <c r="AF126" s="4" t="inlineStr"/>
      <c r="AG126" s="4" t="n">
        <v>7.62</v>
      </c>
    </row>
    <row r="127" ht="47.25" customHeight="1">
      <c r="A127" s="18" t="inlineStr">
        <is>
          <t>197609350503</t>
        </is>
      </c>
      <c r="B127" s="19" t="inlineStr">
        <is>
          <t>https://www.amazon.com/dp/</t>
        </is>
      </c>
      <c r="C127" s="20" t="inlineStr">
        <is>
          <t>B0CKMRDY4C</t>
        </is>
      </c>
      <c r="D127" s="44" t="n"/>
      <c r="E127" s="23" t="inlineStr">
        <is>
          <t>?th=1&amp;psc=1&amp;tag=sdcdeals03-20</t>
        </is>
      </c>
      <c r="F127" s="19">
        <f>HYPERLINK("https://redirect.sdcdeals.com/redirect?destination=https%3A%2F%2Fwww.amazon.com%2Fdp%2FB0CKMRDY4C%3Fth%3D1%26psc%3D1%26tag%3Dsdcdeals03-20", "Amazon Link")</f>
        <v/>
      </c>
      <c r="G127" s="19" t="inlineStr">
        <is>
          <t>https://www.jcpenney.com/s?searchTerm={search_term}</t>
        </is>
      </c>
      <c r="H127" s="23" t="inlineStr">
        <is>
          <t>197609350503</t>
        </is>
      </c>
      <c r="I127" s="19">
        <f>HYPERLINK("https://www.jcpenney.com/s?searchTerm=197609350503", "Retail Link")</f>
        <v/>
      </c>
      <c r="J127" s="23" t="inlineStr">
        <is>
          <t>n/a</t>
        </is>
      </c>
      <c r="K127" s="21" t="inlineStr">
        <is>
          <t>adidas Women's Grand Court Alpha 00s Sneaker, Grey/White/Silver Metallic, 5.5</t>
        </is>
      </c>
      <c r="L127" s="24" t="n">
        <v>71.2405</v>
      </c>
      <c r="M127" s="24" t="inlineStr"/>
      <c r="N127" s="24" t="n"/>
      <c r="O127" s="24">
        <f>V127-M127</f>
        <v/>
      </c>
      <c r="P127" s="25">
        <f>N127/L127</f>
        <v/>
      </c>
      <c r="Q127" s="23" t="n"/>
      <c r="R127" s="23" t="n"/>
      <c r="S127" s="26" t="n">
        <v>2.08997976</v>
      </c>
      <c r="T127" s="24" t="inlineStr"/>
      <c r="U127" s="24" t="inlineStr"/>
      <c r="V127" s="24" t="inlineStr"/>
      <c r="W127" s="26" t="inlineStr">
        <is>
          <t>adidas Grand Court Alpha Womens Sneakers</t>
        </is>
      </c>
      <c r="X127" s="23" t="n"/>
      <c r="Y127" s="18">
        <f>AC127-AB127</f>
        <v/>
      </c>
      <c r="Z127" s="27" t="n">
        <v>2</v>
      </c>
      <c r="AA127" s="27" t="n">
        <v>25</v>
      </c>
      <c r="AB127" s="27" t="n">
        <v>0</v>
      </c>
      <c r="AC127" s="27" t="n">
        <v>36</v>
      </c>
      <c r="AD127" s="1" t="inlineStr">
        <is>
          <t>NMM60</t>
        </is>
      </c>
      <c r="AE127" s="1" t="inlineStr">
        <is>
          <t>Grey/White/Silver Metallic</t>
        </is>
      </c>
      <c r="AF127" s="4" t="inlineStr"/>
      <c r="AG127" s="4" t="n">
        <v>7.62</v>
      </c>
    </row>
    <row r="128" ht="47.25" customHeight="1">
      <c r="A128" s="18" t="inlineStr">
        <is>
          <t>197609350404</t>
        </is>
      </c>
      <c r="B128" s="19" t="inlineStr">
        <is>
          <t>https://www.amazon.com/dp/</t>
        </is>
      </c>
      <c r="C128" s="20" t="inlineStr">
        <is>
          <t>B0CKMNLJLN</t>
        </is>
      </c>
      <c r="D128" s="44" t="n"/>
      <c r="E128" s="23" t="inlineStr">
        <is>
          <t>?th=1&amp;psc=1&amp;tag=sdcdeals03-20</t>
        </is>
      </c>
      <c r="F128" s="19">
        <f>HYPERLINK("https://redirect.sdcdeals.com/redirect?destination=https%3A%2F%2Fwww.amazon.com%2Fdp%2FB0CKMNLJLN%3Fth%3D1%26psc%3D1%26tag%3Dsdcdeals03-20", "Amazon Link")</f>
        <v/>
      </c>
      <c r="G128" s="19" t="inlineStr">
        <is>
          <t>https://www.jcpenney.com/s?searchTerm={search_term}</t>
        </is>
      </c>
      <c r="H128" s="23" t="inlineStr">
        <is>
          <t>197609350404</t>
        </is>
      </c>
      <c r="I128" s="19">
        <f>HYPERLINK("https://www.jcpenney.com/s?searchTerm=197609350404", "Retail Link")</f>
        <v/>
      </c>
      <c r="J128" s="23" t="inlineStr">
        <is>
          <t>n/a</t>
        </is>
      </c>
      <c r="K128" s="21" t="inlineStr">
        <is>
          <t>adidas Women's Grand Court Alpha 00s Sneaker, Grey/White/Silver Metallic, 6</t>
        </is>
      </c>
      <c r="L128" s="24" t="n">
        <v>71.2405</v>
      </c>
      <c r="M128" s="24" t="n">
        <v>88.95</v>
      </c>
      <c r="N128" s="24" t="n">
        <v>-3.253</v>
      </c>
      <c r="O128" s="24">
        <f>V128-M128</f>
        <v/>
      </c>
      <c r="P128" s="25">
        <f>N128/L128</f>
        <v/>
      </c>
      <c r="Q128" s="23" t="n">
        <v>55574</v>
      </c>
      <c r="R128" s="23" t="n"/>
      <c r="S128" s="26" t="n">
        <v>2.1605276</v>
      </c>
      <c r="T128" s="24" t="n">
        <v>88.95</v>
      </c>
      <c r="U128" s="24" t="n">
        <v>88.95</v>
      </c>
      <c r="V128" s="24" t="n">
        <v>88.95</v>
      </c>
      <c r="W128" s="26" t="inlineStr">
        <is>
          <t>adidas Grand Court Alpha Womens Sneakers</t>
        </is>
      </c>
      <c r="X128" s="23" t="n">
        <v>1</v>
      </c>
      <c r="Y128" s="18">
        <f>AC128-AB128</f>
        <v/>
      </c>
      <c r="Z128" s="27" t="n">
        <v>4</v>
      </c>
      <c r="AA128" s="27" t="n">
        <v>29</v>
      </c>
      <c r="AB128" s="27" t="n">
        <v>0</v>
      </c>
      <c r="AC128" s="27" t="n">
        <v>40</v>
      </c>
      <c r="AD128" s="1" t="inlineStr">
        <is>
          <t>NMM60</t>
        </is>
      </c>
      <c r="AE128" s="1" t="inlineStr">
        <is>
          <t>Grey/White/Silver Metallic</t>
        </is>
      </c>
      <c r="AF128" s="4" t="n">
        <v>13.34</v>
      </c>
      <c r="AG128" s="4" t="n">
        <v>7.62</v>
      </c>
    </row>
    <row r="129" ht="47.25" customHeight="1">
      <c r="A129" s="18" t="inlineStr">
        <is>
          <t>197609350442</t>
        </is>
      </c>
      <c r="B129" s="19" t="inlineStr">
        <is>
          <t>https://www.amazon.com/dp/</t>
        </is>
      </c>
      <c r="C129" s="20" t="inlineStr">
        <is>
          <t>B0CKMPD2SM</t>
        </is>
      </c>
      <c r="D129" s="44" t="n"/>
      <c r="E129" s="23" t="inlineStr">
        <is>
          <t>?th=1&amp;psc=1&amp;tag=sdcdeals03-20</t>
        </is>
      </c>
      <c r="F129" s="19">
        <f>HYPERLINK("https://redirect.sdcdeals.com/redirect?destination=https%3A%2F%2Fwww.amazon.com%2Fdp%2FB0CKMPD2SM%3Fth%3D1%26psc%3D1%26tag%3Dsdcdeals03-20", "Amazon Link")</f>
        <v/>
      </c>
      <c r="G129" s="19" t="inlineStr">
        <is>
          <t>https://www.jcpenney.com/s?searchTerm={search_term}</t>
        </is>
      </c>
      <c r="H129" s="23" t="inlineStr">
        <is>
          <t>197609350442</t>
        </is>
      </c>
      <c r="I129" s="19">
        <f>HYPERLINK("https://www.jcpenney.com/s?searchTerm=197609350442", "Retail Link")</f>
        <v/>
      </c>
      <c r="J129" s="23" t="inlineStr">
        <is>
          <t>n/a</t>
        </is>
      </c>
      <c r="K129" s="21" t="inlineStr">
        <is>
          <t>adidas Women's Grand Court Alpha 00s Sneaker, Grey/White/Silver Metallic, 6.5</t>
        </is>
      </c>
      <c r="L129" s="24" t="n">
        <v>71.2405</v>
      </c>
      <c r="M129" s="24" t="n">
        <v>79.95</v>
      </c>
      <c r="N129" s="24" t="n">
        <v>-10.983</v>
      </c>
      <c r="O129" s="24">
        <f>V129-M129</f>
        <v/>
      </c>
      <c r="P129" s="25">
        <f>N129/L129</f>
        <v/>
      </c>
      <c r="Q129" s="23" t="n">
        <v>52743</v>
      </c>
      <c r="R129" s="23" t="n"/>
      <c r="S129" s="26" t="n">
        <v>2.1605276</v>
      </c>
      <c r="T129" s="24" t="n">
        <v>79.95</v>
      </c>
      <c r="U129" s="24" t="n">
        <v>88.45999999999999</v>
      </c>
      <c r="V129" s="24" t="n">
        <v>88.45999999999999</v>
      </c>
      <c r="W129" s="26" t="inlineStr">
        <is>
          <t>adidas Grand Court Alpha Womens Sneakers</t>
        </is>
      </c>
      <c r="X129" s="23" t="n">
        <v>1</v>
      </c>
      <c r="Y129" s="18">
        <f>AC129-AB129</f>
        <v/>
      </c>
      <c r="Z129" s="27" t="n">
        <v>16</v>
      </c>
      <c r="AA129" s="27" t="n">
        <v>40</v>
      </c>
      <c r="AB129" s="27" t="n">
        <v>0</v>
      </c>
      <c r="AC129" s="27" t="n">
        <v>36</v>
      </c>
      <c r="AD129" s="1" t="inlineStr">
        <is>
          <t>NMM60</t>
        </is>
      </c>
      <c r="AE129" s="1" t="inlineStr">
        <is>
          <t>Grey/White/Silver Metallic</t>
        </is>
      </c>
      <c r="AF129" s="4" t="n">
        <v>11.99</v>
      </c>
      <c r="AG129" s="4" t="n">
        <v>7.7</v>
      </c>
    </row>
    <row r="130" ht="47.25" customHeight="1">
      <c r="A130" s="18" t="inlineStr">
        <is>
          <t>197609350473</t>
        </is>
      </c>
      <c r="B130" s="19" t="inlineStr">
        <is>
          <t>https://www.amazon.com/dp/</t>
        </is>
      </c>
      <c r="C130" s="20" t="inlineStr">
        <is>
          <t>B0CKMNZSTW</t>
        </is>
      </c>
      <c r="D130" s="44" t="n"/>
      <c r="E130" s="23" t="inlineStr">
        <is>
          <t>?th=1&amp;psc=1&amp;tag=sdcdeals03-20</t>
        </is>
      </c>
      <c r="F130" s="19">
        <f>HYPERLINK("https://redirect.sdcdeals.com/redirect?destination=https%3A%2F%2Fwww.amazon.com%2Fdp%2FB0CKMNZSTW%3Fth%3D1%26psc%3D1%26tag%3Dsdcdeals03-20", "Amazon Link")</f>
        <v/>
      </c>
      <c r="G130" s="19" t="inlineStr">
        <is>
          <t>https://www.jcpenney.com/s?searchTerm={search_term}</t>
        </is>
      </c>
      <c r="H130" s="23" t="inlineStr">
        <is>
          <t>197609350473</t>
        </is>
      </c>
      <c r="I130" s="19">
        <f>HYPERLINK("https://www.jcpenney.com/s?searchTerm=197609350473", "Retail Link")</f>
        <v/>
      </c>
      <c r="J130" s="23" t="inlineStr">
        <is>
          <t>n/a</t>
        </is>
      </c>
      <c r="K130" s="21" t="inlineStr">
        <is>
          <t>adidas Women's Grand Court Alpha 00s Sneaker, Grey/White/Silver Metallic, 7</t>
        </is>
      </c>
      <c r="L130" s="24" t="n">
        <v>71.2405</v>
      </c>
      <c r="M130" s="24" t="n">
        <v>79.95</v>
      </c>
      <c r="N130" s="24" t="n">
        <v>-10.983</v>
      </c>
      <c r="O130" s="24">
        <f>V130-M130</f>
        <v/>
      </c>
      <c r="P130" s="25">
        <f>N130/L130</f>
        <v/>
      </c>
      <c r="Q130" s="23" t="n">
        <v>55574</v>
      </c>
      <c r="R130" s="23" t="n"/>
      <c r="S130" s="26" t="n">
        <v>2.25091702</v>
      </c>
      <c r="T130" s="24" t="n">
        <v>79.95</v>
      </c>
      <c r="U130" s="24" t="n">
        <v>79.95</v>
      </c>
      <c r="V130" s="24" t="n">
        <v>79.95</v>
      </c>
      <c r="W130" s="26" t="inlineStr">
        <is>
          <t>adidas Grand Court Alpha Womens Sneakers</t>
        </is>
      </c>
      <c r="X130" s="23" t="n">
        <v>1</v>
      </c>
      <c r="Y130" s="18">
        <f>AC130-AB130</f>
        <v/>
      </c>
      <c r="Z130" s="27" t="n">
        <v>14</v>
      </c>
      <c r="AA130" s="27" t="n">
        <v>40</v>
      </c>
      <c r="AB130" s="27" t="n">
        <v>0</v>
      </c>
      <c r="AC130" s="27" t="n">
        <v>36</v>
      </c>
      <c r="AD130" s="1" t="inlineStr">
        <is>
          <t>NMM60</t>
        </is>
      </c>
      <c r="AE130" s="1" t="inlineStr">
        <is>
          <t>Grey/White/Silver Metallic</t>
        </is>
      </c>
      <c r="AF130" s="4" t="n">
        <v>11.99</v>
      </c>
      <c r="AG130" s="4" t="n">
        <v>7.7</v>
      </c>
    </row>
    <row r="131" ht="47.25" customHeight="1">
      <c r="A131" s="18" t="inlineStr">
        <is>
          <t>197609350435</t>
        </is>
      </c>
      <c r="B131" s="19" t="inlineStr">
        <is>
          <t>https://www.amazon.com/dp/</t>
        </is>
      </c>
      <c r="C131" s="20" t="inlineStr">
        <is>
          <t>B0CKMNJMN7</t>
        </is>
      </c>
      <c r="D131" s="44" t="n"/>
      <c r="E131" s="23" t="inlineStr">
        <is>
          <t>?th=1&amp;psc=1&amp;tag=sdcdeals03-20</t>
        </is>
      </c>
      <c r="F131" s="19">
        <f>HYPERLINK("https://redirect.sdcdeals.com/redirect?destination=https%3A%2F%2Fwww.amazon.com%2Fdp%2FB0CKMNJMN7%3Fth%3D1%26psc%3D1%26tag%3Dsdcdeals03-20", "Amazon Link")</f>
        <v/>
      </c>
      <c r="G131" s="19" t="inlineStr">
        <is>
          <t>https://www.jcpenney.com/s?searchTerm={search_term}</t>
        </is>
      </c>
      <c r="H131" s="23" t="inlineStr">
        <is>
          <t>197609350435</t>
        </is>
      </c>
      <c r="I131" s="19">
        <f>HYPERLINK("https://www.jcpenney.com/s?searchTerm=197609350435", "Retail Link")</f>
        <v/>
      </c>
      <c r="J131" s="23" t="inlineStr">
        <is>
          <t>n/a</t>
        </is>
      </c>
      <c r="K131" s="21" t="inlineStr">
        <is>
          <t>adidas Women's Grand Court Alpha 00s Sneaker, Grey/White/Silver Metallic, 7.5</t>
        </is>
      </c>
      <c r="L131" s="24" t="n">
        <v>71.2405</v>
      </c>
      <c r="M131" s="24" t="n">
        <v>79.95</v>
      </c>
      <c r="N131" s="24" t="n">
        <v>-10.983</v>
      </c>
      <c r="O131" s="24">
        <f>V131-M131</f>
        <v/>
      </c>
      <c r="P131" s="25">
        <f>N131/L131</f>
        <v/>
      </c>
      <c r="Q131" s="23" t="n">
        <v>52743</v>
      </c>
      <c r="R131" s="23" t="n"/>
      <c r="S131" s="26" t="n">
        <v>2.1605276</v>
      </c>
      <c r="T131" s="24" t="n">
        <v>79.95</v>
      </c>
      <c r="U131" s="24" t="n">
        <v>79.95</v>
      </c>
      <c r="V131" s="24" t="n">
        <v>79.95</v>
      </c>
      <c r="W131" s="26" t="inlineStr">
        <is>
          <t>adidas Grand Court Alpha Womens Sneakers</t>
        </is>
      </c>
      <c r="X131" s="23" t="n">
        <v>1</v>
      </c>
      <c r="Y131" s="18">
        <f>AC131-AB131</f>
        <v/>
      </c>
      <c r="Z131" s="27" t="n">
        <v>15</v>
      </c>
      <c r="AA131" s="27" t="n">
        <v>38</v>
      </c>
      <c r="AB131" s="27" t="n">
        <v>0</v>
      </c>
      <c r="AC131" s="27" t="n">
        <v>36</v>
      </c>
      <c r="AD131" s="1" t="inlineStr">
        <is>
          <t>NMM60</t>
        </is>
      </c>
      <c r="AE131" s="1" t="inlineStr">
        <is>
          <t>Grey/White/Silver Metallic</t>
        </is>
      </c>
      <c r="AF131" s="4" t="n">
        <v>11.99</v>
      </c>
      <c r="AG131" s="4" t="n">
        <v>7.7</v>
      </c>
    </row>
    <row r="132" ht="47.25" customHeight="1">
      <c r="A132" s="18" t="inlineStr">
        <is>
          <t>197609350381</t>
        </is>
      </c>
      <c r="B132" s="19" t="inlineStr">
        <is>
          <t>https://www.amazon.com/dp/</t>
        </is>
      </c>
      <c r="C132" s="20" t="inlineStr">
        <is>
          <t>B0CKMPDT85</t>
        </is>
      </c>
      <c r="D132" s="44" t="n"/>
      <c r="E132" s="23" t="inlineStr">
        <is>
          <t>?th=1&amp;psc=1&amp;tag=sdcdeals03-20</t>
        </is>
      </c>
      <c r="F132" s="19">
        <f>HYPERLINK("https://redirect.sdcdeals.com/redirect?destination=https%3A%2F%2Fwww.amazon.com%2Fdp%2FB0CKMPDT85%3Fth%3D1%26psc%3D1%26tag%3Dsdcdeals03-20", "Amazon Link")</f>
        <v/>
      </c>
      <c r="G132" s="19" t="inlineStr">
        <is>
          <t>https://www.jcpenney.com/s?searchTerm={search_term}</t>
        </is>
      </c>
      <c r="H132" s="23" t="inlineStr">
        <is>
          <t>197609350381</t>
        </is>
      </c>
      <c r="I132" s="19">
        <f>HYPERLINK("https://www.jcpenney.com/s?searchTerm=197609350381", "Retail Link")</f>
        <v/>
      </c>
      <c r="J132" s="23" t="inlineStr">
        <is>
          <t>n/a</t>
        </is>
      </c>
      <c r="K132" s="21" t="inlineStr">
        <is>
          <t>adidas Women's Grand Court Alpha 00s Sneaker, Grey/White/Silver Metallic, 8</t>
        </is>
      </c>
      <c r="L132" s="24" t="n">
        <v>71.2405</v>
      </c>
      <c r="M132" s="24" t="n">
        <v>79.95</v>
      </c>
      <c r="N132" s="24" t="n">
        <v>-10.983</v>
      </c>
      <c r="O132" s="24">
        <f>V132-M132</f>
        <v/>
      </c>
      <c r="P132" s="25">
        <f>N132/L132</f>
        <v/>
      </c>
      <c r="Q132" s="23" t="n">
        <v>55574</v>
      </c>
      <c r="R132" s="23" t="n"/>
      <c r="S132" s="26" t="n">
        <v>2.4691744</v>
      </c>
      <c r="T132" s="24" t="n">
        <v>79.95</v>
      </c>
      <c r="U132" s="24" t="n">
        <v>79.95</v>
      </c>
      <c r="V132" s="24" t="n">
        <v>79.95</v>
      </c>
      <c r="W132" s="26" t="inlineStr">
        <is>
          <t>adidas Grand Court Alpha Womens Sneakers</t>
        </is>
      </c>
      <c r="X132" s="23" t="n">
        <v>1</v>
      </c>
      <c r="Y132" s="18">
        <f>AC132-AB132</f>
        <v/>
      </c>
      <c r="Z132" s="27" t="n">
        <v>13</v>
      </c>
      <c r="AA132" s="27" t="n">
        <v>45</v>
      </c>
      <c r="AB132" s="27" t="n">
        <v>0</v>
      </c>
      <c r="AC132" s="27" t="n">
        <v>41</v>
      </c>
      <c r="AD132" s="1" t="inlineStr">
        <is>
          <t>NMM60</t>
        </is>
      </c>
      <c r="AE132" s="1" t="inlineStr">
        <is>
          <t>Grey/White/Silver Metallic</t>
        </is>
      </c>
      <c r="AF132" s="4" t="n">
        <v>11.99</v>
      </c>
      <c r="AG132" s="4" t="n">
        <v>7.7</v>
      </c>
    </row>
    <row r="133" ht="47.25" customHeight="1">
      <c r="A133" s="18" t="inlineStr">
        <is>
          <t>197609350398</t>
        </is>
      </c>
      <c r="B133" s="19" t="inlineStr">
        <is>
          <t>https://www.amazon.com/dp/</t>
        </is>
      </c>
      <c r="C133" s="20" t="inlineStr">
        <is>
          <t>B0CKMPV788</t>
        </is>
      </c>
      <c r="D133" s="44" t="n"/>
      <c r="E133" s="23" t="inlineStr">
        <is>
          <t>?th=1&amp;psc=1&amp;tag=sdcdeals03-20</t>
        </is>
      </c>
      <c r="F133" s="19">
        <f>HYPERLINK("https://redirect.sdcdeals.com/redirect?destination=https%3A%2F%2Fwww.amazon.com%2Fdp%2FB0CKMPV788%3Fth%3D1%26psc%3D1%26tag%3Dsdcdeals03-20", "Amazon Link")</f>
        <v/>
      </c>
      <c r="G133" s="19" t="inlineStr">
        <is>
          <t>https://www.jcpenney.com/s?searchTerm={search_term}</t>
        </is>
      </c>
      <c r="H133" s="23" t="inlineStr">
        <is>
          <t>197609350398</t>
        </is>
      </c>
      <c r="I133" s="19">
        <f>HYPERLINK("https://www.jcpenney.com/s?searchTerm=197609350398", "Retail Link")</f>
        <v/>
      </c>
      <c r="J133" s="23" t="inlineStr">
        <is>
          <t>n/a</t>
        </is>
      </c>
      <c r="K133" s="21" t="inlineStr">
        <is>
          <t>adidas Women's Grand Court Alpha 00s Sneaker, Grey/White/Silver Metallic, 8.5</t>
        </is>
      </c>
      <c r="L133" s="24" t="n">
        <v>71.2405</v>
      </c>
      <c r="M133" s="24" t="n">
        <v>79.95</v>
      </c>
      <c r="N133" s="24" t="n">
        <v>-10.983</v>
      </c>
      <c r="O133" s="24">
        <f>V133-M133</f>
        <v/>
      </c>
      <c r="P133" s="25">
        <f>N133/L133</f>
        <v/>
      </c>
      <c r="Q133" s="23" t="n">
        <v>55574</v>
      </c>
      <c r="R133" s="23" t="n"/>
      <c r="S133" s="26" t="n">
        <v>2.3589434</v>
      </c>
      <c r="T133" s="24" t="n">
        <v>79.95</v>
      </c>
      <c r="U133" s="24" t="n">
        <v>79.95</v>
      </c>
      <c r="V133" s="24" t="n">
        <v>79.95</v>
      </c>
      <c r="W133" s="26" t="inlineStr">
        <is>
          <t>adidas Grand Court Alpha Womens Sneakers</t>
        </is>
      </c>
      <c r="X133" s="23" t="n">
        <v>1</v>
      </c>
      <c r="Y133" s="18">
        <f>AC133-AB133</f>
        <v/>
      </c>
      <c r="Z133" s="27" t="n">
        <v>14</v>
      </c>
      <c r="AA133" s="27" t="n">
        <v>42</v>
      </c>
      <c r="AB133" s="27" t="n">
        <v>0</v>
      </c>
      <c r="AC133" s="27" t="n">
        <v>43</v>
      </c>
      <c r="AD133" s="1" t="inlineStr">
        <is>
          <t>NMM60</t>
        </is>
      </c>
      <c r="AE133" s="1" t="inlineStr">
        <is>
          <t>Grey/White/Silver Metallic</t>
        </is>
      </c>
      <c r="AF133" s="4" t="n">
        <v>11.99</v>
      </c>
      <c r="AG133" s="4" t="n">
        <v>7.7</v>
      </c>
    </row>
    <row r="134" ht="47.25" customHeight="1">
      <c r="A134" s="18" t="inlineStr">
        <is>
          <t>197609350497</t>
        </is>
      </c>
      <c r="B134" s="19" t="inlineStr">
        <is>
          <t>https://www.amazon.com/dp/</t>
        </is>
      </c>
      <c r="C134" s="20" t="inlineStr">
        <is>
          <t>B0CKMQJVRQ</t>
        </is>
      </c>
      <c r="D134" s="44" t="n"/>
      <c r="E134" s="23" t="inlineStr">
        <is>
          <t>?th=1&amp;psc=1&amp;tag=sdcdeals03-20</t>
        </is>
      </c>
      <c r="F134" s="19">
        <f>HYPERLINK("https://redirect.sdcdeals.com/redirect?destination=https%3A%2F%2Fwww.amazon.com%2Fdp%2FB0CKMQJVRQ%3Fth%3D1%26psc%3D1%26tag%3Dsdcdeals03-20", "Amazon Link")</f>
        <v/>
      </c>
      <c r="G134" s="19" t="inlineStr">
        <is>
          <t>https://www.jcpenney.com/s?searchTerm={search_term}</t>
        </is>
      </c>
      <c r="H134" s="23" t="inlineStr">
        <is>
          <t>197609350497</t>
        </is>
      </c>
      <c r="I134" s="19">
        <f>HYPERLINK("https://www.jcpenney.com/s?searchTerm=197609350497", "Retail Link")</f>
        <v/>
      </c>
      <c r="J134" s="23" t="inlineStr">
        <is>
          <t>n/a</t>
        </is>
      </c>
      <c r="K134" s="21" t="inlineStr">
        <is>
          <t>adidas Women's Grand Court Alpha 00s Sneaker, Grey/White/Silver Metallic, 9</t>
        </is>
      </c>
      <c r="L134" s="24" t="n">
        <v>71.2405</v>
      </c>
      <c r="M134" s="24" t="n">
        <v>88.95</v>
      </c>
      <c r="N134" s="24" t="n">
        <v>-3.492999999999995</v>
      </c>
      <c r="O134" s="24">
        <f>V134-M134</f>
        <v/>
      </c>
      <c r="P134" s="25">
        <f>N134/L134</f>
        <v/>
      </c>
      <c r="Q134" s="23" t="n">
        <v>1467547</v>
      </c>
      <c r="R134" s="23" t="n"/>
      <c r="S134" s="26" t="n">
        <v>2.55956382</v>
      </c>
      <c r="T134" s="24" t="n">
        <v>88.95</v>
      </c>
      <c r="U134" s="24" t="n">
        <v>88.95</v>
      </c>
      <c r="V134" s="24" t="n">
        <v>88.95</v>
      </c>
      <c r="W134" s="26" t="inlineStr">
        <is>
          <t>adidas Grand Court Alpha Womens Sneakers</t>
        </is>
      </c>
      <c r="X134" s="23" t="n">
        <v>1</v>
      </c>
      <c r="Y134" s="18">
        <f>AC134-AB134</f>
        <v/>
      </c>
      <c r="Z134" s="27" t="n">
        <v>0</v>
      </c>
      <c r="AA134" s="27" t="n">
        <v>12</v>
      </c>
      <c r="AB134" s="27" t="n">
        <v>0</v>
      </c>
      <c r="AC134" s="27" t="n"/>
      <c r="AD134" s="1" t="inlineStr">
        <is>
          <t>NMM60</t>
        </is>
      </c>
      <c r="AE134" s="1" t="inlineStr">
        <is>
          <t>Grey/White/Silver Metallic</t>
        </is>
      </c>
      <c r="AF134" s="4" t="n">
        <v>13.34</v>
      </c>
      <c r="AG134" s="4" t="n">
        <v>7.86</v>
      </c>
    </row>
    <row r="135" ht="47.25" customHeight="1">
      <c r="A135" s="18" t="inlineStr">
        <is>
          <t>197609350411</t>
        </is>
      </c>
      <c r="B135" s="19" t="inlineStr">
        <is>
          <t>https://www.amazon.com/dp/</t>
        </is>
      </c>
      <c r="C135" s="20" t="inlineStr">
        <is>
          <t>B0CKMMJKYN</t>
        </is>
      </c>
      <c r="D135" s="44" t="n"/>
      <c r="E135" s="23" t="inlineStr">
        <is>
          <t>?th=1&amp;psc=1&amp;tag=sdcdeals03-20</t>
        </is>
      </c>
      <c r="F135" s="19">
        <f>HYPERLINK("https://redirect.sdcdeals.com/redirect?destination=https%3A%2F%2Fwww.amazon.com%2Fdp%2FB0CKMMJKYN%3Fth%3D1%26psc%3D1%26tag%3Dsdcdeals03-20", "Amazon Link")</f>
        <v/>
      </c>
      <c r="G135" s="19" t="inlineStr">
        <is>
          <t>https://www.jcpenney.com/s?searchTerm={search_term}</t>
        </is>
      </c>
      <c r="H135" s="23" t="inlineStr">
        <is>
          <t>197609350411</t>
        </is>
      </c>
      <c r="I135" s="19">
        <f>HYPERLINK("https://www.jcpenney.com/s?searchTerm=197609350411", "Retail Link")</f>
        <v/>
      </c>
      <c r="J135" s="23" t="inlineStr">
        <is>
          <t>n/a</t>
        </is>
      </c>
      <c r="K135" s="21" t="inlineStr">
        <is>
          <t>adidas Women's Grand Court Alpha 00s Sneaker, Grey/White/Silver Metallic, 9.5</t>
        </is>
      </c>
      <c r="L135" s="24" t="n">
        <v>71.2405</v>
      </c>
      <c r="M135" s="24" t="n">
        <v>79.95</v>
      </c>
      <c r="N135" s="24" t="n">
        <v>-11.143</v>
      </c>
      <c r="O135" s="24">
        <f>V135-M135</f>
        <v/>
      </c>
      <c r="P135" s="25">
        <f>N135/L135</f>
        <v/>
      </c>
      <c r="Q135" s="23" t="n">
        <v>57820</v>
      </c>
      <c r="R135" s="23" t="n"/>
      <c r="S135" s="26" t="n">
        <v>2.5794054</v>
      </c>
      <c r="T135" s="24" t="n">
        <v>79.95</v>
      </c>
      <c r="U135" s="24" t="n">
        <v>98.69</v>
      </c>
      <c r="V135" s="24" t="n">
        <v>98.69</v>
      </c>
      <c r="W135" s="26" t="inlineStr">
        <is>
          <t>adidas Grand Court Alpha Womens Sneakers</t>
        </is>
      </c>
      <c r="X135" s="23" t="n">
        <v>1</v>
      </c>
      <c r="Y135" s="18">
        <f>AC135-AB135</f>
        <v/>
      </c>
      <c r="Z135" s="27" t="n">
        <v>15</v>
      </c>
      <c r="AA135" s="27" t="n">
        <v>40</v>
      </c>
      <c r="AB135" s="27" t="n">
        <v>0</v>
      </c>
      <c r="AC135" s="27" t="n">
        <v>40</v>
      </c>
      <c r="AD135" s="1" t="inlineStr">
        <is>
          <t>NMM60</t>
        </is>
      </c>
      <c r="AE135" s="1" t="inlineStr">
        <is>
          <t>Grey/White/Silver Metallic</t>
        </is>
      </c>
      <c r="AF135" s="4" t="n">
        <v>11.99</v>
      </c>
      <c r="AG135" s="4" t="n">
        <v>7.86</v>
      </c>
    </row>
    <row r="136" ht="47.25" customHeight="1">
      <c r="A136" s="18" t="inlineStr">
        <is>
          <t>197609350428</t>
        </is>
      </c>
      <c r="B136" s="19" t="inlineStr">
        <is>
          <t>https://www.amazon.com/dp/</t>
        </is>
      </c>
      <c r="C136" s="20" t="inlineStr">
        <is>
          <t>B0CKMQJD17</t>
        </is>
      </c>
      <c r="D136" s="44" t="n"/>
      <c r="E136" s="23" t="inlineStr">
        <is>
          <t>?th=1&amp;psc=1&amp;tag=sdcdeals03-20</t>
        </is>
      </c>
      <c r="F136" s="19">
        <f>HYPERLINK("https://redirect.sdcdeals.com/redirect?destination=https%3A%2F%2Fwww.amazon.com%2Fdp%2FB0CKMQJD17%3Fth%3D1%26psc%3D1%26tag%3Dsdcdeals03-20", "Amazon Link")</f>
        <v/>
      </c>
      <c r="G136" s="19" t="inlineStr">
        <is>
          <t>https://www.jcpenney.com/s?searchTerm={search_term}</t>
        </is>
      </c>
      <c r="H136" s="23" t="inlineStr">
        <is>
          <t>197609350428</t>
        </is>
      </c>
      <c r="I136" s="19">
        <f>HYPERLINK("https://www.jcpenney.com/s?searchTerm=197609350428", "Retail Link")</f>
        <v/>
      </c>
      <c r="J136" s="23" t="inlineStr">
        <is>
          <t>n/a</t>
        </is>
      </c>
      <c r="K136" s="21" t="inlineStr">
        <is>
          <t>adidas Women's Grand Court Alpha 00s Sneaker, Grey/White/Silver Metallic, 10</t>
        </is>
      </c>
      <c r="L136" s="24" t="n">
        <v>71.2405</v>
      </c>
      <c r="M136" s="24" t="n">
        <v>79.95</v>
      </c>
      <c r="N136" s="24" t="n">
        <v>-11.143</v>
      </c>
      <c r="O136" s="24">
        <f>V136-M136</f>
        <v/>
      </c>
      <c r="P136" s="25">
        <f>N136/L136</f>
        <v/>
      </c>
      <c r="Q136" s="23" t="n">
        <v>55574</v>
      </c>
      <c r="R136" s="23" t="n"/>
      <c r="S136" s="26" t="n">
        <v>2.66979482</v>
      </c>
      <c r="T136" s="24" t="n">
        <v>79.95</v>
      </c>
      <c r="U136" s="24" t="n">
        <v>90.2</v>
      </c>
      <c r="V136" s="24" t="n">
        <v>90.2</v>
      </c>
      <c r="W136" s="26" t="inlineStr">
        <is>
          <t>adidas Grand Court Alpha Womens Sneakers</t>
        </is>
      </c>
      <c r="X136" s="23" t="n">
        <v>1</v>
      </c>
      <c r="Y136" s="18">
        <f>AC136-AB136</f>
        <v/>
      </c>
      <c r="Z136" s="27" t="n">
        <v>10</v>
      </c>
      <c r="AA136" s="27" t="n">
        <v>33</v>
      </c>
      <c r="AB136" s="27" t="n">
        <v>0</v>
      </c>
      <c r="AC136" s="27" t="n">
        <v>43</v>
      </c>
      <c r="AD136" s="1" t="inlineStr">
        <is>
          <t>NMM60</t>
        </is>
      </c>
      <c r="AE136" s="1" t="inlineStr">
        <is>
          <t>Grey/White/Silver Metallic</t>
        </is>
      </c>
      <c r="AF136" s="4" t="n">
        <v>11.99</v>
      </c>
      <c r="AG136" s="4" t="n">
        <v>7.86</v>
      </c>
    </row>
    <row r="137" ht="47.25" customHeight="1">
      <c r="A137" s="18" t="inlineStr">
        <is>
          <t>197609350459</t>
        </is>
      </c>
      <c r="B137" s="19" t="inlineStr">
        <is>
          <t>https://www.amazon.com/dp/</t>
        </is>
      </c>
      <c r="C137" s="20" t="inlineStr">
        <is>
          <t>B0CKMPYQ36</t>
        </is>
      </c>
      <c r="D137" s="44" t="n"/>
      <c r="E137" s="23" t="inlineStr">
        <is>
          <t>?th=1&amp;psc=1&amp;tag=sdcdeals03-20</t>
        </is>
      </c>
      <c r="F137" s="19">
        <f>HYPERLINK("https://redirect.sdcdeals.com/redirect?destination=https%3A%2F%2Fwww.amazon.com%2Fdp%2FB0CKMPYQ36%3Fth%3D1%26psc%3D1%26tag%3Dsdcdeals03-20", "Amazon Link")</f>
        <v/>
      </c>
      <c r="G137" s="19" t="inlineStr">
        <is>
          <t>https://www.jcpenney.com/s?searchTerm={search_term}</t>
        </is>
      </c>
      <c r="H137" s="23" t="inlineStr">
        <is>
          <t>197609350459</t>
        </is>
      </c>
      <c r="I137" s="19">
        <f>HYPERLINK("https://www.jcpenney.com/s?searchTerm=197609350459", "Retail Link")</f>
        <v/>
      </c>
      <c r="J137" s="23" t="inlineStr">
        <is>
          <t>n/a</t>
        </is>
      </c>
      <c r="K137" s="21" t="inlineStr">
        <is>
          <t>adidas Women's Grand Court Alpha 00s Sneaker, Grey/White/Silver Metallic, 11</t>
        </is>
      </c>
      <c r="L137" s="24" t="n">
        <v>71.2405</v>
      </c>
      <c r="M137" s="24" t="n">
        <v>79.95</v>
      </c>
      <c r="N137" s="24" t="n">
        <v>-11.143</v>
      </c>
      <c r="O137" s="24">
        <f>V137-M137</f>
        <v/>
      </c>
      <c r="P137" s="25">
        <f>N137/L137</f>
        <v/>
      </c>
      <c r="Q137" s="23" t="n">
        <v>55574</v>
      </c>
      <c r="R137" s="23" t="n"/>
      <c r="S137" s="26" t="n">
        <v>2.70947798</v>
      </c>
      <c r="T137" s="24" t="n">
        <v>79.95</v>
      </c>
      <c r="U137" s="24" t="n">
        <v>108</v>
      </c>
      <c r="V137" s="24" t="n">
        <v>108</v>
      </c>
      <c r="W137" s="26" t="inlineStr">
        <is>
          <t>adidas Grand Court Alpha Womens Sneakers</t>
        </is>
      </c>
      <c r="X137" s="23" t="n">
        <v>1</v>
      </c>
      <c r="Y137" s="18">
        <f>AC137-AB137</f>
        <v/>
      </c>
      <c r="Z137" s="27" t="n">
        <v>11</v>
      </c>
      <c r="AA137" s="27" t="n">
        <v>30</v>
      </c>
      <c r="AB137" s="27" t="n">
        <v>0</v>
      </c>
      <c r="AC137" s="27" t="n">
        <v>43</v>
      </c>
      <c r="AD137" s="1" t="inlineStr">
        <is>
          <t>NMM60</t>
        </is>
      </c>
      <c r="AE137" s="1" t="inlineStr">
        <is>
          <t>Grey/White/Silver Metallic</t>
        </is>
      </c>
      <c r="AF137" s="4" t="n">
        <v>11.99</v>
      </c>
      <c r="AG137" s="4" t="n">
        <v>7.86</v>
      </c>
    </row>
    <row r="138" ht="47.25" customHeight="1">
      <c r="A138" s="18" t="inlineStr">
        <is>
          <t>196474610057</t>
        </is>
      </c>
      <c r="B138" s="19" t="inlineStr">
        <is>
          <t>https://www.amazon.com/dp/</t>
        </is>
      </c>
      <c r="C138" s="20" t="inlineStr">
        <is>
          <t>B0C2JY4JRN</t>
        </is>
      </c>
      <c r="D138" s="44" t="n"/>
      <c r="E138" s="23" t="inlineStr">
        <is>
          <t>?th=1&amp;psc=1&amp;tag=sdcdeals03-20</t>
        </is>
      </c>
      <c r="F138" s="19">
        <f>HYPERLINK("https://redirect.sdcdeals.com/redirect?destination=https%3A%2F%2Fwww.amazon.com%2Fdp%2FB0C2JY4JRN%3Fth%3D1%26psc%3D1%26tag%3Dsdcdeals03-20", "Amazon Link")</f>
        <v/>
      </c>
      <c r="G138" s="19" t="inlineStr">
        <is>
          <t>https://www.jcpenney.com/s?searchTerm={search_term}</t>
        </is>
      </c>
      <c r="H138" s="23" t="inlineStr">
        <is>
          <t>196474610057</t>
        </is>
      </c>
      <c r="I138" s="19">
        <f>HYPERLINK("https://www.jcpenney.com/s?searchTerm=196474610057", "Retail Link")</f>
        <v/>
      </c>
      <c r="J138" s="23" t="inlineStr">
        <is>
          <t>n/a</t>
        </is>
      </c>
      <c r="K138" s="21" t="inlineStr">
        <is>
          <t>adidas Women's VL Court 3.0 Sneaker</t>
        </is>
      </c>
      <c r="L138" s="24" t="n"/>
      <c r="M138" s="24" t="n">
        <v>63.18</v>
      </c>
      <c r="N138" s="24" t="n"/>
      <c r="O138" s="24">
        <f>V138-M138</f>
        <v/>
      </c>
      <c r="P138" s="25">
        <f>N138/L138</f>
        <v/>
      </c>
      <c r="Q138" s="23" t="n">
        <v>815</v>
      </c>
      <c r="R138" s="23" t="n"/>
      <c r="S138" s="26" t="n">
        <v>1.5211878</v>
      </c>
      <c r="T138" s="24" t="n">
        <v>63.18</v>
      </c>
      <c r="U138" s="24" t="n">
        <v>66.54000000000001</v>
      </c>
      <c r="V138" s="24" t="n">
        <v>68.2</v>
      </c>
      <c r="W138" s="26" t="inlineStr">
        <is>
          <t>adidas Vl Court 3.0 Womens Sneakers</t>
        </is>
      </c>
      <c r="X138" s="23" t="n">
        <v>4</v>
      </c>
      <c r="Y138" s="18">
        <f>AC138-AB138</f>
        <v/>
      </c>
      <c r="Z138" s="27" t="n">
        <v>77</v>
      </c>
      <c r="AA138" s="27" t="n">
        <v>199</v>
      </c>
      <c r="AB138" s="27" t="n">
        <v>1</v>
      </c>
      <c r="AC138" s="27" t="n">
        <v>1562</v>
      </c>
      <c r="AD138" s="1" t="inlineStr">
        <is>
          <t>NLF94</t>
        </is>
      </c>
      <c r="AE138" s="1" t="inlineStr">
        <is>
          <t>Grey/White/Silver Metallic</t>
        </is>
      </c>
      <c r="AF138" s="4" t="n">
        <v>9.48</v>
      </c>
      <c r="AG138" s="4" t="n">
        <v>6.61</v>
      </c>
    </row>
    <row r="139" ht="47.25" customHeight="1">
      <c r="A139" s="18" t="inlineStr">
        <is>
          <t>196474610095</t>
        </is>
      </c>
      <c r="B139" s="19" t="inlineStr">
        <is>
          <t>https://www.amazon.com/dp/</t>
        </is>
      </c>
      <c r="C139" s="20" t="inlineStr">
        <is>
          <t>B0C2JXZ7T5</t>
        </is>
      </c>
      <c r="D139" s="44" t="n"/>
      <c r="E139" s="23" t="inlineStr">
        <is>
          <t>?th=1&amp;psc=1&amp;tag=sdcdeals03-20</t>
        </is>
      </c>
      <c r="F139" s="19">
        <f>HYPERLINK("https://redirect.sdcdeals.com/redirect?destination=https%3A%2F%2Fwww.amazon.com%2Fdp%2FB0C2JXZ7T5%3Fth%3D1%26psc%3D1%26tag%3Dsdcdeals03-20", "Amazon Link")</f>
        <v/>
      </c>
      <c r="G139" s="19" t="inlineStr">
        <is>
          <t>https://www.jcpenney.com/s?searchTerm={search_term}</t>
        </is>
      </c>
      <c r="H139" s="23" t="inlineStr">
        <is>
          <t>196474610095</t>
        </is>
      </c>
      <c r="I139" s="19">
        <f>HYPERLINK("https://www.jcpenney.com/s?searchTerm=196474610095", "Retail Link")</f>
        <v/>
      </c>
      <c r="J139" s="23" t="inlineStr">
        <is>
          <t>n/a</t>
        </is>
      </c>
      <c r="K139" s="21" t="inlineStr">
        <is>
          <t>adidas Women's VL Court 3.0 Sneaker</t>
        </is>
      </c>
      <c r="L139" s="24" t="n"/>
      <c r="M139" s="24" t="n">
        <v>74.95</v>
      </c>
      <c r="N139" s="24" t="n"/>
      <c r="O139" s="24">
        <f>V139-M139</f>
        <v/>
      </c>
      <c r="P139" s="25">
        <f>N139/L139</f>
        <v/>
      </c>
      <c r="Q139" s="23" t="n">
        <v>815</v>
      </c>
      <c r="R139" s="23" t="n"/>
      <c r="S139" s="26" t="n">
        <v>1.5542571</v>
      </c>
      <c r="T139" s="24" t="n">
        <v>74.95</v>
      </c>
      <c r="U139" s="24" t="n">
        <v>68.58</v>
      </c>
      <c r="V139" s="24" t="n">
        <v>70.01000000000001</v>
      </c>
      <c r="W139" s="26" t="inlineStr">
        <is>
          <t>adidas Vl Court 3.0 Womens Sneakers</t>
        </is>
      </c>
      <c r="X139" s="23" t="n">
        <v>3</v>
      </c>
      <c r="Y139" s="18">
        <f>AC139-AB139</f>
        <v/>
      </c>
      <c r="Z139" s="27" t="n">
        <v>65</v>
      </c>
      <c r="AA139" s="27" t="n">
        <v>177</v>
      </c>
      <c r="AB139" s="27" t="n">
        <v>0</v>
      </c>
      <c r="AC139" s="27" t="n">
        <v>1562</v>
      </c>
      <c r="AD139" s="1" t="inlineStr">
        <is>
          <t>NLF94</t>
        </is>
      </c>
      <c r="AE139" s="1" t="inlineStr">
        <is>
          <t>Grey/White/Silver Metallic</t>
        </is>
      </c>
      <c r="AF139" s="4" t="n">
        <v>11.24</v>
      </c>
      <c r="AG139" s="4" t="n">
        <v>6.61</v>
      </c>
    </row>
    <row r="140" ht="47.25" customHeight="1">
      <c r="A140" s="18" t="inlineStr">
        <is>
          <t>196474610125</t>
        </is>
      </c>
      <c r="B140" s="19" t="inlineStr">
        <is>
          <t>https://www.amazon.com/dp/</t>
        </is>
      </c>
      <c r="C140" s="20" t="inlineStr">
        <is>
          <t>B0C2JZF5W4</t>
        </is>
      </c>
      <c r="D140" s="44" t="n"/>
      <c r="E140" s="23" t="inlineStr">
        <is>
          <t>?th=1&amp;psc=1&amp;tag=sdcdeals03-20</t>
        </is>
      </c>
      <c r="F140" s="19">
        <f>HYPERLINK("https://redirect.sdcdeals.com/redirect?destination=https%3A%2F%2Fwww.amazon.com%2Fdp%2FB0C2JZF5W4%3Fth%3D1%26psc%3D1%26tag%3Dsdcdeals03-20", "Amazon Link")</f>
        <v/>
      </c>
      <c r="G140" s="19" t="inlineStr">
        <is>
          <t>https://www.jcpenney.com/s?searchTerm={search_term}</t>
        </is>
      </c>
      <c r="H140" s="23" t="inlineStr">
        <is>
          <t>196474610125</t>
        </is>
      </c>
      <c r="I140" s="19">
        <f>HYPERLINK("https://www.jcpenney.com/s?searchTerm=196474610125", "Retail Link")</f>
        <v/>
      </c>
      <c r="J140" s="23" t="inlineStr">
        <is>
          <t>n/a</t>
        </is>
      </c>
      <c r="K140" s="21" t="inlineStr">
        <is>
          <t>adidas Women's VL Court 3.0 Sneaker</t>
        </is>
      </c>
      <c r="L140" s="24" t="n"/>
      <c r="M140" s="24" t="n">
        <v>74.95</v>
      </c>
      <c r="N140" s="24" t="n"/>
      <c r="O140" s="24">
        <f>V140-M140</f>
        <v/>
      </c>
      <c r="P140" s="25">
        <f>N140/L140</f>
        <v/>
      </c>
      <c r="Q140" s="23" t="n">
        <v>815</v>
      </c>
      <c r="R140" s="23" t="n"/>
      <c r="S140" s="26" t="n">
        <v>1.543234</v>
      </c>
      <c r="T140" s="24" t="n">
        <v>74.95</v>
      </c>
      <c r="U140" s="24" t="n">
        <v>67.68000000000001</v>
      </c>
      <c r="V140" s="24" t="n">
        <v>69.66</v>
      </c>
      <c r="W140" s="26" t="inlineStr">
        <is>
          <t>adidas Vl Court 3.0 Womens Sneakers</t>
        </is>
      </c>
      <c r="X140" s="23" t="n">
        <v>6</v>
      </c>
      <c r="Y140" s="18">
        <f>AC140-AB140</f>
        <v/>
      </c>
      <c r="Z140" s="27" t="n">
        <v>69</v>
      </c>
      <c r="AA140" s="27" t="n">
        <v>202</v>
      </c>
      <c r="AB140" s="27" t="n">
        <v>4</v>
      </c>
      <c r="AC140" s="27" t="n">
        <v>1562</v>
      </c>
      <c r="AD140" s="1" t="inlineStr">
        <is>
          <t>NLF94</t>
        </is>
      </c>
      <c r="AE140" s="1" t="inlineStr">
        <is>
          <t>Grey/White/Silver Metallic</t>
        </is>
      </c>
      <c r="AF140" s="4" t="n">
        <v>11.24</v>
      </c>
      <c r="AG140" s="4" t="n">
        <v>7.03</v>
      </c>
    </row>
    <row r="141" ht="47.25" customHeight="1">
      <c r="A141" s="18" t="inlineStr">
        <is>
          <t>196474610064</t>
        </is>
      </c>
      <c r="B141" s="19" t="inlineStr">
        <is>
          <t>https://www.amazon.com/dp/</t>
        </is>
      </c>
      <c r="C141" s="20" t="inlineStr">
        <is>
          <t>B0C2JY6GCT</t>
        </is>
      </c>
      <c r="D141" s="44" t="n"/>
      <c r="E141" s="23" t="inlineStr">
        <is>
          <t>?th=1&amp;psc=1&amp;tag=sdcdeals03-20</t>
        </is>
      </c>
      <c r="F141" s="19">
        <f>HYPERLINK("https://redirect.sdcdeals.com/redirect?destination=https%3A%2F%2Fwww.amazon.com%2Fdp%2FB0C2JY6GCT%3Fth%3D1%26psc%3D1%26tag%3Dsdcdeals03-20", "Amazon Link")</f>
        <v/>
      </c>
      <c r="G141" s="19" t="inlineStr">
        <is>
          <t>https://www.jcpenney.com/s?searchTerm={search_term}</t>
        </is>
      </c>
      <c r="H141" s="23" t="inlineStr">
        <is>
          <t>196474610064</t>
        </is>
      </c>
      <c r="I141" s="19">
        <f>HYPERLINK("https://www.jcpenney.com/s?searchTerm=196474610064", "Retail Link")</f>
        <v/>
      </c>
      <c r="J141" s="23" t="inlineStr">
        <is>
          <t>n/a</t>
        </is>
      </c>
      <c r="K141" s="21" t="inlineStr">
        <is>
          <t>adidas Women's VL Court 3.0 Sneaker</t>
        </is>
      </c>
      <c r="L141" s="24" t="n"/>
      <c r="M141" s="24" t="n">
        <v>74.95</v>
      </c>
      <c r="N141" s="24" t="n"/>
      <c r="O141" s="24">
        <f>V141-M141</f>
        <v/>
      </c>
      <c r="P141" s="25">
        <f>N141/L141</f>
        <v/>
      </c>
      <c r="Q141" s="23" t="n">
        <v>815</v>
      </c>
      <c r="R141" s="23" t="n"/>
      <c r="S141" s="26" t="n">
        <v>1.7085805</v>
      </c>
      <c r="T141" s="24" t="n">
        <v>74.95</v>
      </c>
      <c r="U141" s="24" t="n">
        <v>70.44</v>
      </c>
      <c r="V141" s="24" t="n">
        <v>70.77</v>
      </c>
      <c r="W141" s="26" t="inlineStr">
        <is>
          <t>adidas Vl Court 3.0 Womens Sneakers</t>
        </is>
      </c>
      <c r="X141" s="23" t="n">
        <v>6</v>
      </c>
      <c r="Y141" s="18">
        <f>AC141-AB141</f>
        <v/>
      </c>
      <c r="Z141" s="27" t="n">
        <v>72</v>
      </c>
      <c r="AA141" s="27" t="n">
        <v>204</v>
      </c>
      <c r="AB141" s="27" t="n">
        <v>4</v>
      </c>
      <c r="AC141" s="27" t="n">
        <v>1562</v>
      </c>
      <c r="AD141" s="1" t="inlineStr">
        <is>
          <t>NLF94</t>
        </is>
      </c>
      <c r="AE141" s="1" t="inlineStr">
        <is>
          <t>Grey/White/Silver Metallic</t>
        </is>
      </c>
      <c r="AF141" s="4" t="n">
        <v>11.24</v>
      </c>
      <c r="AG141" s="4" t="n">
        <v>6.61</v>
      </c>
    </row>
    <row r="142" ht="47.25" customHeight="1">
      <c r="A142" s="18" t="inlineStr">
        <is>
          <t>196474610132</t>
        </is>
      </c>
      <c r="B142" s="19" t="inlineStr">
        <is>
          <t>https://www.amazon.com/dp/</t>
        </is>
      </c>
      <c r="C142" s="20" t="inlineStr">
        <is>
          <t>B0C2JZBY8T</t>
        </is>
      </c>
      <c r="D142" s="44" t="n"/>
      <c r="E142" s="23" t="inlineStr">
        <is>
          <t>?th=1&amp;psc=1&amp;tag=sdcdeals03-20</t>
        </is>
      </c>
      <c r="F142" s="19">
        <f>HYPERLINK("https://redirect.sdcdeals.com/redirect?destination=https%3A%2F%2Fwww.amazon.com%2Fdp%2FB0C2JZBY8T%3Fth%3D1%26psc%3D1%26tag%3Dsdcdeals03-20", "Amazon Link")</f>
        <v/>
      </c>
      <c r="G142" s="19" t="inlineStr">
        <is>
          <t>https://www.jcpenney.com/s?searchTerm={search_term}</t>
        </is>
      </c>
      <c r="H142" s="23" t="inlineStr">
        <is>
          <t>196474610132</t>
        </is>
      </c>
      <c r="I142" s="19">
        <f>HYPERLINK("https://www.jcpenney.com/s?searchTerm=196474610132", "Retail Link")</f>
        <v/>
      </c>
      <c r="J142" s="23" t="inlineStr">
        <is>
          <t>n/a</t>
        </is>
      </c>
      <c r="K142" s="21" t="inlineStr">
        <is>
          <t>adidas Women's VL Court 3.0 Sneaker</t>
        </is>
      </c>
      <c r="L142" s="24" t="n"/>
      <c r="M142" s="24" t="n">
        <v>74.95</v>
      </c>
      <c r="N142" s="24" t="n"/>
      <c r="O142" s="24">
        <f>V142-M142</f>
        <v/>
      </c>
      <c r="P142" s="25">
        <f>N142/L142</f>
        <v/>
      </c>
      <c r="Q142" s="23" t="n">
        <v>815</v>
      </c>
      <c r="R142" s="23" t="n">
        <v>50</v>
      </c>
      <c r="S142" s="26" t="n">
        <v>1.7196036</v>
      </c>
      <c r="T142" s="24" t="n">
        <v>74.95</v>
      </c>
      <c r="U142" s="24" t="n">
        <v>71.86</v>
      </c>
      <c r="V142" s="24" t="n">
        <v>70.83</v>
      </c>
      <c r="W142" s="26" t="inlineStr">
        <is>
          <t>adidas Vl Court 3.0 Womens Sneakers</t>
        </is>
      </c>
      <c r="X142" s="23" t="n">
        <v>5</v>
      </c>
      <c r="Y142" s="18">
        <f>AC142-AB142</f>
        <v/>
      </c>
      <c r="Z142" s="27" t="n">
        <v>94</v>
      </c>
      <c r="AA142" s="27" t="n">
        <v>228</v>
      </c>
      <c r="AB142" s="27" t="n">
        <v>2</v>
      </c>
      <c r="AC142" s="27" t="n">
        <v>1569</v>
      </c>
      <c r="AD142" s="1" t="inlineStr">
        <is>
          <t>NLF94</t>
        </is>
      </c>
      <c r="AE142" s="1" t="inlineStr">
        <is>
          <t>Grey/White/Silver Metallic</t>
        </is>
      </c>
      <c r="AF142" s="4" t="n">
        <v>11.24</v>
      </c>
      <c r="AG142" s="4" t="n">
        <v>7.54</v>
      </c>
    </row>
    <row r="143" ht="47.25" customHeight="1">
      <c r="A143" s="18" t="inlineStr">
        <is>
          <t>196474610101</t>
        </is>
      </c>
      <c r="B143" s="19" t="inlineStr">
        <is>
          <t>https://www.amazon.com/dp/</t>
        </is>
      </c>
      <c r="C143" s="20" t="inlineStr">
        <is>
          <t>B0C2JY3QP7</t>
        </is>
      </c>
      <c r="D143" s="44" t="n"/>
      <c r="E143" s="23" t="inlineStr">
        <is>
          <t>?th=1&amp;psc=1&amp;tag=sdcdeals03-20</t>
        </is>
      </c>
      <c r="F143" s="19">
        <f>HYPERLINK("https://redirect.sdcdeals.com/redirect?destination=https%3A%2F%2Fwww.amazon.com%2Fdp%2FB0C2JY3QP7%3Fth%3D1%26psc%3D1%26tag%3Dsdcdeals03-20", "Amazon Link")</f>
        <v/>
      </c>
      <c r="G143" s="19" t="inlineStr">
        <is>
          <t>https://www.jcpenney.com/s?searchTerm={search_term}</t>
        </is>
      </c>
      <c r="H143" s="23" t="inlineStr">
        <is>
          <t>196474610101</t>
        </is>
      </c>
      <c r="I143" s="19">
        <f>HYPERLINK("https://www.jcpenney.com/s?searchTerm=196474610101", "Retail Link")</f>
        <v/>
      </c>
      <c r="J143" s="23" t="inlineStr">
        <is>
          <t>n/a</t>
        </is>
      </c>
      <c r="K143" s="21" t="inlineStr">
        <is>
          <t>adidas Women's VL Court 3.0 Sneaker</t>
        </is>
      </c>
      <c r="L143" s="24" t="n"/>
      <c r="M143" s="24" t="n">
        <v>74.95</v>
      </c>
      <c r="N143" s="24" t="n"/>
      <c r="O143" s="24">
        <f>V143-M143</f>
        <v/>
      </c>
      <c r="P143" s="25">
        <f>N143/L143</f>
        <v/>
      </c>
      <c r="Q143" s="23" t="n">
        <v>815</v>
      </c>
      <c r="R143" s="23" t="n">
        <v>50</v>
      </c>
      <c r="S143" s="26" t="n">
        <v>1.8408577</v>
      </c>
      <c r="T143" s="24" t="n">
        <v>74.95</v>
      </c>
      <c r="U143" s="24" t="n">
        <v>71.14</v>
      </c>
      <c r="V143" s="24" t="n">
        <v>71.53</v>
      </c>
      <c r="W143" s="26" t="inlineStr">
        <is>
          <t>adidas Vl Court 3.0 Womens Sneakers</t>
        </is>
      </c>
      <c r="X143" s="23" t="n">
        <v>6</v>
      </c>
      <c r="Y143" s="18">
        <f>AC143-AB143</f>
        <v/>
      </c>
      <c r="Z143" s="27" t="n">
        <v>70</v>
      </c>
      <c r="AA143" s="27" t="n">
        <v>199</v>
      </c>
      <c r="AB143" s="27" t="n">
        <v>7</v>
      </c>
      <c r="AC143" s="27" t="n">
        <v>1562</v>
      </c>
      <c r="AD143" s="1" t="inlineStr">
        <is>
          <t>NLF94</t>
        </is>
      </c>
      <c r="AE143" s="1" t="inlineStr">
        <is>
          <t>Grey/White/Silver Metallic</t>
        </is>
      </c>
      <c r="AF143" s="4" t="n">
        <v>11.24</v>
      </c>
      <c r="AG143" s="4" t="n">
        <v>7.7</v>
      </c>
    </row>
    <row r="144" ht="47.25" customHeight="1">
      <c r="A144" s="18" t="inlineStr">
        <is>
          <t>196474610033</t>
        </is>
      </c>
      <c r="B144" s="19" t="inlineStr">
        <is>
          <t>https://www.amazon.com/dp/</t>
        </is>
      </c>
      <c r="C144" s="20" t="inlineStr">
        <is>
          <t>B0C2JZGR94</t>
        </is>
      </c>
      <c r="D144" s="44" t="n"/>
      <c r="E144" s="23" t="inlineStr">
        <is>
          <t>?th=1&amp;psc=1&amp;tag=sdcdeals03-20</t>
        </is>
      </c>
      <c r="F144" s="19">
        <f>HYPERLINK("https://redirect.sdcdeals.com/redirect?destination=https%3A%2F%2Fwww.amazon.com%2Fdp%2FB0C2JZGR94%3Fth%3D1%26psc%3D1%26tag%3Dsdcdeals03-20", "Amazon Link")</f>
        <v/>
      </c>
      <c r="G144" s="19" t="inlineStr">
        <is>
          <t>https://www.jcpenney.com/s?searchTerm={search_term}</t>
        </is>
      </c>
      <c r="H144" s="23" t="inlineStr">
        <is>
          <t>196474610033</t>
        </is>
      </c>
      <c r="I144" s="19">
        <f>HYPERLINK("https://www.jcpenney.com/s?searchTerm=196474610033", "Retail Link")</f>
        <v/>
      </c>
      <c r="J144" s="23" t="inlineStr">
        <is>
          <t>n/a</t>
        </is>
      </c>
      <c r="K144" s="21" t="inlineStr">
        <is>
          <t>adidas Women's VL Court 3.0 Sneaker</t>
        </is>
      </c>
      <c r="L144" s="24" t="n"/>
      <c r="M144" s="24" t="n">
        <v>74.95</v>
      </c>
      <c r="N144" s="24" t="n"/>
      <c r="O144" s="24">
        <f>V144-M144</f>
        <v/>
      </c>
      <c r="P144" s="25">
        <f>N144/L144</f>
        <v/>
      </c>
      <c r="Q144" s="23" t="n">
        <v>815</v>
      </c>
      <c r="R144" s="23" t="n">
        <v>100</v>
      </c>
      <c r="S144" s="26" t="n">
        <v>1.9400656</v>
      </c>
      <c r="T144" s="24" t="n">
        <v>74.95</v>
      </c>
      <c r="U144" s="24" t="n">
        <v>68.36</v>
      </c>
      <c r="V144" s="24" t="n">
        <v>69.02</v>
      </c>
      <c r="W144" s="26" t="inlineStr">
        <is>
          <t>adidas Vl Court 3.0 Womens Sneakers</t>
        </is>
      </c>
      <c r="X144" s="23" t="n">
        <v>6</v>
      </c>
      <c r="Y144" s="18">
        <f>AC144-AB144</f>
        <v/>
      </c>
      <c r="Z144" s="27" t="n">
        <v>59</v>
      </c>
      <c r="AA144" s="27" t="n">
        <v>161</v>
      </c>
      <c r="AB144" s="27" t="n">
        <v>9</v>
      </c>
      <c r="AC144" s="27" t="n">
        <v>1569</v>
      </c>
      <c r="AD144" s="1" t="inlineStr">
        <is>
          <t>NLF94</t>
        </is>
      </c>
      <c r="AE144" s="1" t="inlineStr">
        <is>
          <t>Grey/White/Silver Metallic</t>
        </is>
      </c>
      <c r="AF144" s="4" t="n">
        <v>11.24</v>
      </c>
      <c r="AG144" s="4" t="n">
        <v>7.7</v>
      </c>
    </row>
    <row r="145" ht="47.25" customHeight="1">
      <c r="A145" s="18" t="inlineStr">
        <is>
          <t>196474610118</t>
        </is>
      </c>
      <c r="B145" s="19" t="inlineStr">
        <is>
          <t>https://www.amazon.com/dp/</t>
        </is>
      </c>
      <c r="C145" s="20" t="inlineStr">
        <is>
          <t>B0C2JXJS3M</t>
        </is>
      </c>
      <c r="D145" s="44" t="n"/>
      <c r="E145" s="23" t="inlineStr">
        <is>
          <t>?th=1&amp;psc=1&amp;tag=sdcdeals03-20</t>
        </is>
      </c>
      <c r="F145" s="19">
        <f>HYPERLINK("https://redirect.sdcdeals.com/redirect?destination=https%3A%2F%2Fwww.amazon.com%2Fdp%2FB0C2JXJS3M%3Fth%3D1%26psc%3D1%26tag%3Dsdcdeals03-20", "Amazon Link")</f>
        <v/>
      </c>
      <c r="G145" s="19" t="inlineStr">
        <is>
          <t>https://www.jcpenney.com/s?searchTerm={search_term}</t>
        </is>
      </c>
      <c r="H145" s="23" t="inlineStr">
        <is>
          <t>196474610118</t>
        </is>
      </c>
      <c r="I145" s="19">
        <f>HYPERLINK("https://www.jcpenney.com/s?searchTerm=196474610118", "Retail Link")</f>
        <v/>
      </c>
      <c r="J145" s="23" t="inlineStr">
        <is>
          <t>n/a</t>
        </is>
      </c>
      <c r="K145" s="21" t="inlineStr">
        <is>
          <t>adidas Women's VL Court 3.0 Sneaker</t>
        </is>
      </c>
      <c r="L145" s="24" t="n"/>
      <c r="M145" s="24" t="n">
        <v>74.95</v>
      </c>
      <c r="N145" s="24" t="n"/>
      <c r="O145" s="24">
        <f>V145-M145</f>
        <v/>
      </c>
      <c r="P145" s="25">
        <f>N145/L145</f>
        <v/>
      </c>
      <c r="Q145" s="23" t="n">
        <v>815</v>
      </c>
      <c r="R145" s="23" t="n">
        <v>50</v>
      </c>
      <c r="S145" s="26" t="n">
        <v>1.90038244</v>
      </c>
      <c r="T145" s="24" t="n">
        <v>74.95</v>
      </c>
      <c r="U145" s="24" t="n">
        <v>68.19</v>
      </c>
      <c r="V145" s="24" t="n">
        <v>68.20999999999999</v>
      </c>
      <c r="W145" s="26" t="inlineStr">
        <is>
          <t>adidas Vl Court 3.0 Womens Sneakers</t>
        </is>
      </c>
      <c r="X145" s="23" t="n">
        <v>5</v>
      </c>
      <c r="Y145" s="18">
        <f>AC145-AB145</f>
        <v/>
      </c>
      <c r="Z145" s="27" t="n">
        <v>103</v>
      </c>
      <c r="AA145" s="27" t="n">
        <v>245</v>
      </c>
      <c r="AB145" s="27" t="n">
        <v>10</v>
      </c>
      <c r="AC145" s="27" t="n">
        <v>1569</v>
      </c>
      <c r="AD145" s="1" t="inlineStr">
        <is>
          <t>NLF94</t>
        </is>
      </c>
      <c r="AE145" s="1" t="inlineStr">
        <is>
          <t>Grey/White/Silver Metallic</t>
        </is>
      </c>
      <c r="AF145" s="4" t="n">
        <v>11.24</v>
      </c>
      <c r="AG145" s="4" t="n">
        <v>7.7</v>
      </c>
    </row>
    <row r="146" ht="47.25" customHeight="1">
      <c r="A146" s="18" t="inlineStr">
        <is>
          <t>196474610149</t>
        </is>
      </c>
      <c r="B146" s="19" t="inlineStr">
        <is>
          <t>https://www.amazon.com/dp/</t>
        </is>
      </c>
      <c r="C146" s="20" t="inlineStr">
        <is>
          <t>B0C2JYNSMM</t>
        </is>
      </c>
      <c r="D146" s="44" t="n"/>
      <c r="E146" s="23" t="inlineStr">
        <is>
          <t>?th=1&amp;psc=1&amp;tag=sdcdeals03-20</t>
        </is>
      </c>
      <c r="F146" s="19">
        <f>HYPERLINK("https://redirect.sdcdeals.com/redirect?destination=https%3A%2F%2Fwww.amazon.com%2Fdp%2FB0C2JYNSMM%3Fth%3D1%26psc%3D1%26tag%3Dsdcdeals03-20", "Amazon Link")</f>
        <v/>
      </c>
      <c r="G146" s="19" t="inlineStr">
        <is>
          <t>https://www.jcpenney.com/s?searchTerm={search_term}</t>
        </is>
      </c>
      <c r="H146" s="23" t="inlineStr">
        <is>
          <t>196474610149</t>
        </is>
      </c>
      <c r="I146" s="19">
        <f>HYPERLINK("https://www.jcpenney.com/s?searchTerm=196474610149", "Retail Link")</f>
        <v/>
      </c>
      <c r="J146" s="23" t="inlineStr">
        <is>
          <t>n/a</t>
        </is>
      </c>
      <c r="K146" s="21" t="inlineStr">
        <is>
          <t>adidas Women's VL Court 3.0 Sneaker</t>
        </is>
      </c>
      <c r="L146" s="24" t="n"/>
      <c r="M146" s="24" t="n">
        <v>74.95</v>
      </c>
      <c r="N146" s="24" t="n"/>
      <c r="O146" s="24">
        <f>V146-M146</f>
        <v/>
      </c>
      <c r="P146" s="25">
        <f>N146/L146</f>
        <v/>
      </c>
      <c r="Q146" s="23" t="n">
        <v>815</v>
      </c>
      <c r="R146" s="23" t="n">
        <v>50</v>
      </c>
      <c r="S146" s="26" t="n">
        <v>2.01061344</v>
      </c>
      <c r="T146" s="24" t="n">
        <v>71.69</v>
      </c>
      <c r="U146" s="24" t="n">
        <v>69.72</v>
      </c>
      <c r="V146" s="24" t="n">
        <v>69.65000000000001</v>
      </c>
      <c r="W146" s="26" t="inlineStr">
        <is>
          <t>adidas Vl Court 3.0 Womens Sneakers</t>
        </is>
      </c>
      <c r="X146" s="23" t="n">
        <v>6</v>
      </c>
      <c r="Y146" s="18">
        <f>AC146-AB146</f>
        <v/>
      </c>
      <c r="Z146" s="27" t="n">
        <v>67</v>
      </c>
      <c r="AA146" s="27" t="n">
        <v>169</v>
      </c>
      <c r="AB146" s="27" t="n">
        <v>9</v>
      </c>
      <c r="AC146" s="27" t="n">
        <v>1569</v>
      </c>
      <c r="AD146" s="1" t="inlineStr">
        <is>
          <t>NLF94</t>
        </is>
      </c>
      <c r="AE146" s="1" t="inlineStr">
        <is>
          <t>Grey/White/Silver Metallic</t>
        </is>
      </c>
      <c r="AF146" s="4" t="n">
        <v>11.24</v>
      </c>
      <c r="AG146" s="4" t="n">
        <v>7.7</v>
      </c>
    </row>
    <row r="147" ht="47.25" customHeight="1">
      <c r="A147" s="18" t="inlineStr">
        <is>
          <t>196474610088</t>
        </is>
      </c>
      <c r="B147" s="19" t="inlineStr">
        <is>
          <t>https://www.amazon.com/dp/</t>
        </is>
      </c>
      <c r="C147" s="20" t="inlineStr">
        <is>
          <t>B0C2JYZH7B</t>
        </is>
      </c>
      <c r="D147" s="44" t="n"/>
      <c r="E147" s="23" t="inlineStr">
        <is>
          <t>?th=1&amp;psc=1&amp;tag=sdcdeals03-20</t>
        </is>
      </c>
      <c r="F147" s="19">
        <f>HYPERLINK("https://redirect.sdcdeals.com/redirect?destination=https%3A%2F%2Fwww.amazon.com%2Fdp%2FB0C2JYZH7B%3Fth%3D1%26psc%3D1%26tag%3Dsdcdeals03-20", "Amazon Link")</f>
        <v/>
      </c>
      <c r="G147" s="19" t="inlineStr">
        <is>
          <t>https://www.jcpenney.com/s?searchTerm={search_term}</t>
        </is>
      </c>
      <c r="H147" s="23" t="inlineStr">
        <is>
          <t>196474610088</t>
        </is>
      </c>
      <c r="I147" s="19">
        <f>HYPERLINK("https://www.jcpenney.com/s?searchTerm=196474610088", "Retail Link")</f>
        <v/>
      </c>
      <c r="J147" s="23" t="inlineStr">
        <is>
          <t>n/a</t>
        </is>
      </c>
      <c r="K147" s="21" t="inlineStr">
        <is>
          <t>adidas Women's VL Court 3.0 Sneaker</t>
        </is>
      </c>
      <c r="L147" s="24" t="n"/>
      <c r="M147" s="24" t="n">
        <v>74.95</v>
      </c>
      <c r="N147" s="24" t="n"/>
      <c r="O147" s="24">
        <f>V147-M147</f>
        <v/>
      </c>
      <c r="P147" s="25">
        <f>N147/L147</f>
        <v/>
      </c>
      <c r="Q147" s="23" t="n">
        <v>815</v>
      </c>
      <c r="R147" s="23" t="n"/>
      <c r="S147" s="26" t="n">
        <v>2.12084444</v>
      </c>
      <c r="T147" s="24" t="n">
        <v>74.95</v>
      </c>
      <c r="U147" s="24" t="n">
        <v>66.02</v>
      </c>
      <c r="V147" s="24" t="n">
        <v>67.64</v>
      </c>
      <c r="W147" s="26" t="inlineStr">
        <is>
          <t>adidas Vl Court 3.0 Womens Sneakers</t>
        </is>
      </c>
      <c r="X147" s="23" t="n">
        <v>7</v>
      </c>
      <c r="Y147" s="18">
        <f>AC147-AB147</f>
        <v/>
      </c>
      <c r="Z147" s="27" t="n">
        <v>83</v>
      </c>
      <c r="AA147" s="27" t="n">
        <v>231</v>
      </c>
      <c r="AB147" s="27" t="n">
        <v>3</v>
      </c>
      <c r="AC147" s="27" t="n">
        <v>1562</v>
      </c>
      <c r="AD147" s="1" t="inlineStr">
        <is>
          <t>NLF94</t>
        </is>
      </c>
      <c r="AE147" s="1" t="inlineStr">
        <is>
          <t>Grey/White/Silver Metallic</t>
        </is>
      </c>
      <c r="AF147" s="4" t="n">
        <v>11.24</v>
      </c>
      <c r="AG147" s="4" t="n">
        <v>7.7</v>
      </c>
    </row>
    <row r="148" ht="47.25" customHeight="1">
      <c r="A148" s="18" t="inlineStr">
        <is>
          <t>196474610040</t>
        </is>
      </c>
      <c r="B148" s="19" t="inlineStr">
        <is>
          <t>https://www.amazon.com/dp/</t>
        </is>
      </c>
      <c r="C148" s="20" t="inlineStr">
        <is>
          <t>B0C2JYWYGD</t>
        </is>
      </c>
      <c r="D148" s="44" t="n"/>
      <c r="E148" s="23" t="inlineStr">
        <is>
          <t>?th=1&amp;psc=1&amp;tag=sdcdeals03-20</t>
        </is>
      </c>
      <c r="F148" s="19">
        <f>HYPERLINK("https://redirect.sdcdeals.com/redirect?destination=https%3A%2F%2Fwww.amazon.com%2Fdp%2FB0C2JYWYGD%3Fth%3D1%26psc%3D1%26tag%3Dsdcdeals03-20", "Amazon Link")</f>
        <v/>
      </c>
      <c r="G148" s="19" t="inlineStr">
        <is>
          <t>https://www.jcpenney.com/s?searchTerm={search_term}</t>
        </is>
      </c>
      <c r="H148" s="23" t="inlineStr">
        <is>
          <t>196474610040</t>
        </is>
      </c>
      <c r="I148" s="19">
        <f>HYPERLINK("https://www.jcpenney.com/s?searchTerm=196474610040", "Retail Link")</f>
        <v/>
      </c>
      <c r="J148" s="23" t="inlineStr">
        <is>
          <t>n/a</t>
        </is>
      </c>
      <c r="K148" s="21" t="inlineStr">
        <is>
          <t>adidas Women's VL Court 3.0 Sneaker</t>
        </is>
      </c>
      <c r="L148" s="24" t="n"/>
      <c r="M148" s="24" t="n">
        <v>74.95</v>
      </c>
      <c r="N148" s="24" t="n"/>
      <c r="O148" s="24">
        <f>V148-M148</f>
        <v/>
      </c>
      <c r="P148" s="25">
        <f>N148/L148</f>
        <v/>
      </c>
      <c r="Q148" s="23" t="n">
        <v>815</v>
      </c>
      <c r="R148" s="23" t="n"/>
      <c r="S148" s="26" t="n">
        <v>2.15391374</v>
      </c>
      <c r="T148" s="24" t="n">
        <v>72.72</v>
      </c>
      <c r="U148" s="24" t="n">
        <v>63.72</v>
      </c>
      <c r="V148" s="24" t="n">
        <v>66.8</v>
      </c>
      <c r="W148" s="26" t="inlineStr">
        <is>
          <t>adidas Vl Court 3.0 Womens Sneakers</t>
        </is>
      </c>
      <c r="X148" s="23" t="n">
        <v>8</v>
      </c>
      <c r="Y148" s="18">
        <f>AC148-AB148</f>
        <v/>
      </c>
      <c r="Z148" s="27" t="n">
        <v>82</v>
      </c>
      <c r="AA148" s="27" t="n">
        <v>241</v>
      </c>
      <c r="AB148" s="27" t="n">
        <v>4</v>
      </c>
      <c r="AC148" s="27" t="n">
        <v>1562</v>
      </c>
      <c r="AD148" s="1" t="inlineStr">
        <is>
          <t>NLF94</t>
        </is>
      </c>
      <c r="AE148" s="1" t="inlineStr">
        <is>
          <t>Grey/White/Silver Metallic</t>
        </is>
      </c>
      <c r="AF148" s="4" t="n">
        <v>11.24</v>
      </c>
      <c r="AG148" s="4" t="n">
        <v>7.7</v>
      </c>
    </row>
    <row r="149" ht="47.25" customHeight="1">
      <c r="A149" s="18" t="inlineStr">
        <is>
          <t>196474610071</t>
        </is>
      </c>
      <c r="B149" s="19" t="inlineStr">
        <is>
          <t>https://www.amazon.com/dp/</t>
        </is>
      </c>
      <c r="C149" s="20" t="inlineStr">
        <is>
          <t>B0C2JXK4FT</t>
        </is>
      </c>
      <c r="D149" s="44" t="n"/>
      <c r="E149" s="23" t="inlineStr">
        <is>
          <t>?th=1&amp;psc=1&amp;tag=sdcdeals03-20</t>
        </is>
      </c>
      <c r="F149" s="19">
        <f>HYPERLINK("https://redirect.sdcdeals.com/redirect?destination=https%3A%2F%2Fwww.amazon.com%2Fdp%2FB0C2JXK4FT%3Fth%3D1%26psc%3D1%26tag%3Dsdcdeals03-20", "Amazon Link")</f>
        <v/>
      </c>
      <c r="G149" s="19" t="inlineStr">
        <is>
          <t>https://www.jcpenney.com/s?searchTerm={search_term}</t>
        </is>
      </c>
      <c r="H149" s="23" t="inlineStr">
        <is>
          <t>196474610071</t>
        </is>
      </c>
      <c r="I149" s="19">
        <f>HYPERLINK("https://www.jcpenney.com/s?searchTerm=196474610071", "Retail Link")</f>
        <v/>
      </c>
      <c r="J149" s="23" t="inlineStr">
        <is>
          <t>n/a</t>
        </is>
      </c>
      <c r="K149" s="21" t="inlineStr">
        <is>
          <t>adidas Women's VL Court 3.0 Sneaker</t>
        </is>
      </c>
      <c r="L149" s="24" t="n"/>
      <c r="M149" s="24" t="n">
        <v>69.81999999999999</v>
      </c>
      <c r="N149" s="24" t="n"/>
      <c r="O149" s="24">
        <f>V149-M149</f>
        <v/>
      </c>
      <c r="P149" s="25">
        <f>N149/L149</f>
        <v/>
      </c>
      <c r="Q149" s="23" t="n">
        <v>815</v>
      </c>
      <c r="R149" s="23" t="n"/>
      <c r="S149" s="26" t="n">
        <v>2.25091702</v>
      </c>
      <c r="T149" s="24" t="n">
        <v>69.81999999999999</v>
      </c>
      <c r="U149" s="24" t="n">
        <v>66.31</v>
      </c>
      <c r="V149" s="24" t="n">
        <v>68.01000000000001</v>
      </c>
      <c r="W149" s="26" t="inlineStr">
        <is>
          <t>adidas Vl Court 3.0 Womens Sneakers</t>
        </is>
      </c>
      <c r="X149" s="23" t="n">
        <v>5</v>
      </c>
      <c r="Y149" s="18">
        <f>AC149-AB149</f>
        <v/>
      </c>
      <c r="Z149" s="27" t="n">
        <v>77</v>
      </c>
      <c r="AA149" s="27" t="n">
        <v>211</v>
      </c>
      <c r="AB149" s="27" t="n">
        <v>1</v>
      </c>
      <c r="AC149" s="27" t="n">
        <v>1562</v>
      </c>
      <c r="AD149" s="1" t="inlineStr">
        <is>
          <t>NLF94</t>
        </is>
      </c>
      <c r="AE149" s="1" t="inlineStr">
        <is>
          <t>Grey/White/Silver Metallic</t>
        </is>
      </c>
      <c r="AF149" s="4" t="n">
        <v>10.47</v>
      </c>
      <c r="AG149" s="4" t="n">
        <v>7.86</v>
      </c>
    </row>
    <row r="150" ht="47.25" customHeight="1">
      <c r="A150" s="18" t="inlineStr">
        <is>
          <t>196478476703</t>
        </is>
      </c>
      <c r="B150" s="19" t="inlineStr">
        <is>
          <t>https://www.amazon.com/dp/</t>
        </is>
      </c>
      <c r="C150" s="20" t="inlineStr">
        <is>
          <t>B0CKMQ7JHL</t>
        </is>
      </c>
      <c r="D150" s="44" t="n"/>
      <c r="E150" s="23" t="inlineStr">
        <is>
          <t>?th=1&amp;psc=1&amp;tag=sdcdeals03-20</t>
        </is>
      </c>
      <c r="F150" s="19">
        <f>HYPERLINK("https://redirect.sdcdeals.com/redirect?destination=https%3A%2F%2Fwww.amazon.com%2Fdp%2FB0CKMQ7JHL%3Fth%3D1%26psc%3D1%26tag%3Dsdcdeals03-20", "Amazon Link")</f>
        <v/>
      </c>
      <c r="G150" s="19" t="inlineStr">
        <is>
          <t>https://www.jcpenney.com/s?searchTerm={search_term}</t>
        </is>
      </c>
      <c r="H150" s="23" t="inlineStr">
        <is>
          <t>196478476703</t>
        </is>
      </c>
      <c r="I150" s="19">
        <f>HYPERLINK("https://www.jcpenney.com/s?searchTerm=196478476703", "Retail Link")</f>
        <v/>
      </c>
      <c r="J150" s="23" t="inlineStr">
        <is>
          <t>n/a</t>
        </is>
      </c>
      <c r="K150" s="21" t="inlineStr">
        <is>
          <t>adidas Women's VL Court 3.0 Sneaker, Halo Mint/White/Halo Mint, 5</t>
        </is>
      </c>
      <c r="L150" s="24" t="n"/>
      <c r="M150" s="24" t="n">
        <v>75</v>
      </c>
      <c r="N150" s="24" t="n"/>
      <c r="O150" s="24">
        <f>V150-M150</f>
        <v/>
      </c>
      <c r="P150" s="25">
        <f>N150/L150</f>
        <v/>
      </c>
      <c r="Q150" s="23" t="n">
        <v>815</v>
      </c>
      <c r="R150" s="23" t="n"/>
      <c r="S150" s="26" t="n">
        <v>1.5652802</v>
      </c>
      <c r="T150" s="24" t="n">
        <v>75</v>
      </c>
      <c r="U150" s="24" t="n">
        <v>72.09999999999999</v>
      </c>
      <c r="V150" s="24" t="n">
        <v>73.22</v>
      </c>
      <c r="W150" s="26" t="inlineStr">
        <is>
          <t>adidas Vl Court 3.0 Womens Sneakers</t>
        </is>
      </c>
      <c r="X150" s="23" t="n">
        <v>3</v>
      </c>
      <c r="Y150" s="18">
        <f>AC150-AB150</f>
        <v/>
      </c>
      <c r="Z150" s="27" t="n">
        <v>67</v>
      </c>
      <c r="AA150" s="27" t="n">
        <v>182</v>
      </c>
      <c r="AB150" s="27" t="n">
        <v>0</v>
      </c>
      <c r="AC150" s="27" t="n">
        <v>1562</v>
      </c>
      <c r="AD150" s="1" t="inlineStr">
        <is>
          <t>NLF94</t>
        </is>
      </c>
      <c r="AE150" s="1" t="inlineStr">
        <is>
          <t>Halo Mint/White/Halo Mint</t>
        </is>
      </c>
      <c r="AF150" s="4" t="n">
        <v>11.25</v>
      </c>
      <c r="AG150" s="4" t="n">
        <v>5.84</v>
      </c>
    </row>
    <row r="151" ht="47.25" customHeight="1">
      <c r="A151" s="18" t="inlineStr">
        <is>
          <t>196478476734</t>
        </is>
      </c>
      <c r="B151" s="19" t="inlineStr">
        <is>
          <t>https://www.amazon.com/dp/</t>
        </is>
      </c>
      <c r="C151" s="20" t="inlineStr">
        <is>
          <t>B0CKMNG6Y3</t>
        </is>
      </c>
      <c r="D151" s="44" t="n"/>
      <c r="E151" s="23" t="inlineStr">
        <is>
          <t>?th=1&amp;psc=1&amp;tag=sdcdeals03-20</t>
        </is>
      </c>
      <c r="F151" s="19">
        <f>HYPERLINK("https://redirect.sdcdeals.com/redirect?destination=https%3A%2F%2Fwww.amazon.com%2Fdp%2FB0CKMNG6Y3%3Fth%3D1%26psc%3D1%26tag%3Dsdcdeals03-20", "Amazon Link")</f>
        <v/>
      </c>
      <c r="G151" s="19" t="inlineStr">
        <is>
          <t>https://www.jcpenney.com/s?searchTerm={search_term}</t>
        </is>
      </c>
      <c r="H151" s="23" t="inlineStr">
        <is>
          <t>196478476734</t>
        </is>
      </c>
      <c r="I151" s="19">
        <f>HYPERLINK("https://www.jcpenney.com/s?searchTerm=196478476734", "Retail Link")</f>
        <v/>
      </c>
      <c r="J151" s="23" t="inlineStr">
        <is>
          <t>n/a</t>
        </is>
      </c>
      <c r="K151" s="21" t="inlineStr">
        <is>
          <t>adidas Women's VL Court 3.0 Sneaker, Halo Mint/White/Halo Mint, 5.5</t>
        </is>
      </c>
      <c r="L151" s="24" t="n"/>
      <c r="M151" s="24" t="n">
        <v>75</v>
      </c>
      <c r="N151" s="24" t="n"/>
      <c r="O151" s="24">
        <f>V151-M151</f>
        <v/>
      </c>
      <c r="P151" s="25">
        <f>N151/L151</f>
        <v/>
      </c>
      <c r="Q151" s="23" t="n">
        <v>815</v>
      </c>
      <c r="R151" s="23" t="n"/>
      <c r="S151" s="26" t="n">
        <v>1.4109568</v>
      </c>
      <c r="T151" s="24" t="n">
        <v>74.95</v>
      </c>
      <c r="U151" s="24" t="n">
        <v>70.20999999999999</v>
      </c>
      <c r="V151" s="24" t="n">
        <v>71.88</v>
      </c>
      <c r="W151" s="26" t="inlineStr">
        <is>
          <t>adidas Vl Court 3.0 Womens Sneakers</t>
        </is>
      </c>
      <c r="X151" s="23" t="n">
        <v>2</v>
      </c>
      <c r="Y151" s="18">
        <f>AC151-AB151</f>
        <v/>
      </c>
      <c r="Z151" s="27" t="n">
        <v>58</v>
      </c>
      <c r="AA151" s="27" t="n">
        <v>152</v>
      </c>
      <c r="AB151" s="27" t="n">
        <v>0</v>
      </c>
      <c r="AC151" s="27" t="n">
        <v>1562</v>
      </c>
      <c r="AD151" s="1" t="inlineStr">
        <is>
          <t>NLF94</t>
        </is>
      </c>
      <c r="AE151" s="1" t="inlineStr">
        <is>
          <t>Halo Mint/White/Halo Mint</t>
        </is>
      </c>
      <c r="AF151" s="4" t="n">
        <v>11.25</v>
      </c>
      <c r="AG151" s="4" t="n">
        <v>6.61</v>
      </c>
    </row>
    <row r="152" ht="47.25" customHeight="1">
      <c r="A152" s="18" t="inlineStr">
        <is>
          <t>196478476635</t>
        </is>
      </c>
      <c r="B152" s="19" t="inlineStr">
        <is>
          <t>https://www.amazon.com/dp/</t>
        </is>
      </c>
      <c r="C152" s="20" t="inlineStr">
        <is>
          <t>B0CKMNSWC8</t>
        </is>
      </c>
      <c r="D152" s="44" t="n"/>
      <c r="E152" s="23" t="inlineStr">
        <is>
          <t>?th=1&amp;psc=1&amp;tag=sdcdeals03-20</t>
        </is>
      </c>
      <c r="F152" s="19">
        <f>HYPERLINK("https://redirect.sdcdeals.com/redirect?destination=https%3A%2F%2Fwww.amazon.com%2Fdp%2FB0CKMNSWC8%3Fth%3D1%26psc%3D1%26tag%3Dsdcdeals03-20", "Amazon Link")</f>
        <v/>
      </c>
      <c r="G152" s="19" t="inlineStr">
        <is>
          <t>https://www.jcpenney.com/s?searchTerm={search_term}</t>
        </is>
      </c>
      <c r="H152" s="23" t="inlineStr">
        <is>
          <t>196478476635</t>
        </is>
      </c>
      <c r="I152" s="19">
        <f>HYPERLINK("https://www.jcpenney.com/s?searchTerm=196478476635", "Retail Link")</f>
        <v/>
      </c>
      <c r="J152" s="23" t="inlineStr">
        <is>
          <t>n/a</t>
        </is>
      </c>
      <c r="K152" s="21" t="inlineStr">
        <is>
          <t>adidas Women's VL Court 3.0 Sneaker, Halo Mint/White/Halo Mint, 6</t>
        </is>
      </c>
      <c r="L152" s="24" t="n"/>
      <c r="M152" s="24" t="n">
        <v>75</v>
      </c>
      <c r="N152" s="24" t="n"/>
      <c r="O152" s="24">
        <f>V152-M152</f>
        <v/>
      </c>
      <c r="P152" s="25">
        <f>N152/L152</f>
        <v/>
      </c>
      <c r="Q152" s="23" t="n">
        <v>755</v>
      </c>
      <c r="R152" s="23" t="n"/>
      <c r="S152" s="26" t="n">
        <v>1.6755112</v>
      </c>
      <c r="T152" s="24" t="n">
        <v>74.95</v>
      </c>
      <c r="U152" s="24" t="n">
        <v>70.79000000000001</v>
      </c>
      <c r="V152" s="24" t="n">
        <v>72.22</v>
      </c>
      <c r="W152" s="26" t="inlineStr">
        <is>
          <t>adidas Vl Court 3.0 Womens Sneakers</t>
        </is>
      </c>
      <c r="X152" s="23" t="n">
        <v>4</v>
      </c>
      <c r="Y152" s="18">
        <f>AC152-AB152</f>
        <v/>
      </c>
      <c r="Z152" s="27" t="n">
        <v>53</v>
      </c>
      <c r="AA152" s="27" t="n">
        <v>180</v>
      </c>
      <c r="AB152" s="27" t="n">
        <v>2</v>
      </c>
      <c r="AC152" s="27" t="n">
        <v>1562</v>
      </c>
      <c r="AD152" s="1" t="inlineStr">
        <is>
          <t>NLF94</t>
        </is>
      </c>
      <c r="AE152" s="1" t="inlineStr">
        <is>
          <t>Halo Mint/White/Halo Mint</t>
        </is>
      </c>
      <c r="AF152" s="4" t="n">
        <v>11.25</v>
      </c>
      <c r="AG152" s="4" t="n">
        <v>5.84</v>
      </c>
    </row>
    <row r="153" ht="47.25" customHeight="1">
      <c r="A153" s="18" t="inlineStr">
        <is>
          <t>196478476710</t>
        </is>
      </c>
      <c r="B153" s="19" t="inlineStr">
        <is>
          <t>https://www.amazon.com/dp/</t>
        </is>
      </c>
      <c r="C153" s="20" t="inlineStr">
        <is>
          <t>B0CKMQ8V7N</t>
        </is>
      </c>
      <c r="D153" s="44" t="n"/>
      <c r="E153" s="23" t="inlineStr">
        <is>
          <t>?th=1&amp;psc=1&amp;tag=sdcdeals03-20</t>
        </is>
      </c>
      <c r="F153" s="19">
        <f>HYPERLINK("https://redirect.sdcdeals.com/redirect?destination=https%3A%2F%2Fwww.amazon.com%2Fdp%2FB0CKMQ8V7N%3Fth%3D1%26psc%3D1%26tag%3Dsdcdeals03-20", "Amazon Link")</f>
        <v/>
      </c>
      <c r="G153" s="19" t="inlineStr">
        <is>
          <t>https://www.jcpenney.com/s?searchTerm={search_term}</t>
        </is>
      </c>
      <c r="H153" s="23" t="inlineStr">
        <is>
          <t>196478476710</t>
        </is>
      </c>
      <c r="I153" s="19">
        <f>HYPERLINK("https://www.jcpenney.com/s?searchTerm=196478476710", "Retail Link")</f>
        <v/>
      </c>
      <c r="J153" s="23" t="inlineStr">
        <is>
          <t>n/a</t>
        </is>
      </c>
      <c r="K153" s="21" t="inlineStr">
        <is>
          <t>adidas Women's VL Court 3.0 Sneaker, Halo Mint/White/Halo Mint, 6.5</t>
        </is>
      </c>
      <c r="L153" s="24" t="n"/>
      <c r="M153" s="24" t="n">
        <v>75</v>
      </c>
      <c r="N153" s="24" t="n"/>
      <c r="O153" s="24">
        <f>V153-M153</f>
        <v/>
      </c>
      <c r="P153" s="25">
        <f>N153/L153</f>
        <v/>
      </c>
      <c r="Q153" s="23" t="n">
        <v>815</v>
      </c>
      <c r="R153" s="23" t="n"/>
      <c r="S153" s="26" t="n">
        <v>1.51898318</v>
      </c>
      <c r="T153" s="24" t="n">
        <v>74.90000000000001</v>
      </c>
      <c r="U153" s="24" t="n">
        <v>72.94</v>
      </c>
      <c r="V153" s="24" t="n">
        <v>73.39</v>
      </c>
      <c r="W153" s="26" t="inlineStr">
        <is>
          <t>adidas Vl Court 3.0 Womens Sneakers</t>
        </is>
      </c>
      <c r="X153" s="23" t="n">
        <v>3</v>
      </c>
      <c r="Y153" s="18">
        <f>AC153-AB153</f>
        <v/>
      </c>
      <c r="Z153" s="27" t="n">
        <v>60</v>
      </c>
      <c r="AA153" s="27" t="n">
        <v>184</v>
      </c>
      <c r="AB153" s="27" t="n">
        <v>0</v>
      </c>
      <c r="AC153" s="27" t="n">
        <v>1562</v>
      </c>
      <c r="AD153" s="1" t="inlineStr">
        <is>
          <t>NLF94</t>
        </is>
      </c>
      <c r="AE153" s="1" t="inlineStr">
        <is>
          <t>Halo Mint/White/Halo Mint</t>
        </is>
      </c>
      <c r="AF153" s="4" t="n">
        <v>11.25</v>
      </c>
      <c r="AG153" s="4" t="n">
        <v>6.61</v>
      </c>
    </row>
    <row r="154" ht="47.25" customHeight="1">
      <c r="A154" s="18" t="inlineStr">
        <is>
          <t>196478476673</t>
        </is>
      </c>
      <c r="B154" s="19" t="inlineStr">
        <is>
          <t>https://www.amazon.com/dp/</t>
        </is>
      </c>
      <c r="C154" s="20" t="inlineStr">
        <is>
          <t>B0CKMMHWFP</t>
        </is>
      </c>
      <c r="D154" s="44" t="n"/>
      <c r="E154" s="23" t="inlineStr">
        <is>
          <t>?th=1&amp;psc=1&amp;tag=sdcdeals03-20</t>
        </is>
      </c>
      <c r="F154" s="19">
        <f>HYPERLINK("https://redirect.sdcdeals.com/redirect?destination=https%3A%2F%2Fwww.amazon.com%2Fdp%2FB0CKMMHWFP%3Fth%3D1%26psc%3D1%26tag%3Dsdcdeals03-20", "Amazon Link")</f>
        <v/>
      </c>
      <c r="G154" s="19" t="inlineStr">
        <is>
          <t>https://www.jcpenney.com/s?searchTerm={search_term}</t>
        </is>
      </c>
      <c r="H154" s="23" t="inlineStr">
        <is>
          <t>196478476673</t>
        </is>
      </c>
      <c r="I154" s="19">
        <f>HYPERLINK("https://www.jcpenney.com/s?searchTerm=196478476673", "Retail Link")</f>
        <v/>
      </c>
      <c r="J154" s="23" t="inlineStr">
        <is>
          <t>n/a</t>
        </is>
      </c>
      <c r="K154" s="21" t="inlineStr">
        <is>
          <t>adidas Women's VL Court 3.0 Sneaker, Halo Mint/White/Halo Mint, 7</t>
        </is>
      </c>
      <c r="L154" s="24" t="n"/>
      <c r="M154" s="24" t="n">
        <v>75</v>
      </c>
      <c r="N154" s="24" t="n"/>
      <c r="O154" s="24">
        <f>V154-M154</f>
        <v/>
      </c>
      <c r="P154" s="25">
        <f>N154/L154</f>
        <v/>
      </c>
      <c r="Q154" s="23" t="n">
        <v>815</v>
      </c>
      <c r="R154" s="23" t="n"/>
      <c r="S154" s="26" t="n">
        <v>1.58953102</v>
      </c>
      <c r="T154" s="24" t="n">
        <v>74.95</v>
      </c>
      <c r="U154" s="24" t="n">
        <v>72.27</v>
      </c>
      <c r="V154" s="24" t="n">
        <v>73.45</v>
      </c>
      <c r="W154" s="26" t="inlineStr">
        <is>
          <t>adidas Vl Court 3.0 Womens Sneakers</t>
        </is>
      </c>
      <c r="X154" s="23" t="n">
        <v>3</v>
      </c>
      <c r="Y154" s="18">
        <f>AC154-AB154</f>
        <v/>
      </c>
      <c r="Z154" s="27" t="n">
        <v>62</v>
      </c>
      <c r="AA154" s="27" t="n">
        <v>184</v>
      </c>
      <c r="AB154" s="27" t="n">
        <v>0</v>
      </c>
      <c r="AC154" s="27" t="n">
        <v>1562</v>
      </c>
      <c r="AD154" s="1" t="inlineStr">
        <is>
          <t>NLF94</t>
        </is>
      </c>
      <c r="AE154" s="1" t="inlineStr">
        <is>
          <t>Halo Mint/White/Halo Mint</t>
        </is>
      </c>
      <c r="AF154" s="4" t="n">
        <v>11.25</v>
      </c>
      <c r="AG154" s="4" t="n">
        <v>6.61</v>
      </c>
    </row>
    <row r="155" ht="47.25" customHeight="1">
      <c r="A155" s="18" t="inlineStr">
        <is>
          <t>196478476697</t>
        </is>
      </c>
      <c r="B155" s="19" t="inlineStr">
        <is>
          <t>https://www.amazon.com/dp/</t>
        </is>
      </c>
      <c r="C155" s="20" t="inlineStr">
        <is>
          <t>B0CKMNMZ31</t>
        </is>
      </c>
      <c r="D155" s="44" t="n"/>
      <c r="E155" s="23" t="inlineStr">
        <is>
          <t>?th=1&amp;psc=1&amp;tag=sdcdeals03-20</t>
        </is>
      </c>
      <c r="F155" s="19">
        <f>HYPERLINK("https://redirect.sdcdeals.com/redirect?destination=https%3A%2F%2Fwww.amazon.com%2Fdp%2FB0CKMNMZ31%3Fth%3D1%26psc%3D1%26tag%3Dsdcdeals03-20", "Amazon Link")</f>
        <v/>
      </c>
      <c r="G155" s="19" t="inlineStr">
        <is>
          <t>https://www.jcpenney.com/s?searchTerm={search_term}</t>
        </is>
      </c>
      <c r="H155" s="23" t="inlineStr">
        <is>
          <t>196478476697</t>
        </is>
      </c>
      <c r="I155" s="19">
        <f>HYPERLINK("https://www.jcpenney.com/s?searchTerm=196478476697", "Retail Link")</f>
        <v/>
      </c>
      <c r="J155" s="23" t="inlineStr">
        <is>
          <t>n/a</t>
        </is>
      </c>
      <c r="K155" s="21" t="inlineStr">
        <is>
          <t>adidas Women's VL Court 3.0 Sneaker, Halo Mint/White/Halo Mint, 7.5</t>
        </is>
      </c>
      <c r="L155" s="24" t="n"/>
      <c r="M155" s="24" t="n">
        <v>75</v>
      </c>
      <c r="N155" s="24" t="n"/>
      <c r="O155" s="24">
        <f>V155-M155</f>
        <v/>
      </c>
      <c r="P155" s="25">
        <f>N155/L155</f>
        <v/>
      </c>
      <c r="Q155" s="23" t="n">
        <v>815</v>
      </c>
      <c r="R155" s="23" t="n"/>
      <c r="S155" s="26" t="n">
        <v>1.62921418</v>
      </c>
      <c r="T155" s="24" t="n">
        <v>75</v>
      </c>
      <c r="U155" s="24" t="n">
        <v>73.18000000000001</v>
      </c>
      <c r="V155" s="24" t="n">
        <v>73.66</v>
      </c>
      <c r="W155" s="26" t="inlineStr">
        <is>
          <t>adidas Vl Court 3.0 Womens Sneakers</t>
        </is>
      </c>
      <c r="X155" s="23" t="n">
        <v>2</v>
      </c>
      <c r="Y155" s="18">
        <f>AC155-AB155</f>
        <v/>
      </c>
      <c r="Z155" s="27" t="n">
        <v>59</v>
      </c>
      <c r="AA155" s="27" t="n">
        <v>174</v>
      </c>
      <c r="AB155" s="27" t="n">
        <v>0</v>
      </c>
      <c r="AC155" s="27" t="n">
        <v>1566</v>
      </c>
      <c r="AD155" s="1" t="inlineStr">
        <is>
          <t>NLF94</t>
        </is>
      </c>
      <c r="AE155" s="1" t="inlineStr">
        <is>
          <t>Halo Mint/White/Halo Mint</t>
        </is>
      </c>
      <c r="AF155" s="4" t="n">
        <v>11.25</v>
      </c>
      <c r="AG155" s="4" t="n">
        <v>7.7</v>
      </c>
    </row>
    <row r="156" ht="47.25" customHeight="1">
      <c r="A156" s="18" t="inlineStr">
        <is>
          <t>196478476666</t>
        </is>
      </c>
      <c r="B156" s="19" t="inlineStr">
        <is>
          <t>https://www.amazon.com/dp/</t>
        </is>
      </c>
      <c r="C156" s="20" t="inlineStr">
        <is>
          <t>B0CKMPHNGX</t>
        </is>
      </c>
      <c r="D156" s="44" t="n"/>
      <c r="E156" s="23" t="inlineStr">
        <is>
          <t>?th=1&amp;psc=1&amp;tag=sdcdeals03-20</t>
        </is>
      </c>
      <c r="F156" s="19">
        <f>HYPERLINK("https://redirect.sdcdeals.com/redirect?destination=https%3A%2F%2Fwww.amazon.com%2Fdp%2FB0CKMPHNGX%3Fth%3D1%26psc%3D1%26tag%3Dsdcdeals03-20", "Amazon Link")</f>
        <v/>
      </c>
      <c r="G156" s="19" t="inlineStr">
        <is>
          <t>https://www.jcpenney.com/s?searchTerm={search_term}</t>
        </is>
      </c>
      <c r="H156" s="23" t="inlineStr">
        <is>
          <t>196478476666</t>
        </is>
      </c>
      <c r="I156" s="19">
        <f>HYPERLINK("https://www.jcpenney.com/s?searchTerm=196478476666", "Retail Link")</f>
        <v/>
      </c>
      <c r="J156" s="23" t="inlineStr">
        <is>
          <t>n/a</t>
        </is>
      </c>
      <c r="K156" s="21" t="inlineStr">
        <is>
          <t>adidas Women's VL Court 3.0 Sneaker, Halo Mint/White/Halo Mint, 8</t>
        </is>
      </c>
      <c r="L156" s="24" t="n"/>
      <c r="M156" s="24" t="n">
        <v>75</v>
      </c>
      <c r="N156" s="24" t="n"/>
      <c r="O156" s="24">
        <f>V156-M156</f>
        <v/>
      </c>
      <c r="P156" s="25">
        <f>N156/L156</f>
        <v/>
      </c>
      <c r="Q156" s="23" t="n">
        <v>815</v>
      </c>
      <c r="R156" s="23" t="n"/>
      <c r="S156" s="26" t="n">
        <v>1.9400656</v>
      </c>
      <c r="T156" s="24" t="n">
        <v>75</v>
      </c>
      <c r="U156" s="24" t="n">
        <v>68.69</v>
      </c>
      <c r="V156" s="24" t="n">
        <v>71.34</v>
      </c>
      <c r="W156" s="26" t="inlineStr">
        <is>
          <t>adidas Vl Court 3.0 Womens Sneakers</t>
        </is>
      </c>
      <c r="X156" s="23" t="n">
        <v>3</v>
      </c>
      <c r="Y156" s="18">
        <f>AC156-AB156</f>
        <v/>
      </c>
      <c r="Z156" s="27" t="n">
        <v>69</v>
      </c>
      <c r="AA156" s="27" t="n">
        <v>166</v>
      </c>
      <c r="AB156" s="27" t="n">
        <v>0</v>
      </c>
      <c r="AC156" s="27" t="n">
        <v>1569</v>
      </c>
      <c r="AD156" s="1" t="inlineStr">
        <is>
          <t>NLF94</t>
        </is>
      </c>
      <c r="AE156" s="1" t="inlineStr">
        <is>
          <t>Halo Mint/White/Halo Mint</t>
        </is>
      </c>
      <c r="AF156" s="4" t="n">
        <v>11.25</v>
      </c>
      <c r="AG156" s="4" t="n">
        <v>7.7</v>
      </c>
    </row>
    <row r="157" ht="47.25" customHeight="1">
      <c r="A157" s="18" t="inlineStr">
        <is>
          <t>196478476659</t>
        </is>
      </c>
      <c r="B157" s="19" t="inlineStr">
        <is>
          <t>https://www.amazon.com/dp/</t>
        </is>
      </c>
      <c r="C157" s="20" t="inlineStr">
        <is>
          <t>B0CKMPZZQL</t>
        </is>
      </c>
      <c r="D157" s="44" t="n"/>
      <c r="E157" s="23" t="inlineStr">
        <is>
          <t>?th=1&amp;psc=1&amp;tag=sdcdeals03-20</t>
        </is>
      </c>
      <c r="F157" s="19">
        <f>HYPERLINK("https://redirect.sdcdeals.com/redirect?destination=https%3A%2F%2Fwww.amazon.com%2Fdp%2FB0CKMPZZQL%3Fth%3D1%26psc%3D1%26tag%3Dsdcdeals03-20", "Amazon Link")</f>
        <v/>
      </c>
      <c r="G157" s="19" t="inlineStr">
        <is>
          <t>https://www.jcpenney.com/s?searchTerm={search_term}</t>
        </is>
      </c>
      <c r="H157" s="23" t="inlineStr">
        <is>
          <t>196478476659</t>
        </is>
      </c>
      <c r="I157" s="19">
        <f>HYPERLINK("https://www.jcpenney.com/s?searchTerm=196478476659", "Retail Link")</f>
        <v/>
      </c>
      <c r="J157" s="23" t="inlineStr">
        <is>
          <t>n/a</t>
        </is>
      </c>
      <c r="K157" s="21" t="inlineStr">
        <is>
          <t>adidas Women's VL Court 3.0 Sneaker, Halo Mint/White/Halo Mint, 8.5</t>
        </is>
      </c>
      <c r="L157" s="24" t="n"/>
      <c r="M157" s="24" t="n">
        <v>75</v>
      </c>
      <c r="N157" s="24" t="n"/>
      <c r="O157" s="24">
        <f>V157-M157</f>
        <v/>
      </c>
      <c r="P157" s="25">
        <f>N157/L157</f>
        <v/>
      </c>
      <c r="Q157" s="23" t="n">
        <v>815</v>
      </c>
      <c r="R157" s="23" t="n"/>
      <c r="S157" s="26" t="n">
        <v>1.67992044</v>
      </c>
      <c r="T157" s="24" t="n">
        <v>75</v>
      </c>
      <c r="U157" s="24" t="n">
        <v>70.17</v>
      </c>
      <c r="V157" s="24" t="n">
        <v>71.69</v>
      </c>
      <c r="W157" s="26" t="inlineStr">
        <is>
          <t>adidas Vl Court 3.0 Womens Sneakers</t>
        </is>
      </c>
      <c r="X157" s="23" t="n">
        <v>3</v>
      </c>
      <c r="Y157" s="18">
        <f>AC157-AB157</f>
        <v/>
      </c>
      <c r="Z157" s="27" t="n">
        <v>65</v>
      </c>
      <c r="AA157" s="27" t="n">
        <v>177</v>
      </c>
      <c r="AB157" s="27" t="n">
        <v>1</v>
      </c>
      <c r="AC157" s="27" t="n">
        <v>1566</v>
      </c>
      <c r="AD157" s="1" t="inlineStr">
        <is>
          <t>NLF94</t>
        </is>
      </c>
      <c r="AE157" s="1" t="inlineStr">
        <is>
          <t>Halo Mint/White/Halo Mint</t>
        </is>
      </c>
      <c r="AF157" s="4" t="n">
        <v>11.25</v>
      </c>
      <c r="AG157" s="4" t="n">
        <v>7.7</v>
      </c>
    </row>
    <row r="158" ht="47.25" customHeight="1">
      <c r="A158" s="18" t="inlineStr">
        <is>
          <t>196478476611</t>
        </is>
      </c>
      <c r="B158" s="19" t="inlineStr">
        <is>
          <t>https://www.amazon.com/dp/</t>
        </is>
      </c>
      <c r="C158" s="20" t="inlineStr">
        <is>
          <t>B0CKMMMKMT</t>
        </is>
      </c>
      <c r="D158" s="44" t="n"/>
      <c r="E158" s="23" t="inlineStr">
        <is>
          <t>?th=1&amp;psc=1&amp;tag=sdcdeals03-20</t>
        </is>
      </c>
      <c r="F158" s="19">
        <f>HYPERLINK("https://redirect.sdcdeals.com/redirect?destination=https%3A%2F%2Fwww.amazon.com%2Fdp%2FB0CKMMMKMT%3Fth%3D1%26psc%3D1%26tag%3Dsdcdeals03-20", "Amazon Link")</f>
        <v/>
      </c>
      <c r="G158" s="19" t="inlineStr">
        <is>
          <t>https://www.jcpenney.com/s?searchTerm={search_term}</t>
        </is>
      </c>
      <c r="H158" s="23" t="inlineStr">
        <is>
          <t>196478476611</t>
        </is>
      </c>
      <c r="I158" s="19">
        <f>HYPERLINK("https://www.jcpenney.com/s?searchTerm=196478476611", "Retail Link")</f>
        <v/>
      </c>
      <c r="J158" s="23" t="inlineStr">
        <is>
          <t>n/a</t>
        </is>
      </c>
      <c r="K158" s="21" t="inlineStr">
        <is>
          <t>adidas Women's VL Court 3.0 Sneaker, Halo Mint/White/Halo Mint, 9</t>
        </is>
      </c>
      <c r="L158" s="24" t="n"/>
      <c r="M158" s="24" t="n">
        <v>75</v>
      </c>
      <c r="N158" s="24" t="n"/>
      <c r="O158" s="24">
        <f>V158-M158</f>
        <v/>
      </c>
      <c r="P158" s="25">
        <f>N158/L158</f>
        <v/>
      </c>
      <c r="Q158" s="23" t="n">
        <v>815</v>
      </c>
      <c r="R158" s="23" t="n"/>
      <c r="S158" s="26" t="n">
        <v>2.03045502</v>
      </c>
      <c r="T158" s="24" t="n">
        <v>74.95</v>
      </c>
      <c r="U158" s="24" t="n">
        <v>69.04000000000001</v>
      </c>
      <c r="V158" s="24" t="n">
        <v>71.14</v>
      </c>
      <c r="W158" s="26" t="inlineStr">
        <is>
          <t>adidas Vl Court 3.0 Womens Sneakers</t>
        </is>
      </c>
      <c r="X158" s="23" t="n">
        <v>3</v>
      </c>
      <c r="Y158" s="18">
        <f>AC158-AB158</f>
        <v/>
      </c>
      <c r="Z158" s="27" t="n">
        <v>64</v>
      </c>
      <c r="AA158" s="27" t="n">
        <v>167</v>
      </c>
      <c r="AB158" s="27" t="n">
        <v>0</v>
      </c>
      <c r="AC158" s="27" t="n">
        <v>1566</v>
      </c>
      <c r="AD158" s="1" t="inlineStr">
        <is>
          <t>NLF94</t>
        </is>
      </c>
      <c r="AE158" s="1" t="inlineStr">
        <is>
          <t>Halo Mint/White/Halo Mint</t>
        </is>
      </c>
      <c r="AF158" s="4" t="n">
        <v>11.25</v>
      </c>
      <c r="AG158" s="4" t="n">
        <v>7.7</v>
      </c>
    </row>
    <row r="159" ht="47.25" customHeight="1">
      <c r="A159" s="18" t="inlineStr">
        <is>
          <t>196478476727</t>
        </is>
      </c>
      <c r="B159" s="19" t="inlineStr">
        <is>
          <t>https://www.amazon.com/dp/</t>
        </is>
      </c>
      <c r="C159" s="20" t="inlineStr">
        <is>
          <t>B0CKMN47TC</t>
        </is>
      </c>
      <c r="D159" s="44" t="n"/>
      <c r="E159" s="23" t="inlineStr">
        <is>
          <t>?th=1&amp;psc=1&amp;tag=sdcdeals03-20</t>
        </is>
      </c>
      <c r="F159" s="19">
        <f>HYPERLINK("https://redirect.sdcdeals.com/redirect?destination=https%3A%2F%2Fwww.amazon.com%2Fdp%2FB0CKMN47TC%3Fth%3D1%26psc%3D1%26tag%3Dsdcdeals03-20", "Amazon Link")</f>
        <v/>
      </c>
      <c r="G159" s="19" t="inlineStr">
        <is>
          <t>https://www.jcpenney.com/s?searchTerm={search_term}</t>
        </is>
      </c>
      <c r="H159" s="23" t="inlineStr">
        <is>
          <t>196478476727</t>
        </is>
      </c>
      <c r="I159" s="19">
        <f>HYPERLINK("https://www.jcpenney.com/s?searchTerm=196478476727", "Retail Link")</f>
        <v/>
      </c>
      <c r="J159" s="23" t="inlineStr">
        <is>
          <t>n/a</t>
        </is>
      </c>
      <c r="K159" s="21" t="inlineStr">
        <is>
          <t>adidas Women's VL Court 3.0 Sneaker, Halo Mint/White/Halo Mint, 9.5</t>
        </is>
      </c>
      <c r="L159" s="24" t="n"/>
      <c r="M159" s="24" t="n">
        <v>75</v>
      </c>
      <c r="N159" s="24" t="n"/>
      <c r="O159" s="24">
        <f>V159-M159</f>
        <v/>
      </c>
      <c r="P159" s="25">
        <f>N159/L159</f>
        <v/>
      </c>
      <c r="Q159" s="23" t="n">
        <v>815</v>
      </c>
      <c r="R159" s="23" t="n"/>
      <c r="S159" s="26" t="n">
        <v>1.8188115</v>
      </c>
      <c r="T159" s="24" t="n">
        <v>75</v>
      </c>
      <c r="U159" s="24" t="n">
        <v>70.44</v>
      </c>
      <c r="V159" s="24" t="n">
        <v>72.33</v>
      </c>
      <c r="W159" s="26" t="inlineStr">
        <is>
          <t>adidas Vl Court 3.0 Womens Sneakers</t>
        </is>
      </c>
      <c r="X159" s="23" t="n">
        <v>2</v>
      </c>
      <c r="Y159" s="18">
        <f>AC159-AB159</f>
        <v/>
      </c>
      <c r="Z159" s="27" t="n">
        <v>64</v>
      </c>
      <c r="AA159" s="27" t="n">
        <v>165</v>
      </c>
      <c r="AB159" s="27" t="n">
        <v>0</v>
      </c>
      <c r="AC159" s="27" t="n">
        <v>1562</v>
      </c>
      <c r="AD159" s="1" t="inlineStr">
        <is>
          <t>NLF94</t>
        </is>
      </c>
      <c r="AE159" s="1" t="inlineStr">
        <is>
          <t>Halo Mint/White/Halo Mint</t>
        </is>
      </c>
      <c r="AF159" s="4" t="n">
        <v>11.25</v>
      </c>
      <c r="AG159" s="4" t="n">
        <v>7.62</v>
      </c>
    </row>
    <row r="160" ht="47.25" customHeight="1">
      <c r="A160" s="18" t="inlineStr">
        <is>
          <t>196478476604</t>
        </is>
      </c>
      <c r="B160" s="19" t="inlineStr">
        <is>
          <t>https://www.amazon.com/dp/</t>
        </is>
      </c>
      <c r="C160" s="20" t="inlineStr">
        <is>
          <t>B0CKMP4GS9</t>
        </is>
      </c>
      <c r="D160" s="44" t="n"/>
      <c r="E160" s="23" t="inlineStr">
        <is>
          <t>?th=1&amp;psc=1&amp;tag=sdcdeals03-20</t>
        </is>
      </c>
      <c r="F160" s="19">
        <f>HYPERLINK("https://redirect.sdcdeals.com/redirect?destination=https%3A%2F%2Fwww.amazon.com%2Fdp%2FB0CKMP4GS9%3Fth%3D1%26psc%3D1%26tag%3Dsdcdeals03-20", "Amazon Link")</f>
        <v/>
      </c>
      <c r="G160" s="19" t="inlineStr">
        <is>
          <t>https://www.jcpenney.com/s?searchTerm={search_term}</t>
        </is>
      </c>
      <c r="H160" s="23" t="inlineStr">
        <is>
          <t>196478476604</t>
        </is>
      </c>
      <c r="I160" s="19">
        <f>HYPERLINK("https://www.jcpenney.com/s?searchTerm=196478476604", "Retail Link")</f>
        <v/>
      </c>
      <c r="J160" s="23" t="inlineStr">
        <is>
          <t>n/a</t>
        </is>
      </c>
      <c r="K160" s="21" t="inlineStr">
        <is>
          <t>adidas Women's VL Court 3.0 Sneaker, Halo Mint/White/Halo Mint, 10</t>
        </is>
      </c>
      <c r="L160" s="24" t="n"/>
      <c r="M160" s="24" t="n">
        <v>75</v>
      </c>
      <c r="N160" s="24" t="n"/>
      <c r="O160" s="24">
        <f>V160-M160</f>
        <v/>
      </c>
      <c r="P160" s="25">
        <f>N160/L160</f>
        <v/>
      </c>
      <c r="Q160" s="23" t="n">
        <v>815</v>
      </c>
      <c r="R160" s="23" t="n"/>
      <c r="S160" s="26" t="n">
        <v>2.07013818</v>
      </c>
      <c r="T160" s="24" t="n">
        <v>75</v>
      </c>
      <c r="U160" s="24" t="n">
        <v>68.41</v>
      </c>
      <c r="V160" s="24" t="n">
        <v>70.79000000000001</v>
      </c>
      <c r="W160" s="26" t="inlineStr">
        <is>
          <t>adidas Vl Court 3.0 Womens Sneakers</t>
        </is>
      </c>
      <c r="X160" s="23" t="n">
        <v>2</v>
      </c>
      <c r="Y160" s="18">
        <f>AC160-AB160</f>
        <v/>
      </c>
      <c r="Z160" s="27" t="n">
        <v>69</v>
      </c>
      <c r="AA160" s="27" t="n">
        <v>168</v>
      </c>
      <c r="AB160" s="27" t="n">
        <v>0</v>
      </c>
      <c r="AC160" s="27" t="n">
        <v>1562</v>
      </c>
      <c r="AD160" s="1" t="inlineStr">
        <is>
          <t>NLF94</t>
        </is>
      </c>
      <c r="AE160" s="1" t="inlineStr">
        <is>
          <t>Halo Mint/White/Halo Mint</t>
        </is>
      </c>
      <c r="AF160" s="4" t="n">
        <v>11.25</v>
      </c>
      <c r="AG160" s="4" t="n">
        <v>7.7</v>
      </c>
    </row>
    <row r="161" ht="47.25" customHeight="1">
      <c r="A161" s="18" t="inlineStr">
        <is>
          <t>196478476642</t>
        </is>
      </c>
      <c r="B161" s="19" t="inlineStr">
        <is>
          <t>https://www.amazon.com/dp/</t>
        </is>
      </c>
      <c r="C161" s="20" t="inlineStr">
        <is>
          <t>B0CKMNRDK7</t>
        </is>
      </c>
      <c r="D161" s="44" t="n"/>
      <c r="E161" s="23" t="inlineStr">
        <is>
          <t>?th=1&amp;psc=1&amp;tag=sdcdeals03-20</t>
        </is>
      </c>
      <c r="F161" s="19">
        <f>HYPERLINK("https://redirect.sdcdeals.com/redirect?destination=https%3A%2F%2Fwww.amazon.com%2Fdp%2FB0CKMNRDK7%3Fth%3D1%26psc%3D1%26tag%3Dsdcdeals03-20", "Amazon Link")</f>
        <v/>
      </c>
      <c r="G161" s="19" t="inlineStr">
        <is>
          <t>https://www.jcpenney.com/s?searchTerm={search_term}</t>
        </is>
      </c>
      <c r="H161" s="23" t="inlineStr">
        <is>
          <t>196478476642</t>
        </is>
      </c>
      <c r="I161" s="19">
        <f>HYPERLINK("https://www.jcpenney.com/s?searchTerm=196478476642", "Retail Link")</f>
        <v/>
      </c>
      <c r="J161" s="23" t="inlineStr">
        <is>
          <t>n/a</t>
        </is>
      </c>
      <c r="K161" s="21" t="inlineStr">
        <is>
          <t>adidas Women's VL Court 3.0 Sneaker, Halo Mint/White/Halo Mint, 11</t>
        </is>
      </c>
      <c r="L161" s="24" t="n"/>
      <c r="M161" s="24" t="n">
        <v>75</v>
      </c>
      <c r="N161" s="24" t="n"/>
      <c r="O161" s="24">
        <f>V161-M161</f>
        <v/>
      </c>
      <c r="P161" s="25">
        <f>N161/L161</f>
        <v/>
      </c>
      <c r="Q161" s="23" t="n">
        <v>815</v>
      </c>
      <c r="R161" s="23" t="n"/>
      <c r="S161" s="26" t="n">
        <v>2.26194012</v>
      </c>
      <c r="T161" s="24" t="n">
        <v>74.95</v>
      </c>
      <c r="U161" s="24" t="n">
        <v>68.8</v>
      </c>
      <c r="V161" s="24" t="n">
        <v>71.05</v>
      </c>
      <c r="W161" s="26" t="inlineStr">
        <is>
          <t>adidas Vl Court 3.0 Womens Sneakers</t>
        </is>
      </c>
      <c r="X161" s="23" t="n">
        <v>2</v>
      </c>
      <c r="Y161" s="18">
        <f>AC161-AB161</f>
        <v/>
      </c>
      <c r="Z161" s="27" t="n">
        <v>50</v>
      </c>
      <c r="AA161" s="27" t="n">
        <v>147</v>
      </c>
      <c r="AB161" s="27" t="n">
        <v>0</v>
      </c>
      <c r="AC161" s="27" t="n">
        <v>1562</v>
      </c>
      <c r="AD161" s="1" t="inlineStr">
        <is>
          <t>NLF94</t>
        </is>
      </c>
      <c r="AE161" s="1" t="inlineStr">
        <is>
          <t>Halo Mint/White/Halo Mint</t>
        </is>
      </c>
      <c r="AF161" s="4" t="n">
        <v>11.25</v>
      </c>
      <c r="AG161" s="4" t="n">
        <v>7.86</v>
      </c>
    </row>
    <row r="162" ht="47.25" customHeight="1">
      <c r="A162" s="18" t="inlineStr">
        <is>
          <t>196474610200</t>
        </is>
      </c>
      <c r="B162" s="19" t="inlineStr">
        <is>
          <t>https://www.amazon.com/dp/</t>
        </is>
      </c>
      <c r="C162" s="20" t="inlineStr">
        <is>
          <t>B0C2JZ2PJR</t>
        </is>
      </c>
      <c r="D162" s="44" t="n"/>
      <c r="E162" s="23" t="inlineStr">
        <is>
          <t>?th=1&amp;psc=1&amp;tag=sdcdeals03-20</t>
        </is>
      </c>
      <c r="F162" s="19">
        <f>HYPERLINK("https://redirect.sdcdeals.com/redirect?destination=https%3A%2F%2Fwww.amazon.com%2Fdp%2FB0C2JZ2PJR%3Fth%3D1%26psc%3D1%26tag%3Dsdcdeals03-20", "Amazon Link")</f>
        <v/>
      </c>
      <c r="G162" s="19" t="inlineStr">
        <is>
          <t>https://www.jcpenney.com/s?searchTerm={search_term}</t>
        </is>
      </c>
      <c r="H162" s="23" t="inlineStr">
        <is>
          <t>196474610200</t>
        </is>
      </c>
      <c r="I162" s="19">
        <f>HYPERLINK("https://www.jcpenney.com/s?searchTerm=196474610200", "Retail Link")</f>
        <v/>
      </c>
      <c r="J162" s="23" t="inlineStr">
        <is>
          <t>n/a</t>
        </is>
      </c>
      <c r="K162" s="21" t="inlineStr">
        <is>
          <t>adidas Women's VL Court 3.0 Sneaker</t>
        </is>
      </c>
      <c r="L162" s="24" t="n"/>
      <c r="M162" s="24" t="n">
        <v>74.95</v>
      </c>
      <c r="N162" s="24" t="n"/>
      <c r="O162" s="24">
        <f>V162-M162</f>
        <v/>
      </c>
      <c r="P162" s="25">
        <f>N162/L162</f>
        <v/>
      </c>
      <c r="Q162" s="23" t="n">
        <v>815</v>
      </c>
      <c r="R162" s="23" t="n"/>
      <c r="S162" s="26" t="n">
        <v>2.31044176</v>
      </c>
      <c r="T162" s="24" t="n">
        <v>74.95</v>
      </c>
      <c r="U162" s="24" t="n">
        <v>67.36</v>
      </c>
      <c r="V162" s="24" t="n">
        <v>69.81999999999999</v>
      </c>
      <c r="W162" s="26" t="inlineStr">
        <is>
          <t>adidas Vl Court 3.0 Womens Sneakers</t>
        </is>
      </c>
      <c r="X162" s="23" t="n">
        <v>2</v>
      </c>
      <c r="Y162" s="18">
        <f>AC162-AB162</f>
        <v/>
      </c>
      <c r="Z162" s="27" t="n">
        <v>57</v>
      </c>
      <c r="AA162" s="27" t="n">
        <v>184</v>
      </c>
      <c r="AB162" s="27" t="n">
        <v>0</v>
      </c>
      <c r="AC162" s="27" t="n">
        <v>1566</v>
      </c>
      <c r="AD162" s="1" t="inlineStr">
        <is>
          <t>NLF94</t>
        </is>
      </c>
      <c r="AE162" s="1" t="inlineStr">
        <is>
          <t>Black/White/Gold Metallic</t>
        </is>
      </c>
      <c r="AF162" s="4" t="n">
        <v>11.24</v>
      </c>
      <c r="AG162" s="4" t="n">
        <v>6.61</v>
      </c>
    </row>
    <row r="163" ht="47.25" customHeight="1">
      <c r="A163" s="18" t="inlineStr">
        <is>
          <t>196474610187</t>
        </is>
      </c>
      <c r="B163" s="19" t="inlineStr">
        <is>
          <t>https://www.amazon.com/dp/</t>
        </is>
      </c>
      <c r="C163" s="20" t="inlineStr">
        <is>
          <t>B0C2JXRQT4</t>
        </is>
      </c>
      <c r="D163" s="44" t="n"/>
      <c r="E163" s="23" t="inlineStr">
        <is>
          <t>?th=1&amp;psc=1&amp;tag=sdcdeals03-20</t>
        </is>
      </c>
      <c r="F163" s="19">
        <f>HYPERLINK("https://redirect.sdcdeals.com/redirect?destination=https%3A%2F%2Fwww.amazon.com%2Fdp%2FB0C2JXRQT4%3Fth%3D1%26psc%3D1%26tag%3Dsdcdeals03-20", "Amazon Link")</f>
        <v/>
      </c>
      <c r="G163" s="19" t="inlineStr">
        <is>
          <t>https://www.jcpenney.com/s?searchTerm={search_term}</t>
        </is>
      </c>
      <c r="H163" s="23" t="inlineStr">
        <is>
          <t>196474610187</t>
        </is>
      </c>
      <c r="I163" s="19">
        <f>HYPERLINK("https://www.jcpenney.com/s?searchTerm=196474610187", "Retail Link")</f>
        <v/>
      </c>
      <c r="J163" s="23" t="inlineStr">
        <is>
          <t>n/a</t>
        </is>
      </c>
      <c r="K163" s="21" t="inlineStr">
        <is>
          <t>adidas Women's VL Court 3.0 Sneaker</t>
        </is>
      </c>
      <c r="L163" s="24" t="n"/>
      <c r="M163" s="24" t="n">
        <v>74.95</v>
      </c>
      <c r="N163" s="24" t="n"/>
      <c r="O163" s="24">
        <f>V163-M163</f>
        <v/>
      </c>
      <c r="P163" s="25">
        <f>N163/L163</f>
        <v/>
      </c>
      <c r="Q163" s="23" t="n">
        <v>815</v>
      </c>
      <c r="R163" s="23" t="n"/>
      <c r="S163" s="26" t="n">
        <v>1.53882476</v>
      </c>
      <c r="T163" s="24" t="n">
        <v>74.95</v>
      </c>
      <c r="U163" s="24" t="n">
        <v>66.16</v>
      </c>
      <c r="V163" s="24" t="n">
        <v>67.11</v>
      </c>
      <c r="W163" s="26" t="inlineStr">
        <is>
          <t>adidas Vl Court 3.0 Womens Sneakers</t>
        </is>
      </c>
      <c r="X163" s="23" t="n">
        <v>5</v>
      </c>
      <c r="Y163" s="18">
        <f>AC163-AB163</f>
        <v/>
      </c>
      <c r="Z163" s="27" t="n">
        <v>64</v>
      </c>
      <c r="AA163" s="27" t="n">
        <v>209</v>
      </c>
      <c r="AB163" s="27" t="n">
        <v>3</v>
      </c>
      <c r="AC163" s="27" t="n">
        <v>1570</v>
      </c>
      <c r="AD163" s="1" t="inlineStr">
        <is>
          <t>NLF94</t>
        </is>
      </c>
      <c r="AE163" s="1" t="inlineStr">
        <is>
          <t>Black/White/Gold Metallic</t>
        </is>
      </c>
      <c r="AF163" s="4" t="n">
        <v>11.24</v>
      </c>
      <c r="AG163" s="4" t="n">
        <v>7.86</v>
      </c>
    </row>
    <row r="164" ht="47.25" customHeight="1">
      <c r="A164" s="18" t="inlineStr">
        <is>
          <t>196474612648</t>
        </is>
      </c>
      <c r="B164" s="19" t="inlineStr">
        <is>
          <t>https://www.amazon.com/dp/</t>
        </is>
      </c>
      <c r="C164" s="20" t="inlineStr">
        <is>
          <t>B0DJP6D54S</t>
        </is>
      </c>
      <c r="D164" s="44" t="n"/>
      <c r="E164" s="23" t="inlineStr">
        <is>
          <t>?th=1&amp;psc=1&amp;tag=sdcdeals03-20</t>
        </is>
      </c>
      <c r="F164" s="19">
        <f>HYPERLINK("https://redirect.sdcdeals.com/redirect?destination=https%3A%2F%2Fwww.amazon.com%2Fdp%2FB0DJP6D54S%3Fth%3D1%26psc%3D1%26tag%3Dsdcdeals03-20", "Amazon Link")</f>
        <v/>
      </c>
      <c r="G164" s="19" t="inlineStr">
        <is>
          <t>https://www.jcpenney.com/s?searchTerm={search_term}</t>
        </is>
      </c>
      <c r="H164" s="23" t="inlineStr">
        <is>
          <t>196474612648</t>
        </is>
      </c>
      <c r="I164" s="19">
        <f>HYPERLINK("https://www.jcpenney.com/s?searchTerm=196474612648", "Retail Link")</f>
        <v/>
      </c>
      <c r="J164" s="23" t="inlineStr">
        <is>
          <t>n/a</t>
        </is>
      </c>
      <c r="K164" s="21" t="inlineStr">
        <is>
          <t>adidas VL Court 3.0 Shoes Black/White</t>
        </is>
      </c>
      <c r="L164" s="24" t="n"/>
      <c r="M164" s="24" t="n">
        <v>74.98999999999999</v>
      </c>
      <c r="N164" s="24" t="n"/>
      <c r="O164" s="24">
        <f>V164-M164</f>
        <v/>
      </c>
      <c r="P164" s="25">
        <f>N164/L164</f>
        <v/>
      </c>
      <c r="Q164" s="23" t="n"/>
      <c r="R164" s="23" t="n"/>
      <c r="S164" s="26" t="n">
        <v>0.5004487400000001</v>
      </c>
      <c r="T164" s="24" t="n">
        <v>74.98999999999999</v>
      </c>
      <c r="U164" s="24" t="n">
        <v>74.98999999999999</v>
      </c>
      <c r="V164" s="24" t="n">
        <v>74.98999999999999</v>
      </c>
      <c r="W164" s="26" t="inlineStr">
        <is>
          <t>adidas Vl Court 3.0 Womens Sneakers</t>
        </is>
      </c>
      <c r="X164" s="23" t="n">
        <v>1</v>
      </c>
      <c r="Y164" s="18">
        <f>AC164-AB164</f>
        <v/>
      </c>
      <c r="Z164" s="27" t="n">
        <v>-1</v>
      </c>
      <c r="AA164" s="27" t="n">
        <v>-1</v>
      </c>
      <c r="AB164" s="27" t="n"/>
      <c r="AC164" s="27" t="n"/>
      <c r="AD164" s="1" t="inlineStr">
        <is>
          <t>47496112501</t>
        </is>
      </c>
      <c r="AE164" s="1" t="inlineStr">
        <is>
          <t>Black/White</t>
        </is>
      </c>
      <c r="AF164" s="4" t="n">
        <v>11.25</v>
      </c>
      <c r="AG164" s="4" t="n">
        <v>5.29</v>
      </c>
    </row>
    <row r="165" ht="47.25" customHeight="1">
      <c r="A165" s="18" t="inlineStr">
        <is>
          <t>196474612648</t>
        </is>
      </c>
      <c r="B165" s="19" t="inlineStr">
        <is>
          <t>https://www.amazon.com/dp/</t>
        </is>
      </c>
      <c r="C165" s="20" t="inlineStr">
        <is>
          <t>B0C2JYWHZ4</t>
        </is>
      </c>
      <c r="D165" s="44" t="n"/>
      <c r="E165" s="23" t="inlineStr">
        <is>
          <t>?th=1&amp;psc=1&amp;tag=sdcdeals03-20</t>
        </is>
      </c>
      <c r="F165" s="19">
        <f>HYPERLINK("https://redirect.sdcdeals.com/redirect?destination=https%3A%2F%2Fwww.amazon.com%2Fdp%2FB0C2JYWHZ4%3Fth%3D1%26psc%3D1%26tag%3Dsdcdeals03-20", "Amazon Link")</f>
        <v/>
      </c>
      <c r="G165" s="19" t="inlineStr">
        <is>
          <t>https://www.jcpenney.com/s?searchTerm={search_term}</t>
        </is>
      </c>
      <c r="H165" s="23" t="inlineStr">
        <is>
          <t>196474612648</t>
        </is>
      </c>
      <c r="I165" s="19">
        <f>HYPERLINK("https://www.jcpenney.com/s?searchTerm=196474612648", "Retail Link")</f>
        <v/>
      </c>
      <c r="J165" s="23" t="inlineStr">
        <is>
          <t>n/a</t>
        </is>
      </c>
      <c r="K165" s="21" t="inlineStr">
        <is>
          <t>adidas Women's VL Court 3.0 Sneaker</t>
        </is>
      </c>
      <c r="L165" s="24" t="n"/>
      <c r="M165" s="24" t="n">
        <v>74.95</v>
      </c>
      <c r="N165" s="24" t="n"/>
      <c r="O165" s="24">
        <f>V165-M165</f>
        <v/>
      </c>
      <c r="P165" s="25">
        <f>N165/L165</f>
        <v/>
      </c>
      <c r="Q165" s="23" t="n">
        <v>729</v>
      </c>
      <c r="R165" s="23" t="n"/>
      <c r="S165" s="26" t="n">
        <v>1.54102938</v>
      </c>
      <c r="T165" s="24" t="n">
        <v>74.95</v>
      </c>
      <c r="U165" s="24" t="n">
        <v>67.19</v>
      </c>
      <c r="V165" s="24" t="n">
        <v>67.84</v>
      </c>
      <c r="W165" s="26" t="inlineStr">
        <is>
          <t>adidas Vl Court 3.0 Womens Sneakers</t>
        </is>
      </c>
      <c r="X165" s="23" t="n">
        <v>6</v>
      </c>
      <c r="Y165" s="18">
        <f>AC165-AB165</f>
        <v/>
      </c>
      <c r="Z165" s="27" t="n">
        <v>75</v>
      </c>
      <c r="AA165" s="27" t="n">
        <v>212</v>
      </c>
      <c r="AB165" s="27" t="n">
        <v>2</v>
      </c>
      <c r="AC165" s="27" t="n">
        <v>1570</v>
      </c>
      <c r="AD165" s="1" t="inlineStr">
        <is>
          <t>NLF94</t>
        </is>
      </c>
      <c r="AE165" s="1" t="inlineStr">
        <is>
          <t>Black/White/Gold Metallic</t>
        </is>
      </c>
      <c r="AF165" s="4" t="n">
        <v>11.24</v>
      </c>
      <c r="AG165" s="4" t="n">
        <v>6.61</v>
      </c>
    </row>
    <row r="166" ht="47.25" customHeight="1">
      <c r="A166" s="18" t="inlineStr">
        <is>
          <t>196474612662</t>
        </is>
      </c>
      <c r="B166" s="19" t="inlineStr">
        <is>
          <t>https://www.amazon.com/dp/</t>
        </is>
      </c>
      <c r="C166" s="20" t="inlineStr">
        <is>
          <t>B0DJP4RPX8</t>
        </is>
      </c>
      <c r="D166" s="44" t="n"/>
      <c r="E166" s="23" t="inlineStr">
        <is>
          <t>?th=1&amp;psc=1&amp;tag=sdcdeals03-20</t>
        </is>
      </c>
      <c r="F166" s="19">
        <f>HYPERLINK("https://redirect.sdcdeals.com/redirect?destination=https%3A%2F%2Fwww.amazon.com%2Fdp%2FB0DJP4RPX8%3Fth%3D1%26psc%3D1%26tag%3Dsdcdeals03-20", "Amazon Link")</f>
        <v/>
      </c>
      <c r="G166" s="19" t="inlineStr">
        <is>
          <t>https://www.jcpenney.com/s?searchTerm={search_term}</t>
        </is>
      </c>
      <c r="H166" s="23" t="inlineStr">
        <is>
          <t>196474612662</t>
        </is>
      </c>
      <c r="I166" s="19">
        <f>HYPERLINK("https://www.jcpenney.com/s?searchTerm=196474612662", "Retail Link")</f>
        <v/>
      </c>
      <c r="J166" s="23" t="inlineStr">
        <is>
          <t>n/a</t>
        </is>
      </c>
      <c r="K166" s="21" t="inlineStr">
        <is>
          <t>adidas VL Court 3.0 Shoes Black/White</t>
        </is>
      </c>
      <c r="L166" s="24" t="n"/>
      <c r="M166" s="24" t="n">
        <v>74.98999999999999</v>
      </c>
      <c r="N166" s="24" t="n"/>
      <c r="O166" s="24">
        <f>V166-M166</f>
        <v/>
      </c>
      <c r="P166" s="25">
        <f>N166/L166</f>
        <v/>
      </c>
      <c r="Q166" s="23" t="n"/>
      <c r="R166" s="23" t="n"/>
      <c r="S166" s="26" t="n">
        <v>0.5004487400000001</v>
      </c>
      <c r="T166" s="24" t="n">
        <v>74.98999999999999</v>
      </c>
      <c r="U166" s="24" t="n">
        <v>74.98999999999999</v>
      </c>
      <c r="V166" s="24" t="n">
        <v>74.98999999999999</v>
      </c>
      <c r="W166" s="26" t="inlineStr">
        <is>
          <t>adidas Vl Court 3.0 Womens Sneakers</t>
        </is>
      </c>
      <c r="X166" s="23" t="n">
        <v>1</v>
      </c>
      <c r="Y166" s="18">
        <f>AC166-AB166</f>
        <v/>
      </c>
      <c r="Z166" s="27" t="n">
        <v>-1</v>
      </c>
      <c r="AA166" s="27" t="n">
        <v>-1</v>
      </c>
      <c r="AB166" s="27" t="n"/>
      <c r="AC166" s="27" t="n"/>
      <c r="AD166" s="1" t="inlineStr">
        <is>
          <t>47496112502</t>
        </is>
      </c>
      <c r="AE166" s="1" t="inlineStr">
        <is>
          <t>Black/White</t>
        </is>
      </c>
      <c r="AF166" s="4" t="n">
        <v>11.25</v>
      </c>
      <c r="AG166" s="4" t="n">
        <v>5.29</v>
      </c>
    </row>
    <row r="167" ht="47.25" customHeight="1">
      <c r="A167" s="18" t="inlineStr">
        <is>
          <t>196474612662</t>
        </is>
      </c>
      <c r="B167" s="19" t="inlineStr">
        <is>
          <t>https://www.amazon.com/dp/</t>
        </is>
      </c>
      <c r="C167" s="20" t="inlineStr">
        <is>
          <t>B0C2JZX32H</t>
        </is>
      </c>
      <c r="D167" s="44" t="n"/>
      <c r="E167" s="23" t="inlineStr">
        <is>
          <t>?th=1&amp;psc=1&amp;tag=sdcdeals03-20</t>
        </is>
      </c>
      <c r="F167" s="19">
        <f>HYPERLINK("https://redirect.sdcdeals.com/redirect?destination=https%3A%2F%2Fwww.amazon.com%2Fdp%2FB0C2JZX32H%3Fth%3D1%26psc%3D1%26tag%3Dsdcdeals03-20", "Amazon Link")</f>
        <v/>
      </c>
      <c r="G167" s="19" t="inlineStr">
        <is>
          <t>https://www.jcpenney.com/s?searchTerm={search_term}</t>
        </is>
      </c>
      <c r="H167" s="23" t="inlineStr">
        <is>
          <t>196474612662</t>
        </is>
      </c>
      <c r="I167" s="19">
        <f>HYPERLINK("https://www.jcpenney.com/s?searchTerm=196474612662", "Retail Link")</f>
        <v/>
      </c>
      <c r="J167" s="23" t="inlineStr">
        <is>
          <t>n/a</t>
        </is>
      </c>
      <c r="K167" s="21" t="inlineStr">
        <is>
          <t>adidas Women's VL Court 3.0 Sneaker</t>
        </is>
      </c>
      <c r="L167" s="24" t="n"/>
      <c r="M167" s="24" t="n">
        <v>74.95</v>
      </c>
      <c r="N167" s="24" t="n"/>
      <c r="O167" s="24">
        <f>V167-M167</f>
        <v/>
      </c>
      <c r="P167" s="25">
        <f>N167/L167</f>
        <v/>
      </c>
      <c r="Q167" s="23" t="n">
        <v>755</v>
      </c>
      <c r="R167" s="23" t="n"/>
      <c r="S167" s="26" t="n">
        <v>1.5652802</v>
      </c>
      <c r="T167" s="24" t="n">
        <v>74.95</v>
      </c>
      <c r="U167" s="24" t="n">
        <v>68.7</v>
      </c>
      <c r="V167" s="24" t="n">
        <v>68.81</v>
      </c>
      <c r="W167" s="26" t="inlineStr">
        <is>
          <t>adidas Vl Court 3.0 Womens Sneakers</t>
        </is>
      </c>
      <c r="X167" s="23" t="n">
        <v>5</v>
      </c>
      <c r="Y167" s="18">
        <f>AC167-AB167</f>
        <v/>
      </c>
      <c r="Z167" s="27" t="n">
        <v>66</v>
      </c>
      <c r="AA167" s="27" t="n">
        <v>218</v>
      </c>
      <c r="AB167" s="27" t="n">
        <v>4</v>
      </c>
      <c r="AC167" s="27" t="n">
        <v>1562</v>
      </c>
      <c r="AD167" s="1" t="inlineStr">
        <is>
          <t>NLF94</t>
        </is>
      </c>
      <c r="AE167" s="1" t="inlineStr">
        <is>
          <t>Black/White/Gold Metallic</t>
        </is>
      </c>
      <c r="AF167" s="4" t="n">
        <v>11.24</v>
      </c>
      <c r="AG167" s="4" t="n">
        <v>6.61</v>
      </c>
    </row>
    <row r="168" ht="47.25" customHeight="1">
      <c r="A168" s="18" t="inlineStr">
        <is>
          <t>196474612631</t>
        </is>
      </c>
      <c r="B168" s="19" t="inlineStr">
        <is>
          <t>https://www.amazon.com/dp/</t>
        </is>
      </c>
      <c r="C168" s="20" t="inlineStr">
        <is>
          <t>B0C2K1H1NK</t>
        </is>
      </c>
      <c r="D168" s="44" t="n"/>
      <c r="E168" s="23" t="inlineStr">
        <is>
          <t>?th=1&amp;psc=1&amp;tag=sdcdeals03-20</t>
        </is>
      </c>
      <c r="F168" s="19">
        <f>HYPERLINK("https://redirect.sdcdeals.com/redirect?destination=https%3A%2F%2Fwww.amazon.com%2Fdp%2FB0C2K1H1NK%3Fth%3D1%26psc%3D1%26tag%3Dsdcdeals03-20", "Amazon Link")</f>
        <v/>
      </c>
      <c r="G168" s="19" t="inlineStr">
        <is>
          <t>https://www.jcpenney.com/s?searchTerm={search_term}</t>
        </is>
      </c>
      <c r="H168" s="23" t="inlineStr">
        <is>
          <t>196474612631</t>
        </is>
      </c>
      <c r="I168" s="19">
        <f>HYPERLINK("https://www.jcpenney.com/s?searchTerm=196474612631", "Retail Link")</f>
        <v/>
      </c>
      <c r="J168" s="23" t="inlineStr">
        <is>
          <t>n/a</t>
        </is>
      </c>
      <c r="K168" s="21" t="inlineStr">
        <is>
          <t>adidas Women's VL Court 3.0 Sneaker</t>
        </is>
      </c>
      <c r="L168" s="24" t="n"/>
      <c r="M168" s="24" t="n">
        <v>74.95</v>
      </c>
      <c r="N168" s="24" t="n"/>
      <c r="O168" s="24">
        <f>V168-M168</f>
        <v/>
      </c>
      <c r="P168" s="25">
        <f>N168/L168</f>
        <v/>
      </c>
      <c r="Q168" s="23" t="n">
        <v>815</v>
      </c>
      <c r="R168" s="23" t="n">
        <v>50</v>
      </c>
      <c r="S168" s="26" t="n">
        <v>1.64905576</v>
      </c>
      <c r="T168" s="24" t="n">
        <v>74.95</v>
      </c>
      <c r="U168" s="24" t="n">
        <v>71.17</v>
      </c>
      <c r="V168" s="24" t="n">
        <v>69.89</v>
      </c>
      <c r="W168" s="26" t="inlineStr">
        <is>
          <t>adidas Vl Court 3.0 Womens Sneakers</t>
        </is>
      </c>
      <c r="X168" s="23" t="n">
        <v>5</v>
      </c>
      <c r="Y168" s="18">
        <f>AC168-AB168</f>
        <v/>
      </c>
      <c r="Z168" s="27" t="n">
        <v>59</v>
      </c>
      <c r="AA168" s="27" t="n">
        <v>164</v>
      </c>
      <c r="AB168" s="27" t="n">
        <v>2</v>
      </c>
      <c r="AC168" s="27" t="n">
        <v>1569</v>
      </c>
      <c r="AD168" s="1" t="inlineStr">
        <is>
          <t>NLF94</t>
        </is>
      </c>
      <c r="AE168" s="1" t="inlineStr">
        <is>
          <t>Black/White/Gold Metallic</t>
        </is>
      </c>
      <c r="AF168" s="4" t="n">
        <v>11.24</v>
      </c>
      <c r="AG168" s="4" t="n">
        <v>7.03</v>
      </c>
    </row>
    <row r="169" ht="47.25" customHeight="1">
      <c r="A169" s="18" t="inlineStr">
        <is>
          <t>196474612631</t>
        </is>
      </c>
      <c r="B169" s="19" t="inlineStr">
        <is>
          <t>https://www.amazon.com/dp/</t>
        </is>
      </c>
      <c r="C169" s="20" t="inlineStr">
        <is>
          <t>B0DJP45NHG</t>
        </is>
      </c>
      <c r="D169" s="44" t="n"/>
      <c r="E169" s="23" t="inlineStr">
        <is>
          <t>?th=1&amp;psc=1&amp;tag=sdcdeals03-20</t>
        </is>
      </c>
      <c r="F169" s="19">
        <f>HYPERLINK("https://redirect.sdcdeals.com/redirect?destination=https%3A%2F%2Fwww.amazon.com%2Fdp%2FB0DJP45NHG%3Fth%3D1%26psc%3D1%26tag%3Dsdcdeals03-20", "Amazon Link")</f>
        <v/>
      </c>
      <c r="G169" s="19" t="inlineStr">
        <is>
          <t>https://www.jcpenney.com/s?searchTerm={search_term}</t>
        </is>
      </c>
      <c r="H169" s="23" t="inlineStr">
        <is>
          <t>196474612631</t>
        </is>
      </c>
      <c r="I169" s="19">
        <f>HYPERLINK("https://www.jcpenney.com/s?searchTerm=196474612631", "Retail Link")</f>
        <v/>
      </c>
      <c r="J169" s="23" t="inlineStr">
        <is>
          <t>n/a</t>
        </is>
      </c>
      <c r="K169" s="21" t="inlineStr">
        <is>
          <t>adidas VL Court 3.0 Shoes Black/White</t>
        </is>
      </c>
      <c r="L169" s="24" t="n"/>
      <c r="M169" s="24" t="n">
        <v>74.98999999999999</v>
      </c>
      <c r="N169" s="24" t="n"/>
      <c r="O169" s="24">
        <f>V169-M169</f>
        <v/>
      </c>
      <c r="P169" s="25">
        <f>N169/L169</f>
        <v/>
      </c>
      <c r="Q169" s="23" t="n"/>
      <c r="R169" s="23" t="n"/>
      <c r="S169" s="26" t="n">
        <v>0.5004487400000001</v>
      </c>
      <c r="T169" s="24" t="n">
        <v>74.98999999999999</v>
      </c>
      <c r="U169" s="24" t="n">
        <v>74.98999999999999</v>
      </c>
      <c r="V169" s="24" t="n">
        <v>74.98999999999999</v>
      </c>
      <c r="W169" s="26" t="inlineStr">
        <is>
          <t>adidas Vl Court 3.0 Womens Sneakers</t>
        </is>
      </c>
      <c r="X169" s="23" t="n">
        <v>1</v>
      </c>
      <c r="Y169" s="18">
        <f>AC169-AB169</f>
        <v/>
      </c>
      <c r="Z169" s="27" t="n">
        <v>-1</v>
      </c>
      <c r="AA169" s="27" t="n">
        <v>-1</v>
      </c>
      <c r="AB169" s="27" t="n"/>
      <c r="AC169" s="27" t="n"/>
      <c r="AD169" s="1" t="inlineStr">
        <is>
          <t>47496112503</t>
        </is>
      </c>
      <c r="AE169" s="1" t="inlineStr">
        <is>
          <t>Black/White</t>
        </is>
      </c>
      <c r="AF169" s="4" t="n">
        <v>11.25</v>
      </c>
      <c r="AG169" s="4" t="n">
        <v>5.29</v>
      </c>
    </row>
    <row r="170" ht="47.25" customHeight="1">
      <c r="A170" s="18" t="inlineStr">
        <is>
          <t>196474610156</t>
        </is>
      </c>
      <c r="B170" s="19" t="inlineStr">
        <is>
          <t>https://www.amazon.com/dp/</t>
        </is>
      </c>
      <c r="C170" s="20" t="inlineStr">
        <is>
          <t>B0C2JYBJ1W</t>
        </is>
      </c>
      <c r="D170" s="44" t="n"/>
      <c r="E170" s="23" t="inlineStr">
        <is>
          <t>?th=1&amp;psc=1&amp;tag=sdcdeals03-20</t>
        </is>
      </c>
      <c r="F170" s="19">
        <f>HYPERLINK("https://redirect.sdcdeals.com/redirect?destination=https%3A%2F%2Fwww.amazon.com%2Fdp%2FB0C2JYBJ1W%3Fth%3D1%26psc%3D1%26tag%3Dsdcdeals03-20", "Amazon Link")</f>
        <v/>
      </c>
      <c r="G170" s="19" t="inlineStr">
        <is>
          <t>https://www.jcpenney.com/s?searchTerm={search_term}</t>
        </is>
      </c>
      <c r="H170" s="23" t="inlineStr">
        <is>
          <t>196474610156</t>
        </is>
      </c>
      <c r="I170" s="19">
        <f>HYPERLINK("https://www.jcpenney.com/s?searchTerm=196474610156", "Retail Link")</f>
        <v/>
      </c>
      <c r="J170" s="23" t="inlineStr">
        <is>
          <t>n/a</t>
        </is>
      </c>
      <c r="K170" s="21" t="inlineStr">
        <is>
          <t>adidas Women's VL Court 3.0 Sneaker</t>
        </is>
      </c>
      <c r="L170" s="24" t="n"/>
      <c r="M170" s="24" t="n">
        <v>74.95</v>
      </c>
      <c r="N170" s="24" t="n"/>
      <c r="O170" s="24">
        <f>V170-M170</f>
        <v/>
      </c>
      <c r="P170" s="25">
        <f>N170/L170</f>
        <v/>
      </c>
      <c r="Q170" s="23" t="n">
        <v>815</v>
      </c>
      <c r="R170" s="23" t="n"/>
      <c r="S170" s="26" t="n">
        <v>1.7196036</v>
      </c>
      <c r="T170" s="24" t="n">
        <v>74.95</v>
      </c>
      <c r="U170" s="24" t="n">
        <v>69.20999999999999</v>
      </c>
      <c r="V170" s="24" t="n">
        <v>70.94</v>
      </c>
      <c r="W170" s="26" t="inlineStr">
        <is>
          <t>adidas Vl Court 3.0 Womens Sneakers</t>
        </is>
      </c>
      <c r="X170" s="23" t="n">
        <v>4</v>
      </c>
      <c r="Y170" s="18">
        <f>AC170-AB170</f>
        <v/>
      </c>
      <c r="Z170" s="27" t="n">
        <v>70</v>
      </c>
      <c r="AA170" s="27" t="n">
        <v>206</v>
      </c>
      <c r="AB170" s="27" t="n">
        <v>7</v>
      </c>
      <c r="AC170" s="27" t="n">
        <v>1562</v>
      </c>
      <c r="AD170" s="1" t="inlineStr">
        <is>
          <t>NLF94</t>
        </is>
      </c>
      <c r="AE170" s="1" t="inlineStr">
        <is>
          <t>Black/White/Gold Metallic</t>
        </is>
      </c>
      <c r="AF170" s="4" t="n">
        <v>11.24</v>
      </c>
      <c r="AG170" s="4" t="n">
        <v>7.7</v>
      </c>
    </row>
    <row r="171" ht="47.25" customHeight="1">
      <c r="A171" s="18" t="inlineStr">
        <is>
          <t>196474612655</t>
        </is>
      </c>
      <c r="B171" s="19" t="inlineStr">
        <is>
          <t>https://www.amazon.com/dp/</t>
        </is>
      </c>
      <c r="C171" s="20" t="inlineStr">
        <is>
          <t>B0DJN5SRS3</t>
        </is>
      </c>
      <c r="D171" s="44" t="n"/>
      <c r="E171" s="23" t="inlineStr">
        <is>
          <t>?th=1&amp;psc=1&amp;tag=sdcdeals03-20</t>
        </is>
      </c>
      <c r="F171" s="19">
        <f>HYPERLINK("https://redirect.sdcdeals.com/redirect?destination=https%3A%2F%2Fwww.amazon.com%2Fdp%2FB0DJN5SRS3%3Fth%3D1%26psc%3D1%26tag%3Dsdcdeals03-20", "Amazon Link")</f>
        <v/>
      </c>
      <c r="G171" s="19" t="inlineStr">
        <is>
          <t>https://www.jcpenney.com/s?searchTerm={search_term}</t>
        </is>
      </c>
      <c r="H171" s="23" t="inlineStr">
        <is>
          <t>196474612655</t>
        </is>
      </c>
      <c r="I171" s="19">
        <f>HYPERLINK("https://www.jcpenney.com/s?searchTerm=196474612655", "Retail Link")</f>
        <v/>
      </c>
      <c r="J171" s="23" t="inlineStr">
        <is>
          <t>n/a</t>
        </is>
      </c>
      <c r="K171" s="21" t="inlineStr">
        <is>
          <t>adidas VL Court 3.0 Shoes Black/White</t>
        </is>
      </c>
      <c r="L171" s="24" t="n"/>
      <c r="M171" s="24" t="n">
        <v>74.98999999999999</v>
      </c>
      <c r="N171" s="24" t="n"/>
      <c r="O171" s="24">
        <f>V171-M171</f>
        <v/>
      </c>
      <c r="P171" s="25">
        <f>N171/L171</f>
        <v/>
      </c>
      <c r="Q171" s="23" t="n"/>
      <c r="R171" s="23" t="n"/>
      <c r="S171" s="26" t="n">
        <v>0.5004487400000001</v>
      </c>
      <c r="T171" s="24" t="n">
        <v>74.98999999999999</v>
      </c>
      <c r="U171" s="24" t="n">
        <v>74.98999999999999</v>
      </c>
      <c r="V171" s="24" t="n">
        <v>74.98999999999999</v>
      </c>
      <c r="W171" s="26" t="inlineStr">
        <is>
          <t>adidas Vl Court 3.0 Womens Sneakers</t>
        </is>
      </c>
      <c r="X171" s="23" t="n">
        <v>1</v>
      </c>
      <c r="Y171" s="18">
        <f>AC171-AB171</f>
        <v/>
      </c>
      <c r="Z171" s="27" t="n">
        <v>-1</v>
      </c>
      <c r="AA171" s="27" t="n">
        <v>-1</v>
      </c>
      <c r="AB171" s="27" t="n"/>
      <c r="AC171" s="27" t="n"/>
      <c r="AD171" s="1" t="inlineStr">
        <is>
          <t>47496112505</t>
        </is>
      </c>
      <c r="AE171" s="1" t="inlineStr">
        <is>
          <t>Black/White</t>
        </is>
      </c>
      <c r="AF171" s="4" t="n">
        <v>11.25</v>
      </c>
      <c r="AG171" s="4" t="n">
        <v>5.29</v>
      </c>
    </row>
    <row r="172" ht="47.25" customHeight="1">
      <c r="A172" s="18" t="inlineStr">
        <is>
          <t>196474612655</t>
        </is>
      </c>
      <c r="B172" s="19" t="inlineStr">
        <is>
          <t>https://www.amazon.com/dp/</t>
        </is>
      </c>
      <c r="C172" s="20" t="inlineStr">
        <is>
          <t>B0C2JYYTBG</t>
        </is>
      </c>
      <c r="D172" s="44" t="n"/>
      <c r="E172" s="23" t="inlineStr">
        <is>
          <t>?th=1&amp;psc=1&amp;tag=sdcdeals03-20</t>
        </is>
      </c>
      <c r="F172" s="19">
        <f>HYPERLINK("https://redirect.sdcdeals.com/redirect?destination=https%3A%2F%2Fwww.amazon.com%2Fdp%2FB0C2JYYTBG%3Fth%3D1%26psc%3D1%26tag%3Dsdcdeals03-20", "Amazon Link")</f>
        <v/>
      </c>
      <c r="G172" s="19" t="inlineStr">
        <is>
          <t>https://www.jcpenney.com/s?searchTerm={search_term}</t>
        </is>
      </c>
      <c r="H172" s="23" t="inlineStr">
        <is>
          <t>196474612655</t>
        </is>
      </c>
      <c r="I172" s="19">
        <f>HYPERLINK("https://www.jcpenney.com/s?searchTerm=196474612655", "Retail Link")</f>
        <v/>
      </c>
      <c r="J172" s="23" t="inlineStr">
        <is>
          <t>n/a</t>
        </is>
      </c>
      <c r="K172" s="21" t="inlineStr">
        <is>
          <t>adidas Women's VL Court 3.0 Sneaker</t>
        </is>
      </c>
      <c r="L172" s="24" t="n"/>
      <c r="M172" s="24" t="n">
        <v>74.95</v>
      </c>
      <c r="N172" s="24" t="n"/>
      <c r="O172" s="24">
        <f>V172-M172</f>
        <v/>
      </c>
      <c r="P172" s="25">
        <f>N172/L172</f>
        <v/>
      </c>
      <c r="Q172" s="23" t="n">
        <v>815</v>
      </c>
      <c r="R172" s="23" t="n">
        <v>100</v>
      </c>
      <c r="S172" s="26" t="n">
        <v>1.763696</v>
      </c>
      <c r="T172" s="24" t="n">
        <v>74.95</v>
      </c>
      <c r="U172" s="24" t="n">
        <v>69.34999999999999</v>
      </c>
      <c r="V172" s="24" t="n">
        <v>70.20999999999999</v>
      </c>
      <c r="W172" s="26" t="inlineStr">
        <is>
          <t>adidas Vl Court 3.0 Womens Sneakers</t>
        </is>
      </c>
      <c r="X172" s="23" t="n">
        <v>6</v>
      </c>
      <c r="Y172" s="18">
        <f>AC172-AB172</f>
        <v/>
      </c>
      <c r="Z172" s="27" t="n">
        <v>57</v>
      </c>
      <c r="AA172" s="27" t="n">
        <v>147</v>
      </c>
      <c r="AB172" s="27" t="n">
        <v>10</v>
      </c>
      <c r="AC172" s="27" t="n">
        <v>1569</v>
      </c>
      <c r="AD172" s="1" t="inlineStr">
        <is>
          <t>NLF94</t>
        </is>
      </c>
      <c r="AE172" s="1" t="inlineStr">
        <is>
          <t>Black/White/Gold Metallic</t>
        </is>
      </c>
      <c r="AF172" s="4" t="n">
        <v>11.24</v>
      </c>
      <c r="AG172" s="4" t="n">
        <v>7.78</v>
      </c>
    </row>
    <row r="173" ht="47.25" customHeight="1">
      <c r="A173" s="18" t="inlineStr">
        <is>
          <t>196474610217</t>
        </is>
      </c>
      <c r="B173" s="19" t="inlineStr">
        <is>
          <t>https://www.amazon.com/dp/</t>
        </is>
      </c>
      <c r="C173" s="20" t="inlineStr">
        <is>
          <t>B0C2JYBGWZ</t>
        </is>
      </c>
      <c r="D173" s="44" t="n"/>
      <c r="E173" s="23" t="inlineStr">
        <is>
          <t>?th=1&amp;psc=1&amp;tag=sdcdeals03-20</t>
        </is>
      </c>
      <c r="F173" s="19">
        <f>HYPERLINK("https://redirect.sdcdeals.com/redirect?destination=https%3A%2F%2Fwww.amazon.com%2Fdp%2FB0C2JYBGWZ%3Fth%3D1%26psc%3D1%26tag%3Dsdcdeals03-20", "Amazon Link")</f>
        <v/>
      </c>
      <c r="G173" s="19" t="inlineStr">
        <is>
          <t>https://www.jcpenney.com/s?searchTerm={search_term}</t>
        </is>
      </c>
      <c r="H173" s="23" t="inlineStr">
        <is>
          <t>196474610217</t>
        </is>
      </c>
      <c r="I173" s="19">
        <f>HYPERLINK("https://www.jcpenney.com/s?searchTerm=196474610217", "Retail Link")</f>
        <v/>
      </c>
      <c r="J173" s="23" t="inlineStr">
        <is>
          <t>n/a</t>
        </is>
      </c>
      <c r="K173" s="21" t="inlineStr">
        <is>
          <t>adidas Women's VL Court 3.0 Sneaker</t>
        </is>
      </c>
      <c r="L173" s="24" t="n"/>
      <c r="M173" s="24" t="n">
        <v>74.95</v>
      </c>
      <c r="N173" s="24" t="n"/>
      <c r="O173" s="24">
        <f>V173-M173</f>
        <v/>
      </c>
      <c r="P173" s="25">
        <f>N173/L173</f>
        <v/>
      </c>
      <c r="Q173" s="23" t="n">
        <v>815</v>
      </c>
      <c r="R173" s="23" t="n">
        <v>50</v>
      </c>
      <c r="S173" s="26" t="n">
        <v>1.8959732</v>
      </c>
      <c r="T173" s="24" t="n">
        <v>74.95</v>
      </c>
      <c r="U173" s="24" t="n">
        <v>68.18000000000001</v>
      </c>
      <c r="V173" s="24" t="n">
        <v>68.8</v>
      </c>
      <c r="W173" s="26" t="inlineStr">
        <is>
          <t>adidas Vl Court 3.0 Womens Sneakers</t>
        </is>
      </c>
      <c r="X173" s="23" t="n">
        <v>7</v>
      </c>
      <c r="Y173" s="18">
        <f>AC173-AB173</f>
        <v/>
      </c>
      <c r="Z173" s="27" t="n">
        <v>60</v>
      </c>
      <c r="AA173" s="27" t="n">
        <v>161</v>
      </c>
      <c r="AB173" s="27" t="n">
        <v>7</v>
      </c>
      <c r="AC173" s="27" t="n">
        <v>1569</v>
      </c>
      <c r="AD173" s="1" t="inlineStr">
        <is>
          <t>NLF94</t>
        </is>
      </c>
      <c r="AE173" s="1" t="inlineStr">
        <is>
          <t>Black/White/Gold Metallic</t>
        </is>
      </c>
      <c r="AF173" s="4" t="n">
        <v>11.24</v>
      </c>
      <c r="AG173" s="4" t="n">
        <v>7.78</v>
      </c>
    </row>
    <row r="174" ht="47.25" customHeight="1">
      <c r="A174" s="18" t="inlineStr">
        <is>
          <t>196474610217</t>
        </is>
      </c>
      <c r="B174" s="19" t="inlineStr">
        <is>
          <t>https://www.amazon.com/dp/</t>
        </is>
      </c>
      <c r="C174" s="20" t="inlineStr">
        <is>
          <t>B0DJP47QW5</t>
        </is>
      </c>
      <c r="D174" s="44" t="n"/>
      <c r="E174" s="23" t="inlineStr">
        <is>
          <t>?th=1&amp;psc=1&amp;tag=sdcdeals03-20</t>
        </is>
      </c>
      <c r="F174" s="19">
        <f>HYPERLINK("https://redirect.sdcdeals.com/redirect?destination=https%3A%2F%2Fwww.amazon.com%2Fdp%2FB0DJP47QW5%3Fth%3D1%26psc%3D1%26tag%3Dsdcdeals03-20", "Amazon Link")</f>
        <v/>
      </c>
      <c r="G174" s="19" t="inlineStr">
        <is>
          <t>https://www.jcpenney.com/s?searchTerm={search_term}</t>
        </is>
      </c>
      <c r="H174" s="23" t="inlineStr">
        <is>
          <t>196474610217</t>
        </is>
      </c>
      <c r="I174" s="19">
        <f>HYPERLINK("https://www.jcpenney.com/s?searchTerm=196474610217", "Retail Link")</f>
        <v/>
      </c>
      <c r="J174" s="23" t="inlineStr">
        <is>
          <t>n/a</t>
        </is>
      </c>
      <c r="K174" s="21" t="inlineStr">
        <is>
          <t>adidas VL Court 3.0 Shoes Black/White</t>
        </is>
      </c>
      <c r="L174" s="24" t="n"/>
      <c r="M174" s="24" t="n">
        <v>74.98999999999999</v>
      </c>
      <c r="N174" s="24" t="n"/>
      <c r="O174" s="24">
        <f>V174-M174</f>
        <v/>
      </c>
      <c r="P174" s="25">
        <f>N174/L174</f>
        <v/>
      </c>
      <c r="Q174" s="23" t="n"/>
      <c r="R174" s="23" t="n"/>
      <c r="S174" s="26" t="n">
        <v>0.5004487400000001</v>
      </c>
      <c r="T174" s="24" t="n">
        <v>74.98999999999999</v>
      </c>
      <c r="U174" s="24" t="n">
        <v>74.98999999999999</v>
      </c>
      <c r="V174" s="24" t="n">
        <v>74.98999999999999</v>
      </c>
      <c r="W174" s="26" t="inlineStr">
        <is>
          <t>adidas Vl Court 3.0 Womens Sneakers</t>
        </is>
      </c>
      <c r="X174" s="23" t="n">
        <v>1</v>
      </c>
      <c r="Y174" s="18">
        <f>AC174-AB174</f>
        <v/>
      </c>
      <c r="Z174" s="27" t="n">
        <v>-1</v>
      </c>
      <c r="AA174" s="27" t="n">
        <v>-1</v>
      </c>
      <c r="AB174" s="27" t="n"/>
      <c r="AC174" s="27" t="n"/>
      <c r="AD174" s="1" t="inlineStr">
        <is>
          <t>47496112506</t>
        </is>
      </c>
      <c r="AE174" s="1" t="inlineStr">
        <is>
          <t>Black/White</t>
        </is>
      </c>
      <c r="AF174" s="4" t="n">
        <v>11.25</v>
      </c>
      <c r="AG174" s="4" t="n">
        <v>5.29</v>
      </c>
    </row>
    <row r="175" ht="47.25" customHeight="1">
      <c r="A175" s="18" t="inlineStr">
        <is>
          <t>196474610170</t>
        </is>
      </c>
      <c r="B175" s="19" t="inlineStr">
        <is>
          <t>https://www.amazon.com/dp/</t>
        </is>
      </c>
      <c r="C175" s="20" t="inlineStr">
        <is>
          <t>B0C2JX5WBY</t>
        </is>
      </c>
      <c r="D175" s="44" t="n"/>
      <c r="E175" s="23" t="inlineStr">
        <is>
          <t>?th=1&amp;psc=1&amp;tag=sdcdeals03-20</t>
        </is>
      </c>
      <c r="F175" s="19">
        <f>HYPERLINK("https://redirect.sdcdeals.com/redirect?destination=https%3A%2F%2Fwww.amazon.com%2Fdp%2FB0C2JX5WBY%3Fth%3D1%26psc%3D1%26tag%3Dsdcdeals03-20", "Amazon Link")</f>
        <v/>
      </c>
      <c r="G175" s="19" t="inlineStr">
        <is>
          <t>https://www.jcpenney.com/s?searchTerm={search_term}</t>
        </is>
      </c>
      <c r="H175" s="23" t="inlineStr">
        <is>
          <t>196474610170</t>
        </is>
      </c>
      <c r="I175" s="19">
        <f>HYPERLINK("https://www.jcpenney.com/s?searchTerm=196474610170", "Retail Link")</f>
        <v/>
      </c>
      <c r="J175" s="23" t="inlineStr">
        <is>
          <t>n/a</t>
        </is>
      </c>
      <c r="K175" s="21" t="inlineStr">
        <is>
          <t>adidas Women's VL Court 3.0 Sneaker</t>
        </is>
      </c>
      <c r="L175" s="24" t="n"/>
      <c r="M175" s="24" t="n">
        <v>74.95</v>
      </c>
      <c r="N175" s="24" t="n"/>
      <c r="O175" s="24">
        <f>V175-M175</f>
        <v/>
      </c>
      <c r="P175" s="25">
        <f>N175/L175</f>
        <v/>
      </c>
      <c r="Q175" s="23" t="n">
        <v>815</v>
      </c>
      <c r="R175" s="23" t="n"/>
      <c r="S175" s="26" t="n">
        <v>2.66979482</v>
      </c>
      <c r="T175" s="24" t="n">
        <v>73.40000000000001</v>
      </c>
      <c r="U175" s="24" t="n">
        <v>68.56999999999999</v>
      </c>
      <c r="V175" s="24" t="n">
        <v>69.29000000000001</v>
      </c>
      <c r="W175" s="26" t="inlineStr">
        <is>
          <t>adidas Vl Court 3.0 Womens Sneakers</t>
        </is>
      </c>
      <c r="X175" s="23" t="n">
        <v>7</v>
      </c>
      <c r="Y175" s="18">
        <f>AC175-AB175</f>
        <v/>
      </c>
      <c r="Z175" s="27" t="n">
        <v>67</v>
      </c>
      <c r="AA175" s="27" t="n">
        <v>167</v>
      </c>
      <c r="AB175" s="27" t="n">
        <v>8</v>
      </c>
      <c r="AC175" s="27" t="n">
        <v>1567</v>
      </c>
      <c r="AD175" s="1" t="inlineStr">
        <is>
          <t>NLF94</t>
        </is>
      </c>
      <c r="AE175" s="1" t="inlineStr">
        <is>
          <t>Black/White/Gold Metallic</t>
        </is>
      </c>
      <c r="AF175" s="4" t="n">
        <v>11.24</v>
      </c>
      <c r="AG175" s="4" t="n">
        <v>7.7</v>
      </c>
    </row>
    <row r="176" ht="47.25" customHeight="1">
      <c r="A176" s="18" t="inlineStr">
        <is>
          <t>196474610194</t>
        </is>
      </c>
      <c r="B176" s="19" t="inlineStr">
        <is>
          <t>https://www.amazon.com/dp/</t>
        </is>
      </c>
      <c r="C176" s="20" t="inlineStr">
        <is>
          <t>B0C2JYCN6C</t>
        </is>
      </c>
      <c r="D176" s="44" t="n"/>
      <c r="E176" s="23" t="inlineStr">
        <is>
          <t>?th=1&amp;psc=1&amp;tag=sdcdeals03-20</t>
        </is>
      </c>
      <c r="F176" s="19">
        <f>HYPERLINK("https://redirect.sdcdeals.com/redirect?destination=https%3A%2F%2Fwww.amazon.com%2Fdp%2FB0C2JYCN6C%3Fth%3D1%26psc%3D1%26tag%3Dsdcdeals03-20", "Amazon Link")</f>
        <v/>
      </c>
      <c r="G176" s="19" t="inlineStr">
        <is>
          <t>https://www.jcpenney.com/s?searchTerm={search_term}</t>
        </is>
      </c>
      <c r="H176" s="23" t="inlineStr">
        <is>
          <t>196474610194</t>
        </is>
      </c>
      <c r="I176" s="19">
        <f>HYPERLINK("https://www.jcpenney.com/s?searchTerm=196474610194", "Retail Link")</f>
        <v/>
      </c>
      <c r="J176" s="23" t="inlineStr">
        <is>
          <t>n/a</t>
        </is>
      </c>
      <c r="K176" s="21" t="inlineStr">
        <is>
          <t>adidas Women's VL Court 3.0 Sneaker</t>
        </is>
      </c>
      <c r="L176" s="24" t="n"/>
      <c r="M176" s="24" t="n">
        <v>74.95</v>
      </c>
      <c r="N176" s="24" t="n"/>
      <c r="O176" s="24">
        <f>V176-M176</f>
        <v/>
      </c>
      <c r="P176" s="25">
        <f>N176/L176</f>
        <v/>
      </c>
      <c r="Q176" s="23" t="n">
        <v>815</v>
      </c>
      <c r="R176" s="23" t="n"/>
      <c r="S176" s="26" t="n">
        <v>2.0282504</v>
      </c>
      <c r="T176" s="24" t="n">
        <v>71.69</v>
      </c>
      <c r="U176" s="24" t="n">
        <v>66.87</v>
      </c>
      <c r="V176" s="24" t="n">
        <v>68.95</v>
      </c>
      <c r="W176" s="26" t="inlineStr">
        <is>
          <t>adidas Vl Court 3.0 Womens Sneakers</t>
        </is>
      </c>
      <c r="X176" s="23" t="n">
        <v>8</v>
      </c>
      <c r="Y176" s="18">
        <f>AC176-AB176</f>
        <v/>
      </c>
      <c r="Z176" s="27" t="n">
        <v>81</v>
      </c>
      <c r="AA176" s="27" t="n">
        <v>215</v>
      </c>
      <c r="AB176" s="27" t="n">
        <v>2</v>
      </c>
      <c r="AC176" s="27" t="n">
        <v>1562</v>
      </c>
      <c r="AD176" s="1" t="inlineStr">
        <is>
          <t>NLF94</t>
        </is>
      </c>
      <c r="AE176" s="1" t="inlineStr">
        <is>
          <t>Black/White/Gold Metallic</t>
        </is>
      </c>
      <c r="AF176" s="4" t="n">
        <v>11.24</v>
      </c>
      <c r="AG176" s="4" t="n">
        <v>7.94</v>
      </c>
    </row>
    <row r="177" ht="47.25" customHeight="1">
      <c r="A177" s="18" t="inlineStr">
        <is>
          <t>196474612686</t>
        </is>
      </c>
      <c r="B177" s="19" t="inlineStr">
        <is>
          <t>https://www.amazon.com/dp/</t>
        </is>
      </c>
      <c r="C177" s="20" t="inlineStr">
        <is>
          <t>B0C2JYYPN3</t>
        </is>
      </c>
      <c r="D177" s="44" t="n"/>
      <c r="E177" s="23" t="inlineStr">
        <is>
          <t>?th=1&amp;psc=1&amp;tag=sdcdeals03-20</t>
        </is>
      </c>
      <c r="F177" s="19">
        <f>HYPERLINK("https://redirect.sdcdeals.com/redirect?destination=https%3A%2F%2Fwww.amazon.com%2Fdp%2FB0C2JYYPN3%3Fth%3D1%26psc%3D1%26tag%3Dsdcdeals03-20", "Amazon Link")</f>
        <v/>
      </c>
      <c r="G177" s="19" t="inlineStr">
        <is>
          <t>https://www.jcpenney.com/s?searchTerm={search_term}</t>
        </is>
      </c>
      <c r="H177" s="23" t="inlineStr">
        <is>
          <t>196474612686</t>
        </is>
      </c>
      <c r="I177" s="19">
        <f>HYPERLINK("https://www.jcpenney.com/s?searchTerm=196474612686", "Retail Link")</f>
        <v/>
      </c>
      <c r="J177" s="23" t="inlineStr">
        <is>
          <t>n/a</t>
        </is>
      </c>
      <c r="K177" s="21" t="inlineStr">
        <is>
          <t>adidas Women's VL Court 3.0 Sneaker</t>
        </is>
      </c>
      <c r="L177" s="24" t="n"/>
      <c r="M177" s="24" t="n">
        <v>74.95</v>
      </c>
      <c r="N177" s="24" t="n"/>
      <c r="O177" s="24">
        <f>V177-M177</f>
        <v/>
      </c>
      <c r="P177" s="25">
        <f>N177/L177</f>
        <v/>
      </c>
      <c r="Q177" s="23" t="n">
        <v>815</v>
      </c>
      <c r="R177" s="23" t="n"/>
      <c r="S177" s="26" t="n">
        <v>1.9621118</v>
      </c>
      <c r="T177" s="24" t="n">
        <v>74.95</v>
      </c>
      <c r="U177" s="24" t="n">
        <v>66.31999999999999</v>
      </c>
      <c r="V177" s="24" t="n">
        <v>67.23</v>
      </c>
      <c r="W177" s="26" t="inlineStr">
        <is>
          <t>adidas Vl Court 3.0 Womens Sneakers</t>
        </is>
      </c>
      <c r="X177" s="23" t="n">
        <v>10</v>
      </c>
      <c r="Y177" s="18">
        <f>AC177-AB177</f>
        <v/>
      </c>
      <c r="Z177" s="27" t="n">
        <v>77</v>
      </c>
      <c r="AA177" s="27" t="n">
        <v>208</v>
      </c>
      <c r="AB177" s="27" t="n">
        <v>6</v>
      </c>
      <c r="AC177" s="27" t="n">
        <v>1566</v>
      </c>
      <c r="AD177" s="1" t="inlineStr">
        <is>
          <t>NLF94</t>
        </is>
      </c>
      <c r="AE177" s="1" t="inlineStr">
        <is>
          <t>Black/White/Gold Metallic</t>
        </is>
      </c>
      <c r="AF177" s="4" t="n">
        <v>11.24</v>
      </c>
      <c r="AG177" s="4" t="n">
        <v>7.7</v>
      </c>
    </row>
    <row r="178" ht="47.25" customHeight="1">
      <c r="A178" s="18" t="inlineStr">
        <is>
          <t>196474612686</t>
        </is>
      </c>
      <c r="B178" s="19" t="inlineStr">
        <is>
          <t>https://www.amazon.com/dp/</t>
        </is>
      </c>
      <c r="C178" s="20" t="inlineStr">
        <is>
          <t>B0DJP56LRF</t>
        </is>
      </c>
      <c r="D178" s="44" t="n"/>
      <c r="E178" s="23" t="inlineStr">
        <is>
          <t>?th=1&amp;psc=1&amp;tag=sdcdeals03-20</t>
        </is>
      </c>
      <c r="F178" s="19">
        <f>HYPERLINK("https://redirect.sdcdeals.com/redirect?destination=https%3A%2F%2Fwww.amazon.com%2Fdp%2FB0DJP56LRF%3Fth%3D1%26psc%3D1%26tag%3Dsdcdeals03-20", "Amazon Link")</f>
        <v/>
      </c>
      <c r="G178" s="19" t="inlineStr">
        <is>
          <t>https://www.jcpenney.com/s?searchTerm={search_term}</t>
        </is>
      </c>
      <c r="H178" s="23" t="inlineStr">
        <is>
          <t>196474612686</t>
        </is>
      </c>
      <c r="I178" s="19">
        <f>HYPERLINK("https://www.jcpenney.com/s?searchTerm=196474612686", "Retail Link")</f>
        <v/>
      </c>
      <c r="J178" s="23" t="inlineStr">
        <is>
          <t>n/a</t>
        </is>
      </c>
      <c r="K178" s="21" t="inlineStr">
        <is>
          <t>adidas VL Court 3.0 Shoes Black/White</t>
        </is>
      </c>
      <c r="L178" s="24" t="n"/>
      <c r="M178" s="24" t="n">
        <v>74.98999999999999</v>
      </c>
      <c r="N178" s="24" t="n"/>
      <c r="O178" s="24">
        <f>V178-M178</f>
        <v/>
      </c>
      <c r="P178" s="25">
        <f>N178/L178</f>
        <v/>
      </c>
      <c r="Q178" s="23" t="n"/>
      <c r="R178" s="23" t="n"/>
      <c r="S178" s="26" t="n">
        <v>0.5004487400000001</v>
      </c>
      <c r="T178" s="24" t="n">
        <v>74.98999999999999</v>
      </c>
      <c r="U178" s="24" t="n">
        <v>74.98999999999999</v>
      </c>
      <c r="V178" s="24" t="n">
        <v>74.98999999999999</v>
      </c>
      <c r="W178" s="26" t="inlineStr">
        <is>
          <t>adidas Vl Court 3.0 Womens Sneakers</t>
        </is>
      </c>
      <c r="X178" s="23" t="n">
        <v>1</v>
      </c>
      <c r="Y178" s="18">
        <f>AC178-AB178</f>
        <v/>
      </c>
      <c r="Z178" s="27" t="n">
        <v>-1</v>
      </c>
      <c r="AA178" s="27" t="n">
        <v>-1</v>
      </c>
      <c r="AB178" s="27" t="n"/>
      <c r="AC178" s="27" t="n"/>
      <c r="AD178" s="1" t="inlineStr">
        <is>
          <t>47496112508</t>
        </is>
      </c>
      <c r="AE178" s="1" t="inlineStr">
        <is>
          <t>Black/White</t>
        </is>
      </c>
      <c r="AF178" s="4" t="n">
        <v>11.25</v>
      </c>
      <c r="AG178" s="4" t="n">
        <v>5.29</v>
      </c>
    </row>
    <row r="179" ht="47.25" customHeight="1">
      <c r="A179" s="18" t="inlineStr">
        <is>
          <t>196474612679</t>
        </is>
      </c>
      <c r="B179" s="19" t="inlineStr">
        <is>
          <t>https://www.amazon.com/dp/</t>
        </is>
      </c>
      <c r="C179" s="20" t="inlineStr">
        <is>
          <t>B0C2JXCMYZ</t>
        </is>
      </c>
      <c r="D179" s="44" t="n"/>
      <c r="E179" s="23" t="inlineStr">
        <is>
          <t>?th=1&amp;psc=1&amp;tag=sdcdeals03-20</t>
        </is>
      </c>
      <c r="F179" s="19">
        <f>HYPERLINK("https://redirect.sdcdeals.com/redirect?destination=https%3A%2F%2Fwww.amazon.com%2Fdp%2FB0C2JXCMYZ%3Fth%3D1%26psc%3D1%26tag%3Dsdcdeals03-20", "Amazon Link")</f>
        <v/>
      </c>
      <c r="G179" s="19" t="inlineStr">
        <is>
          <t>https://www.jcpenney.com/s?searchTerm={search_term}</t>
        </is>
      </c>
      <c r="H179" s="23" t="inlineStr">
        <is>
          <t>196474612679</t>
        </is>
      </c>
      <c r="I179" s="19">
        <f>HYPERLINK("https://www.jcpenney.com/s?searchTerm=196474612679", "Retail Link")</f>
        <v/>
      </c>
      <c r="J179" s="23" t="inlineStr">
        <is>
          <t>n/a</t>
        </is>
      </c>
      <c r="K179" s="21" t="inlineStr">
        <is>
          <t>adidas Women's VL Court 3.0 Sneaker</t>
        </is>
      </c>
      <c r="L179" s="24" t="n"/>
      <c r="M179" s="24" t="n">
        <v>74.95</v>
      </c>
      <c r="N179" s="24" t="n"/>
      <c r="O179" s="24">
        <f>V179-M179</f>
        <v/>
      </c>
      <c r="P179" s="25">
        <f>N179/L179</f>
        <v/>
      </c>
      <c r="Q179" s="23" t="n">
        <v>815</v>
      </c>
      <c r="R179" s="23" t="n"/>
      <c r="S179" s="26" t="n">
        <v>2.0833659</v>
      </c>
      <c r="T179" s="24" t="n">
        <v>71.69</v>
      </c>
      <c r="U179" s="24" t="n">
        <v>66.34</v>
      </c>
      <c r="V179" s="24" t="n">
        <v>66.93000000000001</v>
      </c>
      <c r="W179" s="26" t="inlineStr">
        <is>
          <t>adidas Vl Court 3.0 Womens Sneakers</t>
        </is>
      </c>
      <c r="X179" s="23" t="n">
        <v>10</v>
      </c>
      <c r="Y179" s="18">
        <f>AC179-AB179</f>
        <v/>
      </c>
      <c r="Z179" s="27" t="n">
        <v>80</v>
      </c>
      <c r="AA179" s="27" t="n">
        <v>219</v>
      </c>
      <c r="AB179" s="27" t="n">
        <v>0</v>
      </c>
      <c r="AC179" s="27" t="n">
        <v>1569</v>
      </c>
      <c r="AD179" s="1" t="inlineStr">
        <is>
          <t>NLF94</t>
        </is>
      </c>
      <c r="AE179" s="1" t="inlineStr">
        <is>
          <t>Black/White/Gold Metallic</t>
        </is>
      </c>
      <c r="AF179" s="4" t="n">
        <v>11.24</v>
      </c>
      <c r="AG179" s="4" t="n">
        <v>7.94</v>
      </c>
    </row>
    <row r="180" ht="47.25" customHeight="1">
      <c r="A180" s="18" t="inlineStr">
        <is>
          <t>196474610002</t>
        </is>
      </c>
      <c r="B180" s="19" t="inlineStr">
        <is>
          <t>https://www.amazon.com/dp/</t>
        </is>
      </c>
      <c r="C180" s="20" t="inlineStr">
        <is>
          <t>B0C2JZ3F8N</t>
        </is>
      </c>
      <c r="D180" s="44" t="n"/>
      <c r="E180" s="23" t="inlineStr">
        <is>
          <t>?th=1&amp;psc=1&amp;tag=sdcdeals03-20</t>
        </is>
      </c>
      <c r="F180" s="19">
        <f>HYPERLINK("https://redirect.sdcdeals.com/redirect?destination=https%3A%2F%2Fwww.amazon.com%2Fdp%2FB0C2JZ3F8N%3Fth%3D1%26psc%3D1%26tag%3Dsdcdeals03-20", "Amazon Link")</f>
        <v/>
      </c>
      <c r="G180" s="19" t="inlineStr">
        <is>
          <t>https://www.jcpenney.com/s?searchTerm={search_term}</t>
        </is>
      </c>
      <c r="H180" s="23" t="inlineStr">
        <is>
          <t>196474610002</t>
        </is>
      </c>
      <c r="I180" s="19">
        <f>HYPERLINK("https://www.jcpenney.com/s?searchTerm=196474610002", "Retail Link")</f>
        <v/>
      </c>
      <c r="J180" s="23" t="inlineStr">
        <is>
          <t>n/a</t>
        </is>
      </c>
      <c r="K180" s="21" t="inlineStr">
        <is>
          <t>adidas Women's VL Court 3.0 Sneaker</t>
        </is>
      </c>
      <c r="L180" s="24" t="n"/>
      <c r="M180" s="24" t="n">
        <v>55.45</v>
      </c>
      <c r="N180" s="24" t="n"/>
      <c r="O180" s="24">
        <f>V180-M180</f>
        <v/>
      </c>
      <c r="P180" s="25">
        <f>N180/L180</f>
        <v/>
      </c>
      <c r="Q180" s="23" t="n">
        <v>815</v>
      </c>
      <c r="R180" s="23" t="n"/>
      <c r="S180" s="26" t="n">
        <v>1.3889106</v>
      </c>
      <c r="T180" s="24" t="inlineStr"/>
      <c r="U180" s="24" t="n">
        <v>55.45</v>
      </c>
      <c r="V180" s="24" t="n">
        <v>69.37</v>
      </c>
      <c r="W180" s="26" t="inlineStr">
        <is>
          <t>adidas Vl Court 3.0 Womens Sneakers</t>
        </is>
      </c>
      <c r="X180" s="23" t="n">
        <v>1</v>
      </c>
      <c r="Y180" s="18">
        <f>AC180-AB180</f>
        <v/>
      </c>
      <c r="Z180" s="27" t="n">
        <v>52</v>
      </c>
      <c r="AA180" s="27" t="n">
        <v>118</v>
      </c>
      <c r="AB180" s="27" t="n">
        <v>1</v>
      </c>
      <c r="AC180" s="27" t="n">
        <v>1562</v>
      </c>
      <c r="AD180" s="1" t="inlineStr">
        <is>
          <t>NLF94</t>
        </is>
      </c>
      <c r="AE180" s="1" t="inlineStr">
        <is>
          <t>Almost Pink/White/Almost Pink</t>
        </is>
      </c>
      <c r="AF180" s="4" t="inlineStr"/>
      <c r="AG180" s="4" t="n">
        <v>6.61</v>
      </c>
    </row>
    <row r="181" ht="47.25" customHeight="1">
      <c r="A181" s="18" t="inlineStr">
        <is>
          <t>196474607514</t>
        </is>
      </c>
      <c r="B181" s="19" t="inlineStr">
        <is>
          <t>https://www.amazon.com/dp/</t>
        </is>
      </c>
      <c r="C181" s="20" t="inlineStr">
        <is>
          <t>B0C2JYSTBT</t>
        </is>
      </c>
      <c r="D181" s="44" t="n"/>
      <c r="E181" s="23" t="inlineStr">
        <is>
          <t>?th=1&amp;psc=1&amp;tag=sdcdeals03-20</t>
        </is>
      </c>
      <c r="F181" s="19">
        <f>HYPERLINK("https://redirect.sdcdeals.com/redirect?destination=https%3A%2F%2Fwww.amazon.com%2Fdp%2FB0C2JYSTBT%3Fth%3D1%26psc%3D1%26tag%3Dsdcdeals03-20", "Amazon Link")</f>
        <v/>
      </c>
      <c r="G181" s="19" t="inlineStr">
        <is>
          <t>https://www.jcpenney.com/s?searchTerm={search_term}</t>
        </is>
      </c>
      <c r="H181" s="23" t="inlineStr">
        <is>
          <t>196474607514</t>
        </is>
      </c>
      <c r="I181" s="19">
        <f>HYPERLINK("https://www.jcpenney.com/s?searchTerm=196474607514", "Retail Link")</f>
        <v/>
      </c>
      <c r="J181" s="23" t="inlineStr">
        <is>
          <t>n/a</t>
        </is>
      </c>
      <c r="K181" s="21" t="inlineStr">
        <is>
          <t>adidas Women's VL Court 3.0 Sneaker</t>
        </is>
      </c>
      <c r="L181" s="24" t="n"/>
      <c r="M181" s="24" t="n">
        <v>80.79000000000001</v>
      </c>
      <c r="N181" s="24" t="n"/>
      <c r="O181" s="24">
        <f>V181-M181</f>
        <v/>
      </c>
      <c r="P181" s="25">
        <f>N181/L181</f>
        <v/>
      </c>
      <c r="Q181" s="23" t="n">
        <v>815</v>
      </c>
      <c r="R181" s="23" t="n"/>
      <c r="S181" s="26" t="n">
        <v>1.54102938</v>
      </c>
      <c r="T181" s="24" t="n">
        <v>80.79000000000001</v>
      </c>
      <c r="U181" s="24" t="n">
        <v>69.17</v>
      </c>
      <c r="V181" s="24" t="n">
        <v>69.84</v>
      </c>
      <c r="W181" s="26" t="inlineStr">
        <is>
          <t>adidas Vl Court 3.0 Womens Sneakers</t>
        </is>
      </c>
      <c r="X181" s="23" t="n">
        <v>2</v>
      </c>
      <c r="Y181" s="18">
        <f>AC181-AB181</f>
        <v/>
      </c>
      <c r="Z181" s="27" t="n">
        <v>63</v>
      </c>
      <c r="AA181" s="27" t="n">
        <v>140</v>
      </c>
      <c r="AB181" s="27" t="n">
        <v>2</v>
      </c>
      <c r="AC181" s="27" t="n">
        <v>1569</v>
      </c>
      <c r="AD181" s="1" t="inlineStr">
        <is>
          <t>NLF94</t>
        </is>
      </c>
      <c r="AE181" s="1" t="inlineStr">
        <is>
          <t>Almost Pink/White/Almost Pink</t>
        </is>
      </c>
      <c r="AF181" s="4" t="inlineStr"/>
      <c r="AG181" s="4" t="n">
        <v>7.03</v>
      </c>
    </row>
    <row r="182" ht="47.25" customHeight="1">
      <c r="A182" s="18" t="inlineStr">
        <is>
          <t>196474607538</t>
        </is>
      </c>
      <c r="B182" s="19" t="inlineStr">
        <is>
          <t>https://www.amazon.com/dp/</t>
        </is>
      </c>
      <c r="C182" s="20" t="inlineStr">
        <is>
          <t>B0C2JZHTMN</t>
        </is>
      </c>
      <c r="D182" s="44" t="n"/>
      <c r="E182" s="23" t="inlineStr">
        <is>
          <t>?th=1&amp;psc=1&amp;tag=sdcdeals03-20</t>
        </is>
      </c>
      <c r="F182" s="19">
        <f>HYPERLINK("https://redirect.sdcdeals.com/redirect?destination=https%3A%2F%2Fwww.amazon.com%2Fdp%2FB0C2JZHTMN%3Fth%3D1%26psc%3D1%26tag%3Dsdcdeals03-20", "Amazon Link")</f>
        <v/>
      </c>
      <c r="G182" s="19" t="inlineStr">
        <is>
          <t>https://www.jcpenney.com/s?searchTerm={search_term}</t>
        </is>
      </c>
      <c r="H182" s="23" t="inlineStr">
        <is>
          <t>196474607538</t>
        </is>
      </c>
      <c r="I182" s="19">
        <f>HYPERLINK("https://www.jcpenney.com/s?searchTerm=196474607538", "Retail Link")</f>
        <v/>
      </c>
      <c r="J182" s="23" t="inlineStr">
        <is>
          <t>n/a</t>
        </is>
      </c>
      <c r="K182" s="21" t="inlineStr">
        <is>
          <t>adidas Women's VL Court 3.0 Sneaker</t>
        </is>
      </c>
      <c r="L182" s="24" t="n"/>
      <c r="M182" s="24" t="n">
        <v>72.44</v>
      </c>
      <c r="N182" s="24" t="n"/>
      <c r="O182" s="24">
        <f>V182-M182</f>
        <v/>
      </c>
      <c r="P182" s="25">
        <f>N182/L182</f>
        <v/>
      </c>
      <c r="Q182" s="23" t="n">
        <v>815</v>
      </c>
      <c r="R182" s="23" t="n"/>
      <c r="S182" s="26" t="n">
        <v>1.43079838</v>
      </c>
      <c r="T182" s="24" t="n">
        <v>72.44</v>
      </c>
      <c r="U182" s="24" t="n">
        <v>73.03</v>
      </c>
      <c r="V182" s="24" t="n">
        <v>72.26000000000001</v>
      </c>
      <c r="W182" s="26" t="inlineStr">
        <is>
          <t>adidas Vl Court 3.0 Womens Sneakers</t>
        </is>
      </c>
      <c r="X182" s="23" t="n">
        <v>6</v>
      </c>
      <c r="Y182" s="18">
        <f>AC182-AB182</f>
        <v/>
      </c>
      <c r="Z182" s="27" t="n">
        <v>99</v>
      </c>
      <c r="AA182" s="27" t="n">
        <v>228</v>
      </c>
      <c r="AB182" s="27" t="n">
        <v>2</v>
      </c>
      <c r="AC182" s="27" t="n">
        <v>1569</v>
      </c>
      <c r="AD182" s="1" t="inlineStr">
        <is>
          <t>NLF94</t>
        </is>
      </c>
      <c r="AE182" s="1" t="inlineStr">
        <is>
          <t>Almost Pink/White/Almost Pink</t>
        </is>
      </c>
      <c r="AF182" s="4" t="n">
        <v>10.87</v>
      </c>
      <c r="AG182" s="4" t="n">
        <v>7.03</v>
      </c>
    </row>
    <row r="183" ht="47.25" customHeight="1">
      <c r="A183" s="18" t="inlineStr">
        <is>
          <t>196474609983</t>
        </is>
      </c>
      <c r="B183" s="19" t="inlineStr">
        <is>
          <t>https://www.amazon.com/dp/</t>
        </is>
      </c>
      <c r="C183" s="20" t="inlineStr">
        <is>
          <t>B0C2JXMF3H</t>
        </is>
      </c>
      <c r="D183" s="44" t="n"/>
      <c r="E183" s="23" t="inlineStr">
        <is>
          <t>?th=1&amp;psc=1&amp;tag=sdcdeals03-20</t>
        </is>
      </c>
      <c r="F183" s="19">
        <f>HYPERLINK("https://redirect.sdcdeals.com/redirect?destination=https%3A%2F%2Fwww.amazon.com%2Fdp%2FB0C2JXMF3H%3Fth%3D1%26psc%3D1%26tag%3Dsdcdeals03-20", "Amazon Link")</f>
        <v/>
      </c>
      <c r="G183" s="19" t="inlineStr">
        <is>
          <t>https://www.jcpenney.com/s?searchTerm={search_term}</t>
        </is>
      </c>
      <c r="H183" s="23" t="inlineStr">
        <is>
          <t>196474609983</t>
        </is>
      </c>
      <c r="I183" s="19">
        <f>HYPERLINK("https://www.jcpenney.com/s?searchTerm=196474609983", "Retail Link")</f>
        <v/>
      </c>
      <c r="J183" s="23" t="inlineStr">
        <is>
          <t>n/a</t>
        </is>
      </c>
      <c r="K183" s="21" t="inlineStr">
        <is>
          <t>adidas Women's VL Court 3.0 Sneaker</t>
        </is>
      </c>
      <c r="L183" s="24" t="n"/>
      <c r="M183" s="24" t="n">
        <v>77</v>
      </c>
      <c r="N183" s="24" t="n"/>
      <c r="O183" s="24">
        <f>V183-M183</f>
        <v/>
      </c>
      <c r="P183" s="25">
        <f>N183/L183</f>
        <v/>
      </c>
      <c r="Q183" s="23" t="n">
        <v>815</v>
      </c>
      <c r="R183" s="23" t="n"/>
      <c r="S183" s="26" t="n">
        <v>1.6644881</v>
      </c>
      <c r="T183" s="24" t="n">
        <v>68.98999999999999</v>
      </c>
      <c r="U183" s="24" t="n">
        <v>77.12</v>
      </c>
      <c r="V183" s="24" t="n">
        <v>72.61</v>
      </c>
      <c r="W183" s="26" t="inlineStr">
        <is>
          <t>adidas Vl Court 3.0 Womens Sneakers</t>
        </is>
      </c>
      <c r="X183" s="23" t="n">
        <v>5</v>
      </c>
      <c r="Y183" s="18">
        <f>AC183-AB183</f>
        <v/>
      </c>
      <c r="Z183" s="27" t="n">
        <v>82</v>
      </c>
      <c r="AA183" s="27" t="n">
        <v>192</v>
      </c>
      <c r="AB183" s="27" t="n">
        <v>2</v>
      </c>
      <c r="AC183" s="27" t="n">
        <v>1570</v>
      </c>
      <c r="AD183" s="1" t="inlineStr">
        <is>
          <t>NLF94</t>
        </is>
      </c>
      <c r="AE183" s="1" t="inlineStr">
        <is>
          <t>Almost Pink/White/Almost Pink</t>
        </is>
      </c>
      <c r="AF183" s="4" t="n">
        <v>11.55</v>
      </c>
      <c r="AG183" s="4" t="n">
        <v>6.61</v>
      </c>
    </row>
    <row r="184" ht="47.25" customHeight="1">
      <c r="A184" s="18" t="inlineStr">
        <is>
          <t>196474607569</t>
        </is>
      </c>
      <c r="B184" s="19" t="inlineStr">
        <is>
          <t>https://www.amazon.com/dp/</t>
        </is>
      </c>
      <c r="C184" s="20" t="inlineStr">
        <is>
          <t>B0C2JZ5DY1</t>
        </is>
      </c>
      <c r="D184" s="44" t="n"/>
      <c r="E184" s="23" t="inlineStr">
        <is>
          <t>?th=1&amp;psc=1&amp;tag=sdcdeals03-20</t>
        </is>
      </c>
      <c r="F184" s="19">
        <f>HYPERLINK("https://redirect.sdcdeals.com/redirect?destination=https%3A%2F%2Fwww.amazon.com%2Fdp%2FB0C2JZ5DY1%3Fth%3D1%26psc%3D1%26tag%3Dsdcdeals03-20", "Amazon Link")</f>
        <v/>
      </c>
      <c r="G184" s="19" t="inlineStr">
        <is>
          <t>https://www.jcpenney.com/s?searchTerm={search_term}</t>
        </is>
      </c>
      <c r="H184" s="23" t="inlineStr">
        <is>
          <t>196474607569</t>
        </is>
      </c>
      <c r="I184" s="19">
        <f>HYPERLINK("https://www.jcpenney.com/s?searchTerm=196474607569", "Retail Link")</f>
        <v/>
      </c>
      <c r="J184" s="23" t="inlineStr">
        <is>
          <t>n/a</t>
        </is>
      </c>
      <c r="K184" s="21" t="inlineStr">
        <is>
          <t>adidas Women's VL Court 3.0 Sneaker</t>
        </is>
      </c>
      <c r="L184" s="24" t="n"/>
      <c r="M184" s="24" t="n">
        <v>109.9</v>
      </c>
      <c r="N184" s="24" t="n"/>
      <c r="O184" s="24">
        <f>V184-M184</f>
        <v/>
      </c>
      <c r="P184" s="25">
        <f>N184/L184</f>
        <v/>
      </c>
      <c r="Q184" s="23" t="n">
        <v>815</v>
      </c>
      <c r="R184" s="23" t="n"/>
      <c r="S184" s="26" t="n">
        <v>1.58953102</v>
      </c>
      <c r="T184" s="24" t="n">
        <v>109.9</v>
      </c>
      <c r="U184" s="24" t="n">
        <v>69.78</v>
      </c>
      <c r="V184" s="24" t="n">
        <v>71.34999999999999</v>
      </c>
      <c r="W184" s="26" t="inlineStr">
        <is>
          <t>adidas Vl Court 3.0 Womens Sneakers</t>
        </is>
      </c>
      <c r="X184" s="23" t="n">
        <v>2</v>
      </c>
      <c r="Y184" s="18">
        <f>AC184-AB184</f>
        <v/>
      </c>
      <c r="Z184" s="27" t="n">
        <v>47</v>
      </c>
      <c r="AA184" s="27" t="n">
        <v>134</v>
      </c>
      <c r="AB184" s="27" t="n">
        <v>2</v>
      </c>
      <c r="AC184" s="27" t="n">
        <v>1566</v>
      </c>
      <c r="AD184" s="1" t="inlineStr">
        <is>
          <t>NLF94</t>
        </is>
      </c>
      <c r="AE184" s="1" t="inlineStr">
        <is>
          <t>Almost Pink/White/Almost Pink</t>
        </is>
      </c>
      <c r="AF184" s="4" t="inlineStr"/>
      <c r="AG184" s="4" t="n">
        <v>6.61</v>
      </c>
    </row>
    <row r="185" ht="47.25" customHeight="1">
      <c r="A185" s="18" t="inlineStr">
        <is>
          <t>196474609990</t>
        </is>
      </c>
      <c r="B185" s="19" t="inlineStr">
        <is>
          <t>https://www.amazon.com/dp/</t>
        </is>
      </c>
      <c r="C185" s="20" t="inlineStr">
        <is>
          <t>B0C2JZC5DT</t>
        </is>
      </c>
      <c r="D185" s="44" t="n"/>
      <c r="E185" s="23" t="inlineStr">
        <is>
          <t>?th=1&amp;psc=1&amp;tag=sdcdeals03-20</t>
        </is>
      </c>
      <c r="F185" s="19">
        <f>HYPERLINK("https://redirect.sdcdeals.com/redirect?destination=https%3A%2F%2Fwww.amazon.com%2Fdp%2FB0C2JZC5DT%3Fth%3D1%26psc%3D1%26tag%3Dsdcdeals03-20", "Amazon Link")</f>
        <v/>
      </c>
      <c r="G185" s="19" t="inlineStr">
        <is>
          <t>https://www.jcpenney.com/s?searchTerm={search_term}</t>
        </is>
      </c>
      <c r="H185" s="23" t="inlineStr">
        <is>
          <t>196474609990</t>
        </is>
      </c>
      <c r="I185" s="19">
        <f>HYPERLINK("https://www.jcpenney.com/s?searchTerm=196474609990", "Retail Link")</f>
        <v/>
      </c>
      <c r="J185" s="23" t="inlineStr">
        <is>
          <t>n/a</t>
        </is>
      </c>
      <c r="K185" s="21" t="inlineStr">
        <is>
          <t>adidas Women's VL Court 3.0 Sneaker</t>
        </is>
      </c>
      <c r="L185" s="24" t="n"/>
      <c r="M185" s="24" t="n">
        <v>86.51000000000001</v>
      </c>
      <c r="N185" s="24" t="n"/>
      <c r="O185" s="24">
        <f>V185-M185</f>
        <v/>
      </c>
      <c r="P185" s="25">
        <f>N185/L185</f>
        <v/>
      </c>
      <c r="Q185" s="23" t="n">
        <v>815</v>
      </c>
      <c r="R185" s="23" t="n"/>
      <c r="S185" s="26" t="n">
        <v>1.7747191</v>
      </c>
      <c r="T185" s="24" t="n">
        <v>86.51000000000001</v>
      </c>
      <c r="U185" s="24" t="n">
        <v>74.06</v>
      </c>
      <c r="V185" s="24" t="n">
        <v>72.55</v>
      </c>
      <c r="W185" s="26" t="inlineStr">
        <is>
          <t>adidas Vl Court 3.0 Womens Sneakers</t>
        </is>
      </c>
      <c r="X185" s="23" t="n">
        <v>5</v>
      </c>
      <c r="Y185" s="18">
        <f>AC185-AB185</f>
        <v/>
      </c>
      <c r="Z185" s="27" t="n">
        <v>91</v>
      </c>
      <c r="AA185" s="27" t="n">
        <v>229</v>
      </c>
      <c r="AB185" s="27" t="n">
        <v>4</v>
      </c>
      <c r="AC185" s="27" t="n">
        <v>1570</v>
      </c>
      <c r="AD185" s="1" t="inlineStr">
        <is>
          <t>NLF94</t>
        </is>
      </c>
      <c r="AE185" s="1" t="inlineStr">
        <is>
          <t>Almost Pink/White/Almost Pink</t>
        </is>
      </c>
      <c r="AF185" s="4" t="inlineStr"/>
      <c r="AG185" s="4" t="n">
        <v>7.78</v>
      </c>
    </row>
    <row r="186" ht="47.25" customHeight="1">
      <c r="A186" s="18" t="inlineStr">
        <is>
          <t>196474607552</t>
        </is>
      </c>
      <c r="B186" s="19" t="inlineStr">
        <is>
          <t>https://www.amazon.com/dp/</t>
        </is>
      </c>
      <c r="C186" s="20" t="inlineStr">
        <is>
          <t>B0C2JWZVNP</t>
        </is>
      </c>
      <c r="D186" s="44" t="n"/>
      <c r="E186" s="23" t="inlineStr">
        <is>
          <t>?th=1&amp;psc=1&amp;tag=sdcdeals03-20</t>
        </is>
      </c>
      <c r="F186" s="19">
        <f>HYPERLINK("https://redirect.sdcdeals.com/redirect?destination=https%3A%2F%2Fwww.amazon.com%2Fdp%2FB0C2JWZVNP%3Fth%3D1%26psc%3D1%26tag%3Dsdcdeals03-20", "Amazon Link")</f>
        <v/>
      </c>
      <c r="G186" s="19" t="inlineStr">
        <is>
          <t>https://www.jcpenney.com/s?searchTerm={search_term}</t>
        </is>
      </c>
      <c r="H186" s="23" t="inlineStr">
        <is>
          <t>196474607552</t>
        </is>
      </c>
      <c r="I186" s="19">
        <f>HYPERLINK("https://www.jcpenney.com/s?searchTerm=196474607552", "Retail Link")</f>
        <v/>
      </c>
      <c r="J186" s="23" t="inlineStr">
        <is>
          <t>n/a</t>
        </is>
      </c>
      <c r="K186" s="21" t="inlineStr">
        <is>
          <t>adidas Women's VL Court 3.0 Sneaker</t>
        </is>
      </c>
      <c r="L186" s="24" t="n"/>
      <c r="M186" s="24" t="n">
        <v>78.98999999999999</v>
      </c>
      <c r="N186" s="24" t="n"/>
      <c r="O186" s="24">
        <f>V186-M186</f>
        <v/>
      </c>
      <c r="P186" s="25">
        <f>N186/L186</f>
        <v/>
      </c>
      <c r="Q186" s="23" t="n">
        <v>815</v>
      </c>
      <c r="R186" s="23" t="n"/>
      <c r="S186" s="26" t="n">
        <v>1.94667946</v>
      </c>
      <c r="T186" s="24" t="n">
        <v>78.98999999999999</v>
      </c>
      <c r="U186" s="24" t="n">
        <v>74.31</v>
      </c>
      <c r="V186" s="24" t="n">
        <v>74.38</v>
      </c>
      <c r="W186" s="26" t="inlineStr">
        <is>
          <t>adidas Vl Court 3.0 Womens Sneakers</t>
        </is>
      </c>
      <c r="X186" s="23" t="n">
        <v>4</v>
      </c>
      <c r="Y186" s="18">
        <f>AC186-AB186</f>
        <v/>
      </c>
      <c r="Z186" s="27" t="n">
        <v>67</v>
      </c>
      <c r="AA186" s="27" t="n">
        <v>183</v>
      </c>
      <c r="AB186" s="27" t="n">
        <v>4</v>
      </c>
      <c r="AC186" s="27" t="n">
        <v>1570</v>
      </c>
      <c r="AD186" s="1" t="inlineStr">
        <is>
          <t>NLF94</t>
        </is>
      </c>
      <c r="AE186" s="1" t="inlineStr">
        <is>
          <t>Almost Pink/White/Almost Pink</t>
        </is>
      </c>
      <c r="AF186" s="4" t="n">
        <v>11.85</v>
      </c>
      <c r="AG186" s="4" t="n">
        <v>7.7</v>
      </c>
    </row>
    <row r="187" ht="47.25" customHeight="1">
      <c r="A187" s="18" t="inlineStr">
        <is>
          <t>196474607491</t>
        </is>
      </c>
      <c r="B187" s="19" t="inlineStr">
        <is>
          <t>https://www.amazon.com/dp/</t>
        </is>
      </c>
      <c r="C187" s="20" t="inlineStr">
        <is>
          <t>B0C2JZTRC5</t>
        </is>
      </c>
      <c r="D187" s="44" t="n"/>
      <c r="E187" s="23" t="inlineStr">
        <is>
          <t>?th=1&amp;psc=1&amp;tag=sdcdeals03-20</t>
        </is>
      </c>
      <c r="F187" s="19">
        <f>HYPERLINK("https://redirect.sdcdeals.com/redirect?destination=https%3A%2F%2Fwww.amazon.com%2Fdp%2FB0C2JZTRC5%3Fth%3D1%26psc%3D1%26tag%3Dsdcdeals03-20", "Amazon Link")</f>
        <v/>
      </c>
      <c r="G187" s="19" t="inlineStr">
        <is>
          <t>https://www.jcpenney.com/s?searchTerm={search_term}</t>
        </is>
      </c>
      <c r="H187" s="23" t="inlineStr">
        <is>
          <t>196474607491</t>
        </is>
      </c>
      <c r="I187" s="19">
        <f>HYPERLINK("https://www.jcpenney.com/s?searchTerm=196474607491", "Retail Link")</f>
        <v/>
      </c>
      <c r="J187" s="23" t="inlineStr">
        <is>
          <t>n/a</t>
        </is>
      </c>
      <c r="K187" s="21" t="inlineStr">
        <is>
          <t>adidas Women's VL Court 3.0 Sneaker</t>
        </is>
      </c>
      <c r="L187" s="24" t="n"/>
      <c r="M187" s="24" t="n">
        <v>74.44</v>
      </c>
      <c r="N187" s="24" t="n"/>
      <c r="O187" s="24">
        <f>V187-M187</f>
        <v/>
      </c>
      <c r="P187" s="25">
        <f>N187/L187</f>
        <v/>
      </c>
      <c r="Q187" s="23" t="n">
        <v>815</v>
      </c>
      <c r="R187" s="23" t="n"/>
      <c r="S187" s="26" t="n">
        <v>1.67992044</v>
      </c>
      <c r="T187" s="24" t="n">
        <v>74.44</v>
      </c>
      <c r="U187" s="24" t="n">
        <v>77.63</v>
      </c>
      <c r="V187" s="24" t="n">
        <v>76.77</v>
      </c>
      <c r="W187" s="26" t="inlineStr">
        <is>
          <t>adidas Vl Court 3.0 Womens Sneakers</t>
        </is>
      </c>
      <c r="X187" s="23" t="n">
        <v>7</v>
      </c>
      <c r="Y187" s="18">
        <f>AC187-AB187</f>
        <v/>
      </c>
      <c r="Z187" s="27" t="n">
        <v>83</v>
      </c>
      <c r="AA187" s="27" t="n">
        <v>208</v>
      </c>
      <c r="AB187" s="27" t="n">
        <v>4</v>
      </c>
      <c r="AC187" s="27" t="n">
        <v>1569</v>
      </c>
      <c r="AD187" s="1" t="inlineStr">
        <is>
          <t>NLF94</t>
        </is>
      </c>
      <c r="AE187" s="1" t="inlineStr">
        <is>
          <t>Almost Pink/White/Almost Pink</t>
        </is>
      </c>
      <c r="AF187" s="4" t="n">
        <v>11.17</v>
      </c>
      <c r="AG187" s="4" t="n">
        <v>7.7</v>
      </c>
    </row>
    <row r="188" ht="47.25" customHeight="1">
      <c r="A188" s="18" t="inlineStr">
        <is>
          <t>196474607484</t>
        </is>
      </c>
      <c r="B188" s="19" t="inlineStr">
        <is>
          <t>https://www.amazon.com/dp/</t>
        </is>
      </c>
      <c r="C188" s="20" t="inlineStr">
        <is>
          <t>B0C2JZWZ2S</t>
        </is>
      </c>
      <c r="D188" s="44" t="n"/>
      <c r="E188" s="23" t="inlineStr">
        <is>
          <t>?th=1&amp;psc=1&amp;tag=sdcdeals03-20</t>
        </is>
      </c>
      <c r="F188" s="19">
        <f>HYPERLINK("https://redirect.sdcdeals.com/redirect?destination=https%3A%2F%2Fwww.amazon.com%2Fdp%2FB0C2JZWZ2S%3Fth%3D1%26psc%3D1%26tag%3Dsdcdeals03-20", "Amazon Link")</f>
        <v/>
      </c>
      <c r="G188" s="19" t="inlineStr">
        <is>
          <t>https://www.jcpenney.com/s?searchTerm={search_term}</t>
        </is>
      </c>
      <c r="H188" s="23" t="inlineStr">
        <is>
          <t>196474607484</t>
        </is>
      </c>
      <c r="I188" s="19">
        <f>HYPERLINK("https://www.jcpenney.com/s?searchTerm=196474607484", "Retail Link")</f>
        <v/>
      </c>
      <c r="J188" s="23" t="inlineStr">
        <is>
          <t>n/a</t>
        </is>
      </c>
      <c r="K188" s="21" t="inlineStr">
        <is>
          <t>adidas Women's VL Court 3.0 Sneaker</t>
        </is>
      </c>
      <c r="L188" s="24" t="n"/>
      <c r="M188" s="24" t="n">
        <v>75.37</v>
      </c>
      <c r="N188" s="24" t="n"/>
      <c r="O188" s="24">
        <f>V188-M188</f>
        <v/>
      </c>
      <c r="P188" s="25">
        <f>N188/L188</f>
        <v/>
      </c>
      <c r="Q188" s="23" t="n"/>
      <c r="R188" s="23" t="n"/>
      <c r="S188" s="26" t="n">
        <v>0.83996022</v>
      </c>
      <c r="T188" s="24" t="inlineStr"/>
      <c r="U188" s="24" t="n">
        <v>75.37</v>
      </c>
      <c r="V188" s="24" t="n">
        <v>74.23</v>
      </c>
      <c r="W188" s="26" t="inlineStr">
        <is>
          <t>adidas Vl Court 3.0 Womens Sneakers</t>
        </is>
      </c>
      <c r="X188" s="23" t="n">
        <v>4</v>
      </c>
      <c r="Y188" s="18">
        <f>AC188-AB188</f>
        <v/>
      </c>
      <c r="Z188" s="27" t="n">
        <v>95</v>
      </c>
      <c r="AA188" s="27" t="n">
        <v>244</v>
      </c>
      <c r="AB188" s="27" t="n">
        <v>6</v>
      </c>
      <c r="AC188" s="27" t="n">
        <v>1569</v>
      </c>
      <c r="AD188" s="1" t="inlineStr">
        <is>
          <t>NLF94</t>
        </is>
      </c>
      <c r="AE188" s="1" t="inlineStr">
        <is>
          <t>Almost Pink/White/Almost Pink</t>
        </is>
      </c>
      <c r="AF188" s="4" t="inlineStr"/>
      <c r="AG188" s="4" t="n">
        <v>7.7</v>
      </c>
    </row>
    <row r="189" ht="47.25" customHeight="1">
      <c r="A189" s="18" t="inlineStr">
        <is>
          <t>196474610019</t>
        </is>
      </c>
      <c r="B189" s="19" t="inlineStr">
        <is>
          <t>https://www.amazon.com/dp/</t>
        </is>
      </c>
      <c r="C189" s="20" t="inlineStr">
        <is>
          <t>B0C2JXBYT9</t>
        </is>
      </c>
      <c r="D189" s="44" t="n"/>
      <c r="E189" s="23" t="inlineStr">
        <is>
          <t>?th=1&amp;psc=1&amp;tag=sdcdeals03-20</t>
        </is>
      </c>
      <c r="F189" s="19">
        <f>HYPERLINK("https://redirect.sdcdeals.com/redirect?destination=https%3A%2F%2Fwww.amazon.com%2Fdp%2FB0C2JXBYT9%3Fth%3D1%26psc%3D1%26tag%3Dsdcdeals03-20", "Amazon Link")</f>
        <v/>
      </c>
      <c r="G189" s="19" t="inlineStr">
        <is>
          <t>https://www.jcpenney.com/s?searchTerm={search_term}</t>
        </is>
      </c>
      <c r="H189" s="23" t="inlineStr">
        <is>
          <t>196474610019</t>
        </is>
      </c>
      <c r="I189" s="19">
        <f>HYPERLINK("https://www.jcpenney.com/s?searchTerm=196474610019", "Retail Link")</f>
        <v/>
      </c>
      <c r="J189" s="23" t="inlineStr">
        <is>
          <t>n/a</t>
        </is>
      </c>
      <c r="K189" s="21" t="inlineStr">
        <is>
          <t>adidas Women's VL Court 3.0 Sneaker</t>
        </is>
      </c>
      <c r="L189" s="24" t="n"/>
      <c r="M189" s="24" t="n">
        <v>64.97</v>
      </c>
      <c r="N189" s="24" t="n"/>
      <c r="O189" s="24">
        <f>V189-M189</f>
        <v/>
      </c>
      <c r="P189" s="25">
        <f>N189/L189</f>
        <v/>
      </c>
      <c r="Q189" s="23" t="n">
        <v>815</v>
      </c>
      <c r="R189" s="23" t="n"/>
      <c r="S189" s="26" t="n">
        <v>1.80999302</v>
      </c>
      <c r="T189" s="24" t="n">
        <v>64.97</v>
      </c>
      <c r="U189" s="24" t="n">
        <v>74.88</v>
      </c>
      <c r="V189" s="24" t="n">
        <v>73.51000000000001</v>
      </c>
      <c r="W189" s="26" t="inlineStr">
        <is>
          <t>adidas Vl Court 3.0 Womens Sneakers</t>
        </is>
      </c>
      <c r="X189" s="23" t="n">
        <v>8</v>
      </c>
      <c r="Y189" s="18">
        <f>AC189-AB189</f>
        <v/>
      </c>
      <c r="Z189" s="27" t="n">
        <v>106</v>
      </c>
      <c r="AA189" s="27" t="n">
        <v>268</v>
      </c>
      <c r="AB189" s="27" t="n">
        <v>4</v>
      </c>
      <c r="AC189" s="27" t="n">
        <v>1569</v>
      </c>
      <c r="AD189" s="1" t="inlineStr">
        <is>
          <t>NLF94</t>
        </is>
      </c>
      <c r="AE189" s="1" t="inlineStr">
        <is>
          <t>Almost Pink/White/Almost Pink</t>
        </is>
      </c>
      <c r="AF189" s="4" t="n">
        <v>9.75</v>
      </c>
      <c r="AG189" s="4" t="n">
        <v>7.7</v>
      </c>
    </row>
    <row r="190" ht="47.25" customHeight="1">
      <c r="A190" s="18" t="inlineStr">
        <is>
          <t>196474607521</t>
        </is>
      </c>
      <c r="B190" s="19" t="inlineStr">
        <is>
          <t>https://www.amazon.com/dp/</t>
        </is>
      </c>
      <c r="C190" s="20" t="inlineStr">
        <is>
          <t>B0C2JYCYTX</t>
        </is>
      </c>
      <c r="D190" s="44" t="n"/>
      <c r="E190" s="23" t="inlineStr">
        <is>
          <t>?th=1&amp;psc=1&amp;tag=sdcdeals03-20</t>
        </is>
      </c>
      <c r="F190" s="19">
        <f>HYPERLINK("https://redirect.sdcdeals.com/redirect?destination=https%3A%2F%2Fwww.amazon.com%2Fdp%2FB0C2JYCYTX%3Fth%3D1%26psc%3D1%26tag%3Dsdcdeals03-20", "Amazon Link")</f>
        <v/>
      </c>
      <c r="G190" s="19" t="inlineStr">
        <is>
          <t>https://www.jcpenney.com/s?searchTerm={search_term}</t>
        </is>
      </c>
      <c r="H190" s="23" t="inlineStr">
        <is>
          <t>196474607521</t>
        </is>
      </c>
      <c r="I190" s="19">
        <f>HYPERLINK("https://www.jcpenney.com/s?searchTerm=196474607521", "Retail Link")</f>
        <v/>
      </c>
      <c r="J190" s="23" t="inlineStr">
        <is>
          <t>n/a</t>
        </is>
      </c>
      <c r="K190" s="21" t="inlineStr">
        <is>
          <t>adidas Women's VL Court 3.0 Sneaker</t>
        </is>
      </c>
      <c r="L190" s="24" t="n"/>
      <c r="M190" s="24" t="n">
        <v>66.72</v>
      </c>
      <c r="N190" s="24" t="n"/>
      <c r="O190" s="24">
        <f>V190-M190</f>
        <v/>
      </c>
      <c r="P190" s="25">
        <f>N190/L190</f>
        <v/>
      </c>
      <c r="Q190" s="23" t="n">
        <v>815</v>
      </c>
      <c r="R190" s="23" t="n"/>
      <c r="S190" s="26" t="n">
        <v>1.8298346</v>
      </c>
      <c r="T190" s="24" t="n">
        <v>64.77</v>
      </c>
      <c r="U190" s="24" t="n">
        <v>69.52</v>
      </c>
      <c r="V190" s="24" t="n">
        <v>71.45999999999999</v>
      </c>
      <c r="W190" s="26" t="inlineStr">
        <is>
          <t>adidas Vl Court 3.0 Womens Sneakers</t>
        </is>
      </c>
      <c r="X190" s="23" t="n">
        <v>14</v>
      </c>
      <c r="Y190" s="18">
        <f>AC190-AB190</f>
        <v/>
      </c>
      <c r="Z190" s="27" t="n">
        <v>141</v>
      </c>
      <c r="AA190" s="27" t="n">
        <v>284</v>
      </c>
      <c r="AB190" s="27" t="n">
        <v>2</v>
      </c>
      <c r="AC190" s="27" t="n">
        <v>1569</v>
      </c>
      <c r="AD190" s="1" t="inlineStr">
        <is>
          <t>NLF94</t>
        </is>
      </c>
      <c r="AE190" s="1" t="inlineStr">
        <is>
          <t>Almost Pink/White/Almost Pink</t>
        </is>
      </c>
      <c r="AF190" s="4" t="n">
        <v>10.01</v>
      </c>
      <c r="AG190" s="4" t="n">
        <v>7.7</v>
      </c>
    </row>
    <row r="191" ht="47.25" customHeight="1">
      <c r="A191" s="18" t="inlineStr">
        <is>
          <t>196474607507</t>
        </is>
      </c>
      <c r="B191" s="19" t="inlineStr">
        <is>
          <t>https://www.amazon.com/dp/</t>
        </is>
      </c>
      <c r="C191" s="20" t="inlineStr">
        <is>
          <t>B0C2JZRG6S</t>
        </is>
      </c>
      <c r="D191" s="44" t="n"/>
      <c r="E191" s="23" t="inlineStr">
        <is>
          <t>?th=1&amp;psc=1&amp;tag=sdcdeals03-20</t>
        </is>
      </c>
      <c r="F191" s="19">
        <f>HYPERLINK("https://redirect.sdcdeals.com/redirect?destination=https%3A%2F%2Fwww.amazon.com%2Fdp%2FB0C2JZRG6S%3Fth%3D1%26psc%3D1%26tag%3Dsdcdeals03-20", "Amazon Link")</f>
        <v/>
      </c>
      <c r="G191" s="19" t="inlineStr">
        <is>
          <t>https://www.jcpenney.com/s?searchTerm={search_term}</t>
        </is>
      </c>
      <c r="H191" s="23" t="inlineStr">
        <is>
          <t>196474607507</t>
        </is>
      </c>
      <c r="I191" s="19">
        <f>HYPERLINK("https://www.jcpenney.com/s?searchTerm=196474607507", "Retail Link")</f>
        <v/>
      </c>
      <c r="J191" s="23" t="inlineStr">
        <is>
          <t>n/a</t>
        </is>
      </c>
      <c r="K191" s="21" t="inlineStr">
        <is>
          <t>adidas Women's VL Court 3.0 Sneaker</t>
        </is>
      </c>
      <c r="L191" s="24" t="n"/>
      <c r="M191" s="24" t="n">
        <v>69.98999999999999</v>
      </c>
      <c r="N191" s="24" t="n"/>
      <c r="O191" s="24">
        <f>V191-M191</f>
        <v/>
      </c>
      <c r="P191" s="25">
        <f>N191/L191</f>
        <v/>
      </c>
      <c r="Q191" s="23" t="n">
        <v>815</v>
      </c>
      <c r="R191" s="23" t="n"/>
      <c r="S191" s="26" t="n">
        <v>1.95990718</v>
      </c>
      <c r="T191" s="24" t="n">
        <v>69.98999999999999</v>
      </c>
      <c r="U191" s="24" t="n">
        <v>64.51000000000001</v>
      </c>
      <c r="V191" s="24" t="n">
        <v>66.8</v>
      </c>
      <c r="W191" s="26" t="inlineStr">
        <is>
          <t>adidas Vl Court 3.0 Womens Sneakers</t>
        </is>
      </c>
      <c r="X191" s="23" t="n">
        <v>3</v>
      </c>
      <c r="Y191" s="18">
        <f>AC191-AB191</f>
        <v/>
      </c>
      <c r="Z191" s="27" t="n">
        <v>106</v>
      </c>
      <c r="AA191" s="27" t="n">
        <v>253</v>
      </c>
      <c r="AB191" s="27" t="n">
        <v>1</v>
      </c>
      <c r="AC191" s="27" t="n">
        <v>1569</v>
      </c>
      <c r="AD191" s="1" t="inlineStr">
        <is>
          <t>NLF94</t>
        </is>
      </c>
      <c r="AE191" s="1" t="inlineStr">
        <is>
          <t>Almost Pink/White/Almost Pink</t>
        </is>
      </c>
      <c r="AF191" s="4" t="n">
        <v>10.5</v>
      </c>
      <c r="AG191" s="4" t="n">
        <v>7.86</v>
      </c>
    </row>
    <row r="192" ht="47.25" customHeight="1">
      <c r="A192" s="18" t="inlineStr">
        <is>
          <t>196478214251</t>
        </is>
      </c>
      <c r="B192" s="19" t="inlineStr">
        <is>
          <t>https://www.amazon.com/dp/</t>
        </is>
      </c>
      <c r="C192" s="20" t="inlineStr">
        <is>
          <t>B0CKMM8LVR</t>
        </is>
      </c>
      <c r="D192" s="44" t="n"/>
      <c r="E192" s="23" t="inlineStr">
        <is>
          <t>?th=1&amp;psc=1&amp;tag=sdcdeals03-20</t>
        </is>
      </c>
      <c r="F192" s="19">
        <f>HYPERLINK("https://redirect.sdcdeals.com/redirect?destination=https%3A%2F%2Fwww.amazon.com%2Fdp%2FB0CKMM8LVR%3Fth%3D1%26psc%3D1%26tag%3Dsdcdeals03-20", "Amazon Link")</f>
        <v/>
      </c>
      <c r="G192" s="19" t="inlineStr">
        <is>
          <t>https://www.jcpenney.com/s?searchTerm={search_term}</t>
        </is>
      </c>
      <c r="H192" s="23" t="inlineStr">
        <is>
          <t>196478214251</t>
        </is>
      </c>
      <c r="I192" s="19">
        <f>HYPERLINK("https://www.jcpenney.com/s?searchTerm=196478214251", "Retail Link")</f>
        <v/>
      </c>
      <c r="J192" s="23" t="inlineStr">
        <is>
          <t>n/a</t>
        </is>
      </c>
      <c r="K192" s="21" t="inlineStr">
        <is>
          <t>adidas Women's Vl Court 3.0 Sneaker, Off White/Night Indigo/Gum, 5</t>
        </is>
      </c>
      <c r="L192" s="24" t="n"/>
      <c r="M192" s="24" t="n">
        <v>129</v>
      </c>
      <c r="N192" s="24" t="n"/>
      <c r="O192" s="24">
        <f>V192-M192</f>
        <v/>
      </c>
      <c r="P192" s="25">
        <f>N192/L192</f>
        <v/>
      </c>
      <c r="Q192" s="23" t="n">
        <v>815</v>
      </c>
      <c r="R192" s="23" t="n"/>
      <c r="S192" s="26" t="n">
        <v>1.3889106</v>
      </c>
      <c r="T192" s="24" t="n">
        <v>129</v>
      </c>
      <c r="U192" s="24" t="n">
        <v>55.95</v>
      </c>
      <c r="V192" s="24" t="n">
        <v>72.98</v>
      </c>
      <c r="W192" s="26" t="inlineStr">
        <is>
          <t>adidas Vl Court 3.0 Womens Sneakers</t>
        </is>
      </c>
      <c r="X192" s="23" t="n">
        <v>2</v>
      </c>
      <c r="Y192" s="18">
        <f>AC192-AB192</f>
        <v/>
      </c>
      <c r="Z192" s="27" t="n">
        <v>36</v>
      </c>
      <c r="AA192" s="27" t="n">
        <v>117</v>
      </c>
      <c r="AB192" s="27" t="n">
        <v>0</v>
      </c>
      <c r="AC192" s="27" t="n">
        <v>1556</v>
      </c>
      <c r="AD192" s="1" t="inlineStr">
        <is>
          <t>NJY45</t>
        </is>
      </c>
      <c r="AE192" s="1" t="inlineStr">
        <is>
          <t>Off White/Night Indigo/Gum</t>
        </is>
      </c>
      <c r="AF192" s="4" t="inlineStr"/>
      <c r="AG192" s="4" t="n">
        <v>6.61</v>
      </c>
    </row>
    <row r="193" ht="47.25" customHeight="1">
      <c r="A193" s="18" t="inlineStr">
        <is>
          <t>196478214275</t>
        </is>
      </c>
      <c r="B193" s="19" t="inlineStr">
        <is>
          <t>https://www.amazon.com/dp/</t>
        </is>
      </c>
      <c r="C193" s="20" t="inlineStr">
        <is>
          <t>B0CKMMP5YK</t>
        </is>
      </c>
      <c r="D193" s="44" t="n"/>
      <c r="E193" s="23" t="inlineStr">
        <is>
          <t>?th=1&amp;psc=1&amp;tag=sdcdeals03-20</t>
        </is>
      </c>
      <c r="F193" s="19">
        <f>HYPERLINK("https://redirect.sdcdeals.com/redirect?destination=https%3A%2F%2Fwww.amazon.com%2Fdp%2FB0CKMMP5YK%3Fth%3D1%26psc%3D1%26tag%3Dsdcdeals03-20", "Amazon Link")</f>
        <v/>
      </c>
      <c r="G193" s="19" t="inlineStr">
        <is>
          <t>https://www.jcpenney.com/s?searchTerm={search_term}</t>
        </is>
      </c>
      <c r="H193" s="23" t="inlineStr">
        <is>
          <t>196478214275</t>
        </is>
      </c>
      <c r="I193" s="19">
        <f>HYPERLINK("https://www.jcpenney.com/s?searchTerm=196478214275", "Retail Link")</f>
        <v/>
      </c>
      <c r="J193" s="23" t="inlineStr">
        <is>
          <t>n/a</t>
        </is>
      </c>
      <c r="K193" s="21" t="inlineStr">
        <is>
          <t>adidas Women's Vl Court 3.0 Sneaker, Off White/Night Indigo/Gum, 5.5</t>
        </is>
      </c>
      <c r="L193" s="24" t="n"/>
      <c r="M193" s="24" t="n">
        <v>73.23999999999999</v>
      </c>
      <c r="N193" s="24" t="n"/>
      <c r="O193" s="24">
        <f>V193-M193</f>
        <v/>
      </c>
      <c r="P193" s="25">
        <f>N193/L193</f>
        <v/>
      </c>
      <c r="Q193" s="23" t="n">
        <v>815</v>
      </c>
      <c r="R193" s="23" t="n"/>
      <c r="S193" s="26" t="n">
        <v>1.4109568</v>
      </c>
      <c r="T193" s="24" t="inlineStr"/>
      <c r="U193" s="24" t="n">
        <v>73.23999999999999</v>
      </c>
      <c r="V193" s="24" t="n">
        <v>68.34</v>
      </c>
      <c r="W193" s="26" t="inlineStr">
        <is>
          <t>adidas Vl Court 3.0 Womens Sneakers</t>
        </is>
      </c>
      <c r="X193" s="23" t="n">
        <v>1</v>
      </c>
      <c r="Y193" s="18">
        <f>AC193-AB193</f>
        <v/>
      </c>
      <c r="Z193" s="27" t="n">
        <v>18</v>
      </c>
      <c r="AA193" s="27" t="n">
        <v>83</v>
      </c>
      <c r="AB193" s="27" t="n">
        <v>1</v>
      </c>
      <c r="AC193" s="27" t="n">
        <v>1562</v>
      </c>
      <c r="AD193" s="1" t="inlineStr">
        <is>
          <t>NJY45</t>
        </is>
      </c>
      <c r="AE193" s="1" t="inlineStr">
        <is>
          <t>Off White/Night Indigo/Gum</t>
        </is>
      </c>
      <c r="AF193" s="4" t="inlineStr"/>
      <c r="AG193" s="4" t="n">
        <v>6.61</v>
      </c>
    </row>
    <row r="194" ht="47.25" customHeight="1">
      <c r="A194" s="18" t="inlineStr">
        <is>
          <t>196478214206</t>
        </is>
      </c>
      <c r="B194" s="19" t="inlineStr">
        <is>
          <t>https://www.amazon.com/dp/</t>
        </is>
      </c>
      <c r="C194" s="20" t="inlineStr">
        <is>
          <t>B0CKMMNSQB</t>
        </is>
      </c>
      <c r="D194" s="44" t="n"/>
      <c r="E194" s="23" t="inlineStr">
        <is>
          <t>?th=1&amp;psc=1&amp;tag=sdcdeals03-20</t>
        </is>
      </c>
      <c r="F194" s="19">
        <f>HYPERLINK("https://redirect.sdcdeals.com/redirect?destination=https%3A%2F%2Fwww.amazon.com%2Fdp%2FB0CKMMNSQB%3Fth%3D1%26psc%3D1%26tag%3Dsdcdeals03-20", "Amazon Link")</f>
        <v/>
      </c>
      <c r="G194" s="19" t="inlineStr">
        <is>
          <t>https://www.jcpenney.com/s?searchTerm={search_term}</t>
        </is>
      </c>
      <c r="H194" s="23" t="inlineStr">
        <is>
          <t>196478214206</t>
        </is>
      </c>
      <c r="I194" s="19">
        <f>HYPERLINK("https://www.jcpenney.com/s?searchTerm=196478214206", "Retail Link")</f>
        <v/>
      </c>
      <c r="J194" s="23" t="inlineStr">
        <is>
          <t>n/a</t>
        </is>
      </c>
      <c r="K194" s="21" t="inlineStr">
        <is>
          <t>adidas Women's Vl Court 3.0 Sneaker, Off White/Night Indigo/Gum, 6</t>
        </is>
      </c>
      <c r="L194" s="24" t="n"/>
      <c r="M194" s="24" t="n">
        <v>84.56999999999999</v>
      </c>
      <c r="N194" s="24" t="n"/>
      <c r="O194" s="24">
        <f>V194-M194</f>
        <v/>
      </c>
      <c r="P194" s="25">
        <f>N194/L194</f>
        <v/>
      </c>
      <c r="Q194" s="23" t="n">
        <v>815</v>
      </c>
      <c r="R194" s="23" t="n"/>
      <c r="S194" s="26" t="n">
        <v>1.43079838</v>
      </c>
      <c r="T194" s="24" t="n">
        <v>84.56999999999999</v>
      </c>
      <c r="U194" s="24" t="n">
        <v>64.77</v>
      </c>
      <c r="V194" s="24" t="n">
        <v>69.40000000000001</v>
      </c>
      <c r="W194" s="26" t="inlineStr">
        <is>
          <t>adidas Vl Court 3.0 Womens Sneakers</t>
        </is>
      </c>
      <c r="X194" s="23" t="n">
        <v>4</v>
      </c>
      <c r="Y194" s="18">
        <f>AC194-AB194</f>
        <v/>
      </c>
      <c r="Z194" s="27" t="n">
        <v>59</v>
      </c>
      <c r="AA194" s="27" t="n">
        <v>166</v>
      </c>
      <c r="AB194" s="27" t="n">
        <v>0</v>
      </c>
      <c r="AC194" s="27" t="n">
        <v>1562</v>
      </c>
      <c r="AD194" s="1" t="inlineStr">
        <is>
          <t>NJY45</t>
        </is>
      </c>
      <c r="AE194" s="1" t="inlineStr">
        <is>
          <t>Off White/Night Indigo/Gum</t>
        </is>
      </c>
      <c r="AF194" s="4" t="inlineStr"/>
      <c r="AG194" s="4" t="n">
        <v>7.03</v>
      </c>
    </row>
    <row r="195" ht="47.25" customHeight="1">
      <c r="A195" s="18" t="inlineStr">
        <is>
          <t>196478214213</t>
        </is>
      </c>
      <c r="B195" s="19" t="inlineStr">
        <is>
          <t>https://www.amazon.com/dp/</t>
        </is>
      </c>
      <c r="C195" s="20" t="inlineStr">
        <is>
          <t>B0CKMR8LRT</t>
        </is>
      </c>
      <c r="D195" s="44" t="n"/>
      <c r="E195" s="23" t="inlineStr">
        <is>
          <t>?th=1&amp;psc=1&amp;tag=sdcdeals03-20</t>
        </is>
      </c>
      <c r="F195" s="19">
        <f>HYPERLINK("https://redirect.sdcdeals.com/redirect?destination=https%3A%2F%2Fwww.amazon.com%2Fdp%2FB0CKMR8LRT%3Fth%3D1%26psc%3D1%26tag%3Dsdcdeals03-20", "Amazon Link")</f>
        <v/>
      </c>
      <c r="G195" s="19" t="inlineStr">
        <is>
          <t>https://www.jcpenney.com/s?searchTerm={search_term}</t>
        </is>
      </c>
      <c r="H195" s="23" t="inlineStr">
        <is>
          <t>196478214213</t>
        </is>
      </c>
      <c r="I195" s="19">
        <f>HYPERLINK("https://www.jcpenney.com/s?searchTerm=196478214213", "Retail Link")</f>
        <v/>
      </c>
      <c r="J195" s="23" t="inlineStr">
        <is>
          <t>n/a</t>
        </is>
      </c>
      <c r="K195" s="21" t="inlineStr">
        <is>
          <t>adidas Women's Vl Court 3.0 Sneaker, Off White/Night Indigo/Gum, 6.5</t>
        </is>
      </c>
      <c r="L195" s="24" t="n"/>
      <c r="M195" s="24" t="n">
        <v>99</v>
      </c>
      <c r="N195" s="24" t="n"/>
      <c r="O195" s="24">
        <f>V195-M195</f>
        <v/>
      </c>
      <c r="P195" s="25">
        <f>N195/L195</f>
        <v/>
      </c>
      <c r="Q195" s="23" t="n">
        <v>815</v>
      </c>
      <c r="R195" s="23" t="n"/>
      <c r="S195" s="26" t="n">
        <v>1.51898318</v>
      </c>
      <c r="T195" s="24" t="n">
        <v>99</v>
      </c>
      <c r="U195" s="24" t="n">
        <v>69.16</v>
      </c>
      <c r="V195" s="24" t="n">
        <v>72.04000000000001</v>
      </c>
      <c r="W195" s="26" t="inlineStr">
        <is>
          <t>adidas Vl Court 3.0 Womens Sneakers</t>
        </is>
      </c>
      <c r="X195" s="23" t="n">
        <v>4</v>
      </c>
      <c r="Y195" s="18">
        <f>AC195-AB195</f>
        <v/>
      </c>
      <c r="Z195" s="27" t="n">
        <v>67</v>
      </c>
      <c r="AA195" s="27" t="n">
        <v>161</v>
      </c>
      <c r="AB195" s="27" t="n">
        <v>1</v>
      </c>
      <c r="AC195" s="27" t="n">
        <v>1569</v>
      </c>
      <c r="AD195" s="1" t="inlineStr">
        <is>
          <t>NJY45</t>
        </is>
      </c>
      <c r="AE195" s="1" t="inlineStr">
        <is>
          <t>Off White/Night Indigo/Gum</t>
        </is>
      </c>
      <c r="AF195" s="4" t="inlineStr"/>
      <c r="AG195" s="4" t="n">
        <v>6.61</v>
      </c>
    </row>
    <row r="196" ht="47.25" customHeight="1">
      <c r="A196" s="18" t="inlineStr">
        <is>
          <t>196478214244</t>
        </is>
      </c>
      <c r="B196" s="19" t="inlineStr">
        <is>
          <t>https://www.amazon.com/dp/</t>
        </is>
      </c>
      <c r="C196" s="20" t="inlineStr">
        <is>
          <t>B0CKMNZSHQ</t>
        </is>
      </c>
      <c r="D196" s="44" t="n"/>
      <c r="E196" s="23" t="inlineStr">
        <is>
          <t>?th=1&amp;psc=1&amp;tag=sdcdeals03-20</t>
        </is>
      </c>
      <c r="F196" s="19">
        <f>HYPERLINK("https://redirect.sdcdeals.com/redirect?destination=https%3A%2F%2Fwww.amazon.com%2Fdp%2FB0CKMNZSHQ%3Fth%3D1%26psc%3D1%26tag%3Dsdcdeals03-20", "Amazon Link")</f>
        <v/>
      </c>
      <c r="G196" s="19" t="inlineStr">
        <is>
          <t>https://www.jcpenney.com/s?searchTerm={search_term}</t>
        </is>
      </c>
      <c r="H196" s="23" t="inlineStr">
        <is>
          <t>196478214244</t>
        </is>
      </c>
      <c r="I196" s="19">
        <f>HYPERLINK("https://www.jcpenney.com/s?searchTerm=196478214244", "Retail Link")</f>
        <v/>
      </c>
      <c r="J196" s="23" t="inlineStr">
        <is>
          <t>n/a</t>
        </is>
      </c>
      <c r="K196" s="21" t="inlineStr">
        <is>
          <t>adidas Women's Vl Court 3.0 Sneaker, Off White/Night Indigo/Gum, 7</t>
        </is>
      </c>
      <c r="L196" s="24" t="n"/>
      <c r="M196" s="24" t="n">
        <v>97.45999999999999</v>
      </c>
      <c r="N196" s="24" t="n"/>
      <c r="O196" s="24">
        <f>V196-M196</f>
        <v/>
      </c>
      <c r="P196" s="25">
        <f>N196/L196</f>
        <v/>
      </c>
      <c r="Q196" s="23" t="n">
        <v>815</v>
      </c>
      <c r="R196" s="23" t="n"/>
      <c r="S196" s="26" t="n">
        <v>1.58953102</v>
      </c>
      <c r="T196" s="24" t="n">
        <v>97.45999999999999</v>
      </c>
      <c r="U196" s="24" t="n">
        <v>68.72</v>
      </c>
      <c r="V196" s="24" t="n">
        <v>69.58</v>
      </c>
      <c r="W196" s="26" t="inlineStr">
        <is>
          <t>adidas Vl Court 3.0 Womens Sneakers</t>
        </is>
      </c>
      <c r="X196" s="23" t="n">
        <v>4</v>
      </c>
      <c r="Y196" s="18">
        <f>AC196-AB196</f>
        <v/>
      </c>
      <c r="Z196" s="27" t="n">
        <v>59</v>
      </c>
      <c r="AA196" s="27" t="n">
        <v>162</v>
      </c>
      <c r="AB196" s="27" t="n">
        <v>6</v>
      </c>
      <c r="AC196" s="27" t="n">
        <v>1570</v>
      </c>
      <c r="AD196" s="1" t="inlineStr">
        <is>
          <t>NJY45</t>
        </is>
      </c>
      <c r="AE196" s="1" t="inlineStr">
        <is>
          <t>Off White/Night Indigo/Gum</t>
        </is>
      </c>
      <c r="AF196" s="4" t="inlineStr"/>
      <c r="AG196" s="4" t="n">
        <v>6.61</v>
      </c>
    </row>
    <row r="197" ht="47.25" customHeight="1">
      <c r="A197" s="18" t="inlineStr">
        <is>
          <t>196478214237</t>
        </is>
      </c>
      <c r="B197" s="19" t="inlineStr">
        <is>
          <t>https://www.amazon.com/dp/</t>
        </is>
      </c>
      <c r="C197" s="20" t="inlineStr">
        <is>
          <t>B0CKMPQVKM</t>
        </is>
      </c>
      <c r="D197" s="44" t="n"/>
      <c r="E197" s="23" t="inlineStr">
        <is>
          <t>?th=1&amp;psc=1&amp;tag=sdcdeals03-20</t>
        </is>
      </c>
      <c r="F197" s="19">
        <f>HYPERLINK("https://redirect.sdcdeals.com/redirect?destination=https%3A%2F%2Fwww.amazon.com%2Fdp%2FB0CKMPQVKM%3Fth%3D1%26psc%3D1%26tag%3Dsdcdeals03-20", "Amazon Link")</f>
        <v/>
      </c>
      <c r="G197" s="19" t="inlineStr">
        <is>
          <t>https://www.jcpenney.com/s?searchTerm={search_term}</t>
        </is>
      </c>
      <c r="H197" s="23" t="inlineStr">
        <is>
          <t>196478214237</t>
        </is>
      </c>
      <c r="I197" s="19">
        <f>HYPERLINK("https://www.jcpenney.com/s?searchTerm=196478214237", "Retail Link")</f>
        <v/>
      </c>
      <c r="J197" s="23" t="inlineStr">
        <is>
          <t>n/a</t>
        </is>
      </c>
      <c r="K197" s="21" t="inlineStr">
        <is>
          <t>adidas Women's Vl Court 3.0 Sneaker, Off White/Night Indigo/Gum, 7.5</t>
        </is>
      </c>
      <c r="L197" s="24" t="n"/>
      <c r="M197" s="24" t="n">
        <v>97.45999999999999</v>
      </c>
      <c r="N197" s="24" t="n"/>
      <c r="O197" s="24">
        <f>V197-M197</f>
        <v/>
      </c>
      <c r="P197" s="25">
        <f>N197/L197</f>
        <v/>
      </c>
      <c r="Q197" s="23" t="n">
        <v>815</v>
      </c>
      <c r="R197" s="23" t="n"/>
      <c r="S197" s="26" t="n">
        <v>1.62921418</v>
      </c>
      <c r="T197" s="24" t="n">
        <v>97.45999999999999</v>
      </c>
      <c r="U197" s="24" t="n">
        <v>71.15000000000001</v>
      </c>
      <c r="V197" s="24" t="n">
        <v>71.41</v>
      </c>
      <c r="W197" s="26" t="inlineStr">
        <is>
          <t>adidas Vl Court 3.0 Womens Sneakers</t>
        </is>
      </c>
      <c r="X197" s="23" t="n">
        <v>3</v>
      </c>
      <c r="Y197" s="18">
        <f>AC197-AB197</f>
        <v/>
      </c>
      <c r="Z197" s="27" t="n">
        <v>67</v>
      </c>
      <c r="AA197" s="27" t="n">
        <v>171</v>
      </c>
      <c r="AB197" s="27" t="n">
        <v>4</v>
      </c>
      <c r="AC197" s="27" t="n">
        <v>1569</v>
      </c>
      <c r="AD197" s="1" t="inlineStr">
        <is>
          <t>NJY45</t>
        </is>
      </c>
      <c r="AE197" s="1" t="inlineStr">
        <is>
          <t>Off White/Night Indigo/Gum</t>
        </is>
      </c>
      <c r="AF197" s="4" t="inlineStr"/>
      <c r="AG197" s="4" t="n">
        <v>7.7</v>
      </c>
    </row>
    <row r="198" ht="47.25" customHeight="1">
      <c r="A198" s="18" t="inlineStr">
        <is>
          <t>196478214190</t>
        </is>
      </c>
      <c r="B198" s="19" t="inlineStr">
        <is>
          <t>https://www.amazon.com/dp/</t>
        </is>
      </c>
      <c r="C198" s="20" t="inlineStr">
        <is>
          <t>B0CKMNC4BZ</t>
        </is>
      </c>
      <c r="D198" s="44" t="n"/>
      <c r="E198" s="23" t="inlineStr">
        <is>
          <t>?th=1&amp;psc=1&amp;tag=sdcdeals03-20</t>
        </is>
      </c>
      <c r="F198" s="19">
        <f>HYPERLINK("https://redirect.sdcdeals.com/redirect?destination=https%3A%2F%2Fwww.amazon.com%2Fdp%2FB0CKMNC4BZ%3Fth%3D1%26psc%3D1%26tag%3Dsdcdeals03-20", "Amazon Link")</f>
        <v/>
      </c>
      <c r="G198" s="19" t="inlineStr">
        <is>
          <t>https://www.jcpenney.com/s?searchTerm={search_term}</t>
        </is>
      </c>
      <c r="H198" s="23" t="inlineStr">
        <is>
          <t>196478214190</t>
        </is>
      </c>
      <c r="I198" s="19">
        <f>HYPERLINK("https://www.jcpenney.com/s?searchTerm=196478214190", "Retail Link")</f>
        <v/>
      </c>
      <c r="J198" s="23" t="inlineStr">
        <is>
          <t>n/a</t>
        </is>
      </c>
      <c r="K198" s="21" t="inlineStr">
        <is>
          <t>adidas Women's Vl Court 3.0 Sneaker, Off White/Night Indigo/Gum, 8</t>
        </is>
      </c>
      <c r="L198" s="24" t="n"/>
      <c r="M198" s="24" t="n">
        <v>97.45999999999999</v>
      </c>
      <c r="N198" s="24" t="n"/>
      <c r="O198" s="24">
        <f>V198-M198</f>
        <v/>
      </c>
      <c r="P198" s="25">
        <f>N198/L198</f>
        <v/>
      </c>
      <c r="Q198" s="23" t="n">
        <v>815</v>
      </c>
      <c r="R198" s="23" t="n"/>
      <c r="S198" s="26" t="n">
        <v>1.64905576</v>
      </c>
      <c r="T198" s="24" t="n">
        <v>97.45999999999999</v>
      </c>
      <c r="U198" s="24" t="n">
        <v>68.47</v>
      </c>
      <c r="V198" s="24" t="n">
        <v>69.11</v>
      </c>
      <c r="W198" s="26" t="inlineStr">
        <is>
          <t>adidas Vl Court 3.0 Womens Sneakers</t>
        </is>
      </c>
      <c r="X198" s="23" t="n">
        <v>3</v>
      </c>
      <c r="Y198" s="18">
        <f>AC198-AB198</f>
        <v/>
      </c>
      <c r="Z198" s="27" t="n">
        <v>49</v>
      </c>
      <c r="AA198" s="27" t="n">
        <v>149</v>
      </c>
      <c r="AB198" s="27" t="n">
        <v>3</v>
      </c>
      <c r="AC198" s="27" t="n">
        <v>1569</v>
      </c>
      <c r="AD198" s="1" t="inlineStr">
        <is>
          <t>NJY45</t>
        </is>
      </c>
      <c r="AE198" s="1" t="inlineStr">
        <is>
          <t>Off White/Night Indigo/Gum</t>
        </is>
      </c>
      <c r="AF198" s="4" t="inlineStr"/>
      <c r="AG198" s="4" t="n">
        <v>7.7</v>
      </c>
    </row>
    <row r="199" ht="47.25" customHeight="1">
      <c r="A199" s="18" t="inlineStr">
        <is>
          <t>196478214220</t>
        </is>
      </c>
      <c r="B199" s="19" t="inlineStr">
        <is>
          <t>https://www.amazon.com/dp/</t>
        </is>
      </c>
      <c r="C199" s="20" t="inlineStr">
        <is>
          <t>B0CKMNNC42</t>
        </is>
      </c>
      <c r="D199" s="44" t="n"/>
      <c r="E199" s="23" t="inlineStr">
        <is>
          <t>?th=1&amp;psc=1&amp;tag=sdcdeals03-20</t>
        </is>
      </c>
      <c r="F199" s="19">
        <f>HYPERLINK("https://redirect.sdcdeals.com/redirect?destination=https%3A%2F%2Fwww.amazon.com%2Fdp%2FB0CKMNNC42%3Fth%3D1%26psc%3D1%26tag%3Dsdcdeals03-20", "Amazon Link")</f>
        <v/>
      </c>
      <c r="G199" s="19" t="inlineStr">
        <is>
          <t>https://www.jcpenney.com/s?searchTerm={search_term}</t>
        </is>
      </c>
      <c r="H199" s="23" t="inlineStr">
        <is>
          <t>196478214220</t>
        </is>
      </c>
      <c r="I199" s="19">
        <f>HYPERLINK("https://www.jcpenney.com/s?searchTerm=196478214220", "Retail Link")</f>
        <v/>
      </c>
      <c r="J199" s="23" t="inlineStr">
        <is>
          <t>n/a</t>
        </is>
      </c>
      <c r="K199" s="21" t="inlineStr">
        <is>
          <t>adidas Women's Vl Court 3.0 Sneaker, Off White/Night Indigo/Gum, 8.5</t>
        </is>
      </c>
      <c r="L199" s="24" t="n"/>
      <c r="M199" s="24" t="n">
        <v>103.95</v>
      </c>
      <c r="N199" s="24" t="n"/>
      <c r="O199" s="24">
        <f>V199-M199</f>
        <v/>
      </c>
      <c r="P199" s="25">
        <f>N199/L199</f>
        <v/>
      </c>
      <c r="Q199" s="23" t="n">
        <v>815</v>
      </c>
      <c r="R199" s="23" t="n"/>
      <c r="S199" s="26" t="n">
        <v>1.67992044</v>
      </c>
      <c r="T199" s="24" t="n">
        <v>103.95</v>
      </c>
      <c r="U199" s="24" t="n">
        <v>71.34</v>
      </c>
      <c r="V199" s="24" t="n">
        <v>71.45999999999999</v>
      </c>
      <c r="W199" s="26" t="inlineStr">
        <is>
          <t>adidas Vl Court 3.0 Womens Sneakers</t>
        </is>
      </c>
      <c r="X199" s="23" t="n">
        <v>4</v>
      </c>
      <c r="Y199" s="18">
        <f>AC199-AB199</f>
        <v/>
      </c>
      <c r="Z199" s="27" t="n">
        <v>65</v>
      </c>
      <c r="AA199" s="27" t="n">
        <v>169</v>
      </c>
      <c r="AB199" s="27" t="n">
        <v>5</v>
      </c>
      <c r="AC199" s="27" t="n">
        <v>1570</v>
      </c>
      <c r="AD199" s="1" t="inlineStr">
        <is>
          <t>NJY45</t>
        </is>
      </c>
      <c r="AE199" s="1" t="inlineStr">
        <is>
          <t>Off White/Night Indigo/Gum</t>
        </is>
      </c>
      <c r="AF199" s="4" t="inlineStr"/>
      <c r="AG199" s="4" t="n">
        <v>7.7</v>
      </c>
    </row>
    <row r="200" ht="47.25" customHeight="1">
      <c r="A200" s="18" t="inlineStr">
        <is>
          <t>196478214183</t>
        </is>
      </c>
      <c r="B200" s="19" t="inlineStr">
        <is>
          <t>https://www.amazon.com/dp/</t>
        </is>
      </c>
      <c r="C200" s="20" t="inlineStr">
        <is>
          <t>B0CKMNQQFK</t>
        </is>
      </c>
      <c r="D200" s="44" t="n"/>
      <c r="E200" s="23" t="inlineStr">
        <is>
          <t>?th=1&amp;psc=1&amp;tag=sdcdeals03-20</t>
        </is>
      </c>
      <c r="F200" s="19">
        <f>HYPERLINK("https://redirect.sdcdeals.com/redirect?destination=https%3A%2F%2Fwww.amazon.com%2Fdp%2FB0CKMNQQFK%3Fth%3D1%26psc%3D1%26tag%3Dsdcdeals03-20", "Amazon Link")</f>
        <v/>
      </c>
      <c r="G200" s="19" t="inlineStr">
        <is>
          <t>https://www.jcpenney.com/s?searchTerm={search_term}</t>
        </is>
      </c>
      <c r="H200" s="23" t="inlineStr">
        <is>
          <t>196478214183</t>
        </is>
      </c>
      <c r="I200" s="19">
        <f>HYPERLINK("https://www.jcpenney.com/s?searchTerm=196478214183", "Retail Link")</f>
        <v/>
      </c>
      <c r="J200" s="23" t="inlineStr">
        <is>
          <t>n/a</t>
        </is>
      </c>
      <c r="K200" s="21" t="inlineStr">
        <is>
          <t>adidas Women's Vl Court 3.0 Sneaker, Off White/Night Indigo/Gum, 9</t>
        </is>
      </c>
      <c r="L200" s="24" t="n"/>
      <c r="M200" s="24" t="n">
        <v>71.36</v>
      </c>
      <c r="N200" s="24" t="n"/>
      <c r="O200" s="24">
        <f>V200-M200</f>
        <v/>
      </c>
      <c r="P200" s="25">
        <f>N200/L200</f>
        <v/>
      </c>
      <c r="Q200" s="23" t="n">
        <v>753</v>
      </c>
      <c r="R200" s="23" t="n"/>
      <c r="S200" s="26" t="n">
        <v>0.83996022</v>
      </c>
      <c r="T200" s="24" t="inlineStr"/>
      <c r="U200" s="24" t="n">
        <v>71.36</v>
      </c>
      <c r="V200" s="24" t="n">
        <v>69.61</v>
      </c>
      <c r="W200" s="26" t="inlineStr">
        <is>
          <t>adidas Vl Court 3.0 Womens Sneakers</t>
        </is>
      </c>
      <c r="X200" s="23" t="n">
        <v>2</v>
      </c>
      <c r="Y200" s="18">
        <f>AC200-AB200</f>
        <v/>
      </c>
      <c r="Z200" s="27" t="n">
        <v>54</v>
      </c>
      <c r="AA200" s="27" t="n">
        <v>171</v>
      </c>
      <c r="AB200" s="27" t="n">
        <v>3</v>
      </c>
      <c r="AC200" s="27" t="n">
        <v>1570</v>
      </c>
      <c r="AD200" s="1" t="inlineStr">
        <is>
          <t>NJY45</t>
        </is>
      </c>
      <c r="AE200" s="1" t="inlineStr">
        <is>
          <t>Off White/Night Indigo/Gum</t>
        </is>
      </c>
      <c r="AF200" s="4" t="inlineStr"/>
      <c r="AG200" s="4" t="n">
        <v>7.7</v>
      </c>
    </row>
    <row r="201" ht="47.25" customHeight="1">
      <c r="A201" s="18" t="inlineStr">
        <is>
          <t>196478214169</t>
        </is>
      </c>
      <c r="B201" s="19" t="inlineStr">
        <is>
          <t>https://www.amazon.com/dp/</t>
        </is>
      </c>
      <c r="C201" s="20" t="inlineStr">
        <is>
          <t>B0CKMQ54Q8</t>
        </is>
      </c>
      <c r="D201" s="44" t="n"/>
      <c r="E201" s="23" t="inlineStr">
        <is>
          <t>?th=1&amp;psc=1&amp;tag=sdcdeals03-20</t>
        </is>
      </c>
      <c r="F201" s="19">
        <f>HYPERLINK("https://redirect.sdcdeals.com/redirect?destination=https%3A%2F%2Fwww.amazon.com%2Fdp%2FB0CKMQ54Q8%3Fth%3D1%26psc%3D1%26tag%3Dsdcdeals03-20", "Amazon Link")</f>
        <v/>
      </c>
      <c r="G201" s="19" t="inlineStr">
        <is>
          <t>https://www.jcpenney.com/s?searchTerm={search_term}</t>
        </is>
      </c>
      <c r="H201" s="23" t="inlineStr">
        <is>
          <t>196478214169</t>
        </is>
      </c>
      <c r="I201" s="19">
        <f>HYPERLINK("https://www.jcpenney.com/s?searchTerm=196478214169", "Retail Link")</f>
        <v/>
      </c>
      <c r="J201" s="23" t="inlineStr">
        <is>
          <t>n/a</t>
        </is>
      </c>
      <c r="K201" s="21" t="inlineStr">
        <is>
          <t>adidas Women's Vl Court 3.0 Sneaker, Off White/Night Indigo/Gum, 9.5</t>
        </is>
      </c>
      <c r="L201" s="24" t="n"/>
      <c r="M201" s="24" t="n">
        <v>70.34999999999999</v>
      </c>
      <c r="N201" s="24" t="n"/>
      <c r="O201" s="24">
        <f>V201-M201</f>
        <v/>
      </c>
      <c r="P201" s="25">
        <f>N201/L201</f>
        <v/>
      </c>
      <c r="Q201" s="23" t="n">
        <v>815</v>
      </c>
      <c r="R201" s="23" t="n"/>
      <c r="S201" s="26" t="n">
        <v>1.8188115</v>
      </c>
      <c r="T201" s="24" t="inlineStr"/>
      <c r="U201" s="24" t="n">
        <v>70.34999999999999</v>
      </c>
      <c r="V201" s="24" t="n">
        <v>70.31</v>
      </c>
      <c r="W201" s="26" t="inlineStr">
        <is>
          <t>adidas Vl Court 3.0 Womens Sneakers</t>
        </is>
      </c>
      <c r="X201" s="23" t="n">
        <v>3</v>
      </c>
      <c r="Y201" s="18">
        <f>AC201-AB201</f>
        <v/>
      </c>
      <c r="Z201" s="27" t="n">
        <v>75</v>
      </c>
      <c r="AA201" s="27" t="n">
        <v>195</v>
      </c>
      <c r="AB201" s="27" t="n">
        <v>5</v>
      </c>
      <c r="AC201" s="27" t="n">
        <v>1562</v>
      </c>
      <c r="AD201" s="1" t="inlineStr">
        <is>
          <t>NJY45</t>
        </is>
      </c>
      <c r="AE201" s="1" t="inlineStr">
        <is>
          <t>Off White/Night Indigo/Gum</t>
        </is>
      </c>
      <c r="AF201" s="4" t="inlineStr"/>
      <c r="AG201" s="4" t="n">
        <v>7.62</v>
      </c>
    </row>
    <row r="202" ht="47.25" customHeight="1">
      <c r="A202" s="18" t="inlineStr">
        <is>
          <t>196478214268</t>
        </is>
      </c>
      <c r="B202" s="19" t="inlineStr">
        <is>
          <t>https://www.amazon.com/dp/</t>
        </is>
      </c>
      <c r="C202" s="20" t="inlineStr">
        <is>
          <t>B0CKMNZ36K</t>
        </is>
      </c>
      <c r="D202" s="44" t="n"/>
      <c r="E202" s="23" t="inlineStr">
        <is>
          <t>?th=1&amp;psc=1&amp;tag=sdcdeals03-20</t>
        </is>
      </c>
      <c r="F202" s="19">
        <f>HYPERLINK("https://redirect.sdcdeals.com/redirect?destination=https%3A%2F%2Fwww.amazon.com%2Fdp%2FB0CKMNZ36K%3Fth%3D1%26psc%3D1%26tag%3Dsdcdeals03-20", "Amazon Link")</f>
        <v/>
      </c>
      <c r="G202" s="19" t="inlineStr">
        <is>
          <t>https://www.jcpenney.com/s?searchTerm={search_term}</t>
        </is>
      </c>
      <c r="H202" s="23" t="inlineStr">
        <is>
          <t>196478214268</t>
        </is>
      </c>
      <c r="I202" s="19">
        <f>HYPERLINK("https://www.jcpenney.com/s?searchTerm=196478214268", "Retail Link")</f>
        <v/>
      </c>
      <c r="J202" s="23" t="inlineStr">
        <is>
          <t>n/a</t>
        </is>
      </c>
      <c r="K202" s="21" t="inlineStr">
        <is>
          <t>adidas Women's Vl Court 3.0 Sneaker, Off White/Night Indigo/Gum, 10</t>
        </is>
      </c>
      <c r="L202" s="24" t="n"/>
      <c r="M202" s="24" t="n">
        <v>75</v>
      </c>
      <c r="N202" s="24" t="n"/>
      <c r="O202" s="24">
        <f>V202-M202</f>
        <v/>
      </c>
      <c r="P202" s="25">
        <f>N202/L202</f>
        <v/>
      </c>
      <c r="Q202" s="23" t="n">
        <v>815</v>
      </c>
      <c r="R202" s="23" t="n"/>
      <c r="S202" s="26" t="n">
        <v>2.07013818</v>
      </c>
      <c r="T202" s="24" t="n">
        <v>75</v>
      </c>
      <c r="U202" s="24" t="n">
        <v>68.34999999999999</v>
      </c>
      <c r="V202" s="24" t="n">
        <v>69.02</v>
      </c>
      <c r="W202" s="26" t="inlineStr">
        <is>
          <t>adidas Vl Court 3.0 Womens Sneakers</t>
        </is>
      </c>
      <c r="X202" s="23" t="n">
        <v>4</v>
      </c>
      <c r="Y202" s="18">
        <f>AC202-AB202</f>
        <v/>
      </c>
      <c r="Z202" s="27" t="n">
        <v>64</v>
      </c>
      <c r="AA202" s="27" t="n">
        <v>200</v>
      </c>
      <c r="AB202" s="27" t="n">
        <v>4</v>
      </c>
      <c r="AC202" s="27" t="n">
        <v>1562</v>
      </c>
      <c r="AD202" s="1" t="inlineStr">
        <is>
          <t>NJY45</t>
        </is>
      </c>
      <c r="AE202" s="1" t="inlineStr">
        <is>
          <t>Off White/Night Indigo/Gum</t>
        </is>
      </c>
      <c r="AF202" s="4" t="n">
        <v>11.25</v>
      </c>
      <c r="AG202" s="4" t="n">
        <v>7.7</v>
      </c>
    </row>
    <row r="203" ht="47.25" customHeight="1">
      <c r="A203" s="18" t="inlineStr">
        <is>
          <t>196478214176</t>
        </is>
      </c>
      <c r="B203" s="19" t="inlineStr">
        <is>
          <t>https://www.amazon.com/dp/</t>
        </is>
      </c>
      <c r="C203" s="20" t="inlineStr">
        <is>
          <t>B0CKMNHDHV</t>
        </is>
      </c>
      <c r="D203" s="44" t="n"/>
      <c r="E203" s="23" t="inlineStr">
        <is>
          <t>?th=1&amp;psc=1&amp;tag=sdcdeals03-20</t>
        </is>
      </c>
      <c r="F203" s="19">
        <f>HYPERLINK("https://redirect.sdcdeals.com/redirect?destination=https%3A%2F%2Fwww.amazon.com%2Fdp%2FB0CKMNHDHV%3Fth%3D1%26psc%3D1%26tag%3Dsdcdeals03-20", "Amazon Link")</f>
        <v/>
      </c>
      <c r="G203" s="19" t="inlineStr">
        <is>
          <t>https://www.jcpenney.com/s?searchTerm={search_term}</t>
        </is>
      </c>
      <c r="H203" s="23" t="inlineStr">
        <is>
          <t>196478214176</t>
        </is>
      </c>
      <c r="I203" s="19">
        <f>HYPERLINK("https://www.jcpenney.com/s?searchTerm=196478214176", "Retail Link")</f>
        <v/>
      </c>
      <c r="J203" s="23" t="inlineStr">
        <is>
          <t>n/a</t>
        </is>
      </c>
      <c r="K203" s="21" t="inlineStr">
        <is>
          <t>adidas Women's Vl Court 3.0 Sneaker, Off White/Night Indigo/Gum, 11</t>
        </is>
      </c>
      <c r="L203" s="24" t="n"/>
      <c r="M203" s="24" t="n">
        <v>75</v>
      </c>
      <c r="N203" s="24" t="n"/>
      <c r="O203" s="24">
        <f>V203-M203</f>
        <v/>
      </c>
      <c r="P203" s="25">
        <f>N203/L203</f>
        <v/>
      </c>
      <c r="Q203" s="23" t="n">
        <v>815</v>
      </c>
      <c r="R203" s="23" t="n"/>
      <c r="S203" s="26" t="n">
        <v>2.01061344</v>
      </c>
      <c r="T203" s="24" t="n">
        <v>75</v>
      </c>
      <c r="U203" s="24" t="n">
        <v>67.31999999999999</v>
      </c>
      <c r="V203" s="24" t="n">
        <v>66.13</v>
      </c>
      <c r="W203" s="26" t="inlineStr">
        <is>
          <t>adidas Vl Court 3.0 Womens Sneakers</t>
        </is>
      </c>
      <c r="X203" s="23" t="n">
        <v>2</v>
      </c>
      <c r="Y203" s="18">
        <f>AC203-AB203</f>
        <v/>
      </c>
      <c r="Z203" s="27" t="n">
        <v>44</v>
      </c>
      <c r="AA203" s="27" t="n">
        <v>133</v>
      </c>
      <c r="AB203" s="27" t="n">
        <v>1</v>
      </c>
      <c r="AC203" s="27" t="n">
        <v>1566</v>
      </c>
      <c r="AD203" s="1" t="inlineStr">
        <is>
          <t>NJY45</t>
        </is>
      </c>
      <c r="AE203" s="1" t="inlineStr">
        <is>
          <t>Off White/Night Indigo/Gum</t>
        </is>
      </c>
      <c r="AF203" s="4" t="n">
        <v>11.25</v>
      </c>
      <c r="AG203" s="4" t="n">
        <v>7.86</v>
      </c>
    </row>
    <row r="204" ht="47.25" customHeight="1">
      <c r="A204" s="18" t="inlineStr">
        <is>
          <t>197609802439</t>
        </is>
      </c>
      <c r="B204" s="19" t="inlineStr">
        <is>
          <t>https://www.amazon.com/dp/</t>
        </is>
      </c>
      <c r="C204" s="20" t="inlineStr">
        <is>
          <t>B0CKMP1DBM</t>
        </is>
      </c>
      <c r="D204" s="44" t="n"/>
      <c r="E204" s="23" t="inlineStr">
        <is>
          <t>?th=1&amp;psc=1&amp;tag=sdcdeals03-20</t>
        </is>
      </c>
      <c r="F204" s="19">
        <f>HYPERLINK("https://redirect.sdcdeals.com/redirect?destination=https%3A%2F%2Fwww.amazon.com%2Fdp%2FB0CKMP1DBM%3Fth%3D1%26psc%3D1%26tag%3Dsdcdeals03-20", "Amazon Link")</f>
        <v/>
      </c>
      <c r="G204" s="19" t="inlineStr">
        <is>
          <t>https://www.jcpenney.com/s?searchTerm={search_term}</t>
        </is>
      </c>
      <c r="H204" s="23" t="inlineStr">
        <is>
          <t>197609802439</t>
        </is>
      </c>
      <c r="I204" s="19">
        <f>HYPERLINK("https://www.jcpenney.com/s?searchTerm=197609802439", "Retail Link")</f>
        <v/>
      </c>
      <c r="J204" s="23" t="inlineStr">
        <is>
          <t>n/a</t>
        </is>
      </c>
      <c r="K204" s="21" t="inlineStr">
        <is>
          <t>adidas Women's VL Court 3.0 Sneaker, Preloved Brown/Chalk White/Gum, 5</t>
        </is>
      </c>
      <c r="L204" s="24" t="n"/>
      <c r="M204" s="24" t="n">
        <v>69.3</v>
      </c>
      <c r="N204" s="24" t="n"/>
      <c r="O204" s="24">
        <f>V204-M204</f>
        <v/>
      </c>
      <c r="P204" s="25">
        <f>N204/L204</f>
        <v/>
      </c>
      <c r="Q204" s="23" t="n">
        <v>815</v>
      </c>
      <c r="R204" s="23" t="n"/>
      <c r="S204" s="26" t="n">
        <v>1.3889106</v>
      </c>
      <c r="T204" s="24" t="inlineStr"/>
      <c r="U204" s="24" t="n">
        <v>69.3</v>
      </c>
      <c r="V204" s="24" t="n">
        <v>57.23</v>
      </c>
      <c r="W204" s="26" t="inlineStr">
        <is>
          <t>adidas Vl Court 3.0 Womens Sneakers</t>
        </is>
      </c>
      <c r="X204" s="23" t="n">
        <v>1</v>
      </c>
      <c r="Y204" s="18">
        <f>AC204-AB204</f>
        <v/>
      </c>
      <c r="Z204" s="27" t="n">
        <v>21</v>
      </c>
      <c r="AA204" s="27" t="n">
        <v>83</v>
      </c>
      <c r="AB204" s="27" t="n">
        <v>1</v>
      </c>
      <c r="AC204" s="27" t="n">
        <v>1562</v>
      </c>
      <c r="AD204" s="1" t="inlineStr">
        <is>
          <t>NLF94</t>
        </is>
      </c>
      <c r="AE204" s="1" t="inlineStr">
        <is>
          <t>Preloved Brown/Chalk White/Gum</t>
        </is>
      </c>
      <c r="AF204" s="4" t="inlineStr"/>
      <c r="AG204" s="4" t="n">
        <v>6.61</v>
      </c>
    </row>
    <row r="205" ht="47.25" customHeight="1">
      <c r="A205" s="18" t="inlineStr">
        <is>
          <t>197609802347</t>
        </is>
      </c>
      <c r="B205" s="19" t="inlineStr">
        <is>
          <t>https://www.amazon.com/dp/</t>
        </is>
      </c>
      <c r="C205" s="20" t="inlineStr">
        <is>
          <t>B0CKMM8BW6</t>
        </is>
      </c>
      <c r="D205" s="44" t="n"/>
      <c r="E205" s="23" t="inlineStr">
        <is>
          <t>?th=1&amp;psc=1&amp;tag=sdcdeals03-20</t>
        </is>
      </c>
      <c r="F205" s="19">
        <f>HYPERLINK("https://redirect.sdcdeals.com/redirect?destination=https%3A%2F%2Fwww.amazon.com%2Fdp%2FB0CKMM8BW6%3Fth%3D1%26psc%3D1%26tag%3Dsdcdeals03-20", "Amazon Link")</f>
        <v/>
      </c>
      <c r="G205" s="19" t="inlineStr">
        <is>
          <t>https://www.jcpenney.com/s?searchTerm={search_term}</t>
        </is>
      </c>
      <c r="H205" s="23" t="inlineStr">
        <is>
          <t>197609802347</t>
        </is>
      </c>
      <c r="I205" s="19">
        <f>HYPERLINK("https://www.jcpenney.com/s?searchTerm=197609802347", "Retail Link")</f>
        <v/>
      </c>
      <c r="J205" s="23" t="inlineStr">
        <is>
          <t>n/a</t>
        </is>
      </c>
      <c r="K205" s="21" t="inlineStr">
        <is>
          <t>adidas Women's VL Court 3.0 Sneaker, Preloved Brown/Chalk White/Gum, 5.5</t>
        </is>
      </c>
      <c r="L205" s="24" t="n"/>
      <c r="M205" s="24" t="n">
        <v>55.11</v>
      </c>
      <c r="N205" s="24" t="n"/>
      <c r="O205" s="24">
        <f>V205-M205</f>
        <v/>
      </c>
      <c r="P205" s="25">
        <f>N205/L205</f>
        <v/>
      </c>
      <c r="Q205" s="23" t="n">
        <v>815</v>
      </c>
      <c r="R205" s="23" t="n"/>
      <c r="S205" s="26" t="n">
        <v>1.4109568</v>
      </c>
      <c r="T205" s="24" t="inlineStr"/>
      <c r="U205" s="24" t="inlineStr"/>
      <c r="V205" s="24" t="n">
        <v>55.11</v>
      </c>
      <c r="W205" s="26" t="inlineStr">
        <is>
          <t>adidas Vl Court 3.0 Womens Sneakers</t>
        </is>
      </c>
      <c r="X205" s="23" t="n">
        <v>1</v>
      </c>
      <c r="Y205" s="18">
        <f>AC205-AB205</f>
        <v/>
      </c>
      <c r="Z205" s="27" t="n">
        <v>17</v>
      </c>
      <c r="AA205" s="27" t="n">
        <v>82</v>
      </c>
      <c r="AB205" s="27" t="n">
        <v>0</v>
      </c>
      <c r="AC205" s="27" t="n">
        <v>1562</v>
      </c>
      <c r="AD205" s="1" t="inlineStr">
        <is>
          <t>NLF94</t>
        </is>
      </c>
      <c r="AE205" s="1" t="inlineStr">
        <is>
          <t>Preloved Brown/Chalk White/Gum</t>
        </is>
      </c>
      <c r="AF205" s="4" t="inlineStr"/>
      <c r="AG205" s="4" t="n">
        <v>6.61</v>
      </c>
    </row>
    <row r="206" ht="47.25" customHeight="1">
      <c r="A206" s="18" t="inlineStr">
        <is>
          <t>197609802422</t>
        </is>
      </c>
      <c r="B206" s="19" t="inlineStr">
        <is>
          <t>https://www.amazon.com/dp/</t>
        </is>
      </c>
      <c r="C206" s="20" t="inlineStr">
        <is>
          <t>B0CKMN1J4L</t>
        </is>
      </c>
      <c r="D206" s="44" t="n"/>
      <c r="E206" s="23" t="inlineStr">
        <is>
          <t>?th=1&amp;psc=1&amp;tag=sdcdeals03-20</t>
        </is>
      </c>
      <c r="F206" s="19">
        <f>HYPERLINK("https://redirect.sdcdeals.com/redirect?destination=https%3A%2F%2Fwww.amazon.com%2Fdp%2FB0CKMN1J4L%3Fth%3D1%26psc%3D1%26tag%3Dsdcdeals03-20", "Amazon Link")</f>
        <v/>
      </c>
      <c r="G206" s="19" t="inlineStr">
        <is>
          <t>https://www.jcpenney.com/s?searchTerm={search_term}</t>
        </is>
      </c>
      <c r="H206" s="23" t="inlineStr">
        <is>
          <t>197609802422</t>
        </is>
      </c>
      <c r="I206" s="19">
        <f>HYPERLINK("https://www.jcpenney.com/s?searchTerm=197609802422", "Retail Link")</f>
        <v/>
      </c>
      <c r="J206" s="23" t="inlineStr">
        <is>
          <t>n/a</t>
        </is>
      </c>
      <c r="K206" s="21" t="inlineStr">
        <is>
          <t>adidas Women's VL Court 3.0 Sneaker, Preloved Brown/Chalk White/Gum, 6</t>
        </is>
      </c>
      <c r="L206" s="24" t="n"/>
      <c r="M206" s="24" t="n">
        <v>68.13</v>
      </c>
      <c r="N206" s="24" t="n"/>
      <c r="O206" s="24">
        <f>V206-M206</f>
        <v/>
      </c>
      <c r="P206" s="25">
        <f>N206/L206</f>
        <v/>
      </c>
      <c r="Q206" s="23" t="n">
        <v>815</v>
      </c>
      <c r="R206" s="23" t="n"/>
      <c r="S206" s="26" t="n">
        <v>1.43079838</v>
      </c>
      <c r="T206" s="24" t="inlineStr"/>
      <c r="U206" s="24" t="n">
        <v>68.13</v>
      </c>
      <c r="V206" s="24" t="n">
        <v>58.96</v>
      </c>
      <c r="W206" s="26" t="inlineStr">
        <is>
          <t>adidas Vl Court 3.0 Womens Sneakers</t>
        </is>
      </c>
      <c r="X206" s="23" t="n">
        <v>1</v>
      </c>
      <c r="Y206" s="18">
        <f>AC206-AB206</f>
        <v/>
      </c>
      <c r="Z206" s="27" t="n">
        <v>16</v>
      </c>
      <c r="AA206" s="27" t="n">
        <v>104</v>
      </c>
      <c r="AB206" s="27" t="n">
        <v>1</v>
      </c>
      <c r="AC206" s="27" t="n">
        <v>1562</v>
      </c>
      <c r="AD206" s="1" t="inlineStr">
        <is>
          <t>NLF94</t>
        </is>
      </c>
      <c r="AE206" s="1" t="inlineStr">
        <is>
          <t>Preloved Brown/Chalk White/Gum</t>
        </is>
      </c>
      <c r="AF206" s="4" t="inlineStr"/>
      <c r="AG206" s="4" t="n">
        <v>7.03</v>
      </c>
    </row>
    <row r="207" ht="47.25" customHeight="1">
      <c r="A207" s="18" t="inlineStr">
        <is>
          <t>197609802453</t>
        </is>
      </c>
      <c r="B207" s="19" t="inlineStr">
        <is>
          <t>https://www.amazon.com/dp/</t>
        </is>
      </c>
      <c r="C207" s="20" t="inlineStr">
        <is>
          <t>B0CKMQZLDP</t>
        </is>
      </c>
      <c r="D207" s="44" t="n"/>
      <c r="E207" s="23" t="inlineStr">
        <is>
          <t>?th=1&amp;psc=1&amp;tag=sdcdeals03-20</t>
        </is>
      </c>
      <c r="F207" s="19">
        <f>HYPERLINK("https://redirect.sdcdeals.com/redirect?destination=https%3A%2F%2Fwww.amazon.com%2Fdp%2FB0CKMQZLDP%3Fth%3D1%26psc%3D1%26tag%3Dsdcdeals03-20", "Amazon Link")</f>
        <v/>
      </c>
      <c r="G207" s="19" t="inlineStr">
        <is>
          <t>https://www.jcpenney.com/s?searchTerm={search_term}</t>
        </is>
      </c>
      <c r="H207" s="23" t="inlineStr">
        <is>
          <t>197609802453</t>
        </is>
      </c>
      <c r="I207" s="19">
        <f>HYPERLINK("https://www.jcpenney.com/s?searchTerm=197609802453", "Retail Link")</f>
        <v/>
      </c>
      <c r="J207" s="23" t="inlineStr">
        <is>
          <t>n/a</t>
        </is>
      </c>
      <c r="K207" s="21" t="inlineStr">
        <is>
          <t>adidas Women's VL Court 3.0 Sneaker, Preloved Brown/Chalk White/Gum, 6.5</t>
        </is>
      </c>
      <c r="L207" s="24" t="n"/>
      <c r="M207" s="24" t="n">
        <v>72.02</v>
      </c>
      <c r="N207" s="24" t="n"/>
      <c r="O207" s="24">
        <f>V207-M207</f>
        <v/>
      </c>
      <c r="P207" s="25">
        <f>N207/L207</f>
        <v/>
      </c>
      <c r="Q207" s="23" t="n">
        <v>753</v>
      </c>
      <c r="R207" s="23" t="n"/>
      <c r="S207" s="26" t="n">
        <v>1.51898318</v>
      </c>
      <c r="T207" s="24" t="inlineStr"/>
      <c r="U207" s="24" t="n">
        <v>72.02</v>
      </c>
      <c r="V207" s="24" t="n">
        <v>59.65</v>
      </c>
      <c r="W207" s="26" t="inlineStr">
        <is>
          <t>adidas Vl Court 3.0 Womens Sneakers</t>
        </is>
      </c>
      <c r="X207" s="23" t="n">
        <v>1</v>
      </c>
      <c r="Y207" s="18">
        <f>AC207-AB207</f>
        <v/>
      </c>
      <c r="Z207" s="27" t="n">
        <v>19</v>
      </c>
      <c r="AA207" s="27" t="n">
        <v>91</v>
      </c>
      <c r="AB207" s="27" t="n">
        <v>0</v>
      </c>
      <c r="AC207" s="27" t="n">
        <v>1562</v>
      </c>
      <c r="AD207" s="1" t="inlineStr">
        <is>
          <t>NLF94</t>
        </is>
      </c>
      <c r="AE207" s="1" t="inlineStr">
        <is>
          <t>Preloved Brown/Chalk White/Gum</t>
        </is>
      </c>
      <c r="AF207" s="4" t="inlineStr"/>
      <c r="AG207" s="4" t="n">
        <v>6.61</v>
      </c>
    </row>
    <row r="208" ht="47.25" customHeight="1">
      <c r="A208" s="18" t="inlineStr">
        <is>
          <t>197609802361</t>
        </is>
      </c>
      <c r="B208" s="19" t="inlineStr">
        <is>
          <t>https://www.amazon.com/dp/</t>
        </is>
      </c>
      <c r="C208" s="20" t="inlineStr">
        <is>
          <t>B0CKMQ2ZZV</t>
        </is>
      </c>
      <c r="D208" s="44" t="n"/>
      <c r="E208" s="23" t="inlineStr">
        <is>
          <t>?th=1&amp;psc=1&amp;tag=sdcdeals03-20</t>
        </is>
      </c>
      <c r="F208" s="19">
        <f>HYPERLINK("https://redirect.sdcdeals.com/redirect?destination=https%3A%2F%2Fwww.amazon.com%2Fdp%2FB0CKMQ2ZZV%3Fth%3D1%26psc%3D1%26tag%3Dsdcdeals03-20", "Amazon Link")</f>
        <v/>
      </c>
      <c r="G208" s="19" t="inlineStr">
        <is>
          <t>https://www.jcpenney.com/s?searchTerm={search_term}</t>
        </is>
      </c>
      <c r="H208" s="23" t="inlineStr">
        <is>
          <t>197609802361</t>
        </is>
      </c>
      <c r="I208" s="19">
        <f>HYPERLINK("https://www.jcpenney.com/s?searchTerm=197609802361", "Retail Link")</f>
        <v/>
      </c>
      <c r="J208" s="23" t="inlineStr">
        <is>
          <t>n/a</t>
        </is>
      </c>
      <c r="K208" s="21" t="inlineStr">
        <is>
          <t>adidas Women's VL Court 3.0 Sneaker, Preloved Brown/Chalk White/Gum, 7</t>
        </is>
      </c>
      <c r="L208" s="24" t="n"/>
      <c r="M208" s="24" t="n">
        <v>67.42</v>
      </c>
      <c r="N208" s="24" t="n"/>
      <c r="O208" s="24">
        <f>V208-M208</f>
        <v/>
      </c>
      <c r="P208" s="25">
        <f>N208/L208</f>
        <v/>
      </c>
      <c r="Q208" s="23" t="n">
        <v>815</v>
      </c>
      <c r="R208" s="23" t="n"/>
      <c r="S208" s="26" t="n">
        <v>1.58953102</v>
      </c>
      <c r="T208" s="24" t="inlineStr"/>
      <c r="U208" s="24" t="n">
        <v>67.42</v>
      </c>
      <c r="V208" s="24" t="n">
        <v>57.28</v>
      </c>
      <c r="W208" s="26" t="inlineStr">
        <is>
          <t>adidas Vl Court 3.0 Womens Sneakers</t>
        </is>
      </c>
      <c r="X208" s="23" t="n">
        <v>1</v>
      </c>
      <c r="Y208" s="18">
        <f>AC208-AB208</f>
        <v/>
      </c>
      <c r="Z208" s="27" t="n">
        <v>22</v>
      </c>
      <c r="AA208" s="27" t="n">
        <v>92</v>
      </c>
      <c r="AB208" s="27" t="n">
        <v>0</v>
      </c>
      <c r="AC208" s="27" t="n">
        <v>1562</v>
      </c>
      <c r="AD208" s="1" t="inlineStr">
        <is>
          <t>NLF94</t>
        </is>
      </c>
      <c r="AE208" s="1" t="inlineStr">
        <is>
          <t>Preloved Brown/Chalk White/Gum</t>
        </is>
      </c>
      <c r="AF208" s="4" t="inlineStr"/>
      <c r="AG208" s="4" t="n">
        <v>6.61</v>
      </c>
    </row>
    <row r="209" ht="47.25" customHeight="1">
      <c r="A209" s="18" t="inlineStr">
        <is>
          <t>197609802415</t>
        </is>
      </c>
      <c r="B209" s="19" t="inlineStr">
        <is>
          <t>https://www.amazon.com/dp/</t>
        </is>
      </c>
      <c r="C209" s="20" t="inlineStr">
        <is>
          <t>B0CKMN9VPN</t>
        </is>
      </c>
      <c r="D209" s="44" t="n"/>
      <c r="E209" s="23" t="inlineStr">
        <is>
          <t>?th=1&amp;psc=1&amp;tag=sdcdeals03-20</t>
        </is>
      </c>
      <c r="F209" s="19">
        <f>HYPERLINK("https://redirect.sdcdeals.com/redirect?destination=https%3A%2F%2Fwww.amazon.com%2Fdp%2FB0CKMN9VPN%3Fth%3D1%26psc%3D1%26tag%3Dsdcdeals03-20", "Amazon Link")</f>
        <v/>
      </c>
      <c r="G209" s="19" t="inlineStr">
        <is>
          <t>https://www.jcpenney.com/s?searchTerm={search_term}</t>
        </is>
      </c>
      <c r="H209" s="23" t="inlineStr">
        <is>
          <t>197609802415</t>
        </is>
      </c>
      <c r="I209" s="19">
        <f>HYPERLINK("https://www.jcpenney.com/s?searchTerm=197609802415", "Retail Link")</f>
        <v/>
      </c>
      <c r="J209" s="23" t="inlineStr">
        <is>
          <t>n/a</t>
        </is>
      </c>
      <c r="K209" s="21" t="inlineStr">
        <is>
          <t>adidas Women's VL Court 3.0 Sneaker, Preloved Brown/Chalk White/Gum, 7.5</t>
        </is>
      </c>
      <c r="L209" s="24" t="n"/>
      <c r="M209" s="24" t="n">
        <v>66.81999999999999</v>
      </c>
      <c r="N209" s="24" t="n"/>
      <c r="O209" s="24">
        <f>V209-M209</f>
        <v/>
      </c>
      <c r="P209" s="25">
        <f>N209/L209</f>
        <v/>
      </c>
      <c r="Q209" s="23" t="n">
        <v>815</v>
      </c>
      <c r="R209" s="23" t="n"/>
      <c r="S209" s="26" t="n">
        <v>1.62921418</v>
      </c>
      <c r="T209" s="24" t="inlineStr"/>
      <c r="U209" s="24" t="n">
        <v>66.81999999999999</v>
      </c>
      <c r="V209" s="24" t="n">
        <v>59.43</v>
      </c>
      <c r="W209" s="26" t="inlineStr">
        <is>
          <t>adidas Vl Court 3.0 Womens Sneakers</t>
        </is>
      </c>
      <c r="X209" s="23" t="n">
        <v>1</v>
      </c>
      <c r="Y209" s="18">
        <f>AC209-AB209</f>
        <v/>
      </c>
      <c r="Z209" s="27" t="n">
        <v>24</v>
      </c>
      <c r="AA209" s="27" t="n">
        <v>109</v>
      </c>
      <c r="AB209" s="27" t="n">
        <v>1</v>
      </c>
      <c r="AC209" s="27" t="n">
        <v>1555</v>
      </c>
      <c r="AD209" s="1" t="inlineStr">
        <is>
          <t>NLF94</t>
        </is>
      </c>
      <c r="AE209" s="1" t="inlineStr">
        <is>
          <t>Preloved Brown/Chalk White/Gum</t>
        </is>
      </c>
      <c r="AF209" s="4" t="inlineStr"/>
      <c r="AG209" s="4" t="n">
        <v>7.7</v>
      </c>
    </row>
    <row r="210" ht="47.25" customHeight="1">
      <c r="A210" s="18" t="inlineStr">
        <is>
          <t>197609802385</t>
        </is>
      </c>
      <c r="B210" s="19" t="inlineStr">
        <is>
          <t>https://www.amazon.com/dp/</t>
        </is>
      </c>
      <c r="C210" s="20" t="inlineStr">
        <is>
          <t>B0CKMQ5625</t>
        </is>
      </c>
      <c r="D210" s="44" t="n"/>
      <c r="E210" s="23" t="inlineStr">
        <is>
          <t>?th=1&amp;psc=1&amp;tag=sdcdeals03-20</t>
        </is>
      </c>
      <c r="F210" s="19">
        <f>HYPERLINK("https://redirect.sdcdeals.com/redirect?destination=https%3A%2F%2Fwww.amazon.com%2Fdp%2FB0CKMQ5625%3Fth%3D1%26psc%3D1%26tag%3Dsdcdeals03-20", "Amazon Link")</f>
        <v/>
      </c>
      <c r="G210" s="19" t="inlineStr">
        <is>
          <t>https://www.jcpenney.com/s?searchTerm={search_term}</t>
        </is>
      </c>
      <c r="H210" s="23" t="inlineStr">
        <is>
          <t>197609802385</t>
        </is>
      </c>
      <c r="I210" s="19">
        <f>HYPERLINK("https://www.jcpenney.com/s?searchTerm=197609802385", "Retail Link")</f>
        <v/>
      </c>
      <c r="J210" s="23" t="inlineStr">
        <is>
          <t>n/a</t>
        </is>
      </c>
      <c r="K210" s="21" t="inlineStr">
        <is>
          <t>adidas Women's VL Court 3.0 Sneaker, Preloved Brown/Chalk White/Gum, 8</t>
        </is>
      </c>
      <c r="L210" s="24" t="n"/>
      <c r="M210" s="24" t="n">
        <v>57.96</v>
      </c>
      <c r="N210" s="24" t="n"/>
      <c r="O210" s="24">
        <f>V210-M210</f>
        <v/>
      </c>
      <c r="P210" s="25">
        <f>N210/L210</f>
        <v/>
      </c>
      <c r="Q210" s="23" t="n">
        <v>815</v>
      </c>
      <c r="R210" s="23" t="n"/>
      <c r="S210" s="26" t="n">
        <v>1.64905576</v>
      </c>
      <c r="T210" s="24" t="inlineStr"/>
      <c r="U210" s="24" t="n">
        <v>57.96</v>
      </c>
      <c r="V210" s="24" t="n">
        <v>54.94</v>
      </c>
      <c r="W210" s="26" t="inlineStr">
        <is>
          <t>adidas Vl Court 3.0 Womens Sneakers</t>
        </is>
      </c>
      <c r="X210" s="23" t="n">
        <v>1</v>
      </c>
      <c r="Y210" s="18">
        <f>AC210-AB210</f>
        <v/>
      </c>
      <c r="Z210" s="27" t="n">
        <v>19</v>
      </c>
      <c r="AA210" s="27" t="n">
        <v>101</v>
      </c>
      <c r="AB210" s="27" t="n">
        <v>1</v>
      </c>
      <c r="AC210" s="27" t="n">
        <v>1562</v>
      </c>
      <c r="AD210" s="1" t="inlineStr">
        <is>
          <t>NLF94</t>
        </is>
      </c>
      <c r="AE210" s="1" t="inlineStr">
        <is>
          <t>Preloved Brown/Chalk White/Gum</t>
        </is>
      </c>
      <c r="AF210" s="4" t="inlineStr"/>
      <c r="AG210" s="4" t="n">
        <v>7.7</v>
      </c>
    </row>
    <row r="211" ht="47.25" customHeight="1">
      <c r="A211" s="18" t="inlineStr">
        <is>
          <t>197609802446</t>
        </is>
      </c>
      <c r="B211" s="19" t="inlineStr">
        <is>
          <t>https://www.amazon.com/dp/</t>
        </is>
      </c>
      <c r="C211" s="20" t="inlineStr">
        <is>
          <t>B0CKMP535W</t>
        </is>
      </c>
      <c r="D211" s="44" t="n"/>
      <c r="E211" s="23" t="inlineStr">
        <is>
          <t>?th=1&amp;psc=1&amp;tag=sdcdeals03-20</t>
        </is>
      </c>
      <c r="F211" s="19">
        <f>HYPERLINK("https://redirect.sdcdeals.com/redirect?destination=https%3A%2F%2Fwww.amazon.com%2Fdp%2FB0CKMP535W%3Fth%3D1%26psc%3D1%26tag%3Dsdcdeals03-20", "Amazon Link")</f>
        <v/>
      </c>
      <c r="G211" s="19" t="inlineStr">
        <is>
          <t>https://www.jcpenney.com/s?searchTerm={search_term}</t>
        </is>
      </c>
      <c r="H211" s="23" t="inlineStr">
        <is>
          <t>197609802446</t>
        </is>
      </c>
      <c r="I211" s="19">
        <f>HYPERLINK("https://www.jcpenney.com/s?searchTerm=197609802446", "Retail Link")</f>
        <v/>
      </c>
      <c r="J211" s="23" t="inlineStr">
        <is>
          <t>n/a</t>
        </is>
      </c>
      <c r="K211" s="21" t="inlineStr">
        <is>
          <t>adidas Women's VL Court 3.0 Sneaker, Preloved Brown/Chalk White/Gum, 8.5</t>
        </is>
      </c>
      <c r="L211" s="24" t="n"/>
      <c r="M211" s="24" t="n">
        <v>60.98</v>
      </c>
      <c r="N211" s="24" t="n"/>
      <c r="O211" s="24">
        <f>V211-M211</f>
        <v/>
      </c>
      <c r="P211" s="25">
        <f>N211/L211</f>
        <v/>
      </c>
      <c r="Q211" s="23" t="n">
        <v>815</v>
      </c>
      <c r="R211" s="23" t="n"/>
      <c r="S211" s="26" t="n">
        <v>1.67992044</v>
      </c>
      <c r="T211" s="24" t="inlineStr"/>
      <c r="U211" s="24" t="n">
        <v>60.98</v>
      </c>
      <c r="V211" s="24" t="n">
        <v>56.51</v>
      </c>
      <c r="W211" s="26" t="inlineStr">
        <is>
          <t>adidas Vl Court 3.0 Womens Sneakers</t>
        </is>
      </c>
      <c r="X211" s="23" t="n">
        <v>1</v>
      </c>
      <c r="Y211" s="18">
        <f>AC211-AB211</f>
        <v/>
      </c>
      <c r="Z211" s="27" t="n">
        <v>18</v>
      </c>
      <c r="AA211" s="27" t="n">
        <v>102</v>
      </c>
      <c r="AB211" s="27" t="n">
        <v>0</v>
      </c>
      <c r="AC211" s="27" t="n">
        <v>1562</v>
      </c>
      <c r="AD211" s="1" t="inlineStr">
        <is>
          <t>NLF94</t>
        </is>
      </c>
      <c r="AE211" s="1" t="inlineStr">
        <is>
          <t>Preloved Brown/Chalk White/Gum</t>
        </is>
      </c>
      <c r="AF211" s="4" t="inlineStr"/>
      <c r="AG211" s="4" t="n">
        <v>7.7</v>
      </c>
    </row>
    <row r="212" ht="47.25" customHeight="1">
      <c r="A212" s="18" t="inlineStr">
        <is>
          <t>197609802460</t>
        </is>
      </c>
      <c r="B212" s="19" t="inlineStr">
        <is>
          <t>https://www.amazon.com/dp/</t>
        </is>
      </c>
      <c r="C212" s="20" t="inlineStr">
        <is>
          <t>B0CKMQCJ94</t>
        </is>
      </c>
      <c r="D212" s="44" t="n"/>
      <c r="E212" s="23" t="inlineStr">
        <is>
          <t>?th=1&amp;psc=1&amp;tag=sdcdeals03-20</t>
        </is>
      </c>
      <c r="F212" s="19">
        <f>HYPERLINK("https://redirect.sdcdeals.com/redirect?destination=https%3A%2F%2Fwww.amazon.com%2Fdp%2FB0CKMQCJ94%3Fth%3D1%26psc%3D1%26tag%3Dsdcdeals03-20", "Amazon Link")</f>
        <v/>
      </c>
      <c r="G212" s="19" t="inlineStr">
        <is>
          <t>https://www.jcpenney.com/s?searchTerm={search_term}</t>
        </is>
      </c>
      <c r="H212" s="23" t="inlineStr">
        <is>
          <t>197609802460</t>
        </is>
      </c>
      <c r="I212" s="19">
        <f>HYPERLINK("https://www.jcpenney.com/s?searchTerm=197609802460", "Retail Link")</f>
        <v/>
      </c>
      <c r="J212" s="23" t="inlineStr">
        <is>
          <t>n/a</t>
        </is>
      </c>
      <c r="K212" s="21" t="inlineStr">
        <is>
          <t>adidas Women's VL Court 3.0 Sneaker, Preloved Brown/Chalk White/Gum, 9</t>
        </is>
      </c>
      <c r="L212" s="24" t="n"/>
      <c r="M212" s="24" t="n">
        <v>72.06999999999999</v>
      </c>
      <c r="N212" s="24" t="n"/>
      <c r="O212" s="24">
        <f>V212-M212</f>
        <v/>
      </c>
      <c r="P212" s="25">
        <f>N212/L212</f>
        <v/>
      </c>
      <c r="Q212" s="23" t="n">
        <v>815</v>
      </c>
      <c r="R212" s="23" t="n"/>
      <c r="S212" s="26" t="n">
        <v>0.83996022</v>
      </c>
      <c r="T212" s="24" t="inlineStr"/>
      <c r="U212" s="24" t="n">
        <v>72.06999999999999</v>
      </c>
      <c r="V212" s="24" t="n">
        <v>57.7</v>
      </c>
      <c r="W212" s="26" t="inlineStr">
        <is>
          <t>adidas Vl Court 3.0 Womens Sneakers</t>
        </is>
      </c>
      <c r="X212" s="23" t="n">
        <v>1</v>
      </c>
      <c r="Y212" s="18">
        <f>AC212-AB212</f>
        <v/>
      </c>
      <c r="Z212" s="27" t="n">
        <v>19</v>
      </c>
      <c r="AA212" s="27" t="n">
        <v>108</v>
      </c>
      <c r="AB212" s="27" t="n">
        <v>0</v>
      </c>
      <c r="AC212" s="27" t="n">
        <v>1562</v>
      </c>
      <c r="AD212" s="1" t="inlineStr">
        <is>
          <t>NLF94</t>
        </is>
      </c>
      <c r="AE212" s="1" t="inlineStr">
        <is>
          <t>Preloved Brown/Chalk White/Gum</t>
        </is>
      </c>
      <c r="AF212" s="4" t="inlineStr"/>
      <c r="AG212" s="4" t="n">
        <v>7.7</v>
      </c>
    </row>
    <row r="213" ht="47.25" customHeight="1">
      <c r="A213" s="18" t="inlineStr">
        <is>
          <t>197609802378</t>
        </is>
      </c>
      <c r="B213" s="19" t="inlineStr">
        <is>
          <t>https://www.amazon.com/dp/</t>
        </is>
      </c>
      <c r="C213" s="20" t="inlineStr">
        <is>
          <t>B0CKMQ4D7D</t>
        </is>
      </c>
      <c r="D213" s="44" t="n"/>
      <c r="E213" s="23" t="inlineStr">
        <is>
          <t>?th=1&amp;psc=1&amp;tag=sdcdeals03-20</t>
        </is>
      </c>
      <c r="F213" s="19">
        <f>HYPERLINK("https://redirect.sdcdeals.com/redirect?destination=https%3A%2F%2Fwww.amazon.com%2Fdp%2FB0CKMQ4D7D%3Fth%3D1%26psc%3D1%26tag%3Dsdcdeals03-20", "Amazon Link")</f>
        <v/>
      </c>
      <c r="G213" s="19" t="inlineStr">
        <is>
          <t>https://www.jcpenney.com/s?searchTerm={search_term}</t>
        </is>
      </c>
      <c r="H213" s="23" t="inlineStr">
        <is>
          <t>197609802378</t>
        </is>
      </c>
      <c r="I213" s="19">
        <f>HYPERLINK("https://www.jcpenney.com/s?searchTerm=197609802378", "Retail Link")</f>
        <v/>
      </c>
      <c r="J213" s="23" t="inlineStr">
        <is>
          <t>n/a</t>
        </is>
      </c>
      <c r="K213" s="21" t="inlineStr">
        <is>
          <t>adidas Women's VL Court 3.0 Sneaker, Preloved Brown/Chalk White/Gum, 9.5</t>
        </is>
      </c>
      <c r="L213" s="24" t="n"/>
      <c r="M213" s="24" t="n">
        <v>57.15</v>
      </c>
      <c r="N213" s="24" t="n"/>
      <c r="O213" s="24">
        <f>V213-M213</f>
        <v/>
      </c>
      <c r="P213" s="25">
        <f>N213/L213</f>
        <v/>
      </c>
      <c r="Q213" s="23" t="n">
        <v>815</v>
      </c>
      <c r="R213" s="23" t="n"/>
      <c r="S213" s="26" t="n">
        <v>1.8188115</v>
      </c>
      <c r="T213" s="24" t="inlineStr"/>
      <c r="U213" s="24" t="n">
        <v>57.15</v>
      </c>
      <c r="V213" s="24" t="n">
        <v>53.41</v>
      </c>
      <c r="W213" s="26" t="inlineStr">
        <is>
          <t>adidas Vl Court 3.0 Womens Sneakers</t>
        </is>
      </c>
      <c r="X213" s="23" t="n">
        <v>1</v>
      </c>
      <c r="Y213" s="18">
        <f>AC213-AB213</f>
        <v/>
      </c>
      <c r="Z213" s="27" t="n">
        <v>17</v>
      </c>
      <c r="AA213" s="27" t="n">
        <v>122</v>
      </c>
      <c r="AB213" s="27" t="n">
        <v>1</v>
      </c>
      <c r="AC213" s="27" t="n">
        <v>1562</v>
      </c>
      <c r="AD213" s="1" t="inlineStr">
        <is>
          <t>NLF94</t>
        </is>
      </c>
      <c r="AE213" s="1" t="inlineStr">
        <is>
          <t>Preloved Brown/Chalk White/Gum</t>
        </is>
      </c>
      <c r="AF213" s="4" t="inlineStr"/>
      <c r="AG213" s="4" t="n">
        <v>7.62</v>
      </c>
    </row>
    <row r="214" ht="47.25" customHeight="1">
      <c r="A214" s="18" t="inlineStr">
        <is>
          <t>197609802392</t>
        </is>
      </c>
      <c r="B214" s="19" t="inlineStr">
        <is>
          <t>https://www.amazon.com/dp/</t>
        </is>
      </c>
      <c r="C214" s="20" t="inlineStr">
        <is>
          <t>B0CKMNZXHB</t>
        </is>
      </c>
      <c r="D214" s="44" t="n"/>
      <c r="E214" s="23" t="inlineStr">
        <is>
          <t>?th=1&amp;psc=1&amp;tag=sdcdeals03-20</t>
        </is>
      </c>
      <c r="F214" s="19">
        <f>HYPERLINK("https://redirect.sdcdeals.com/redirect?destination=https%3A%2F%2Fwww.amazon.com%2Fdp%2FB0CKMNZXHB%3Fth%3D1%26psc%3D1%26tag%3Dsdcdeals03-20", "Amazon Link")</f>
        <v/>
      </c>
      <c r="G214" s="19" t="inlineStr">
        <is>
          <t>https://www.jcpenney.com/s?searchTerm={search_term}</t>
        </is>
      </c>
      <c r="H214" s="23" t="inlineStr">
        <is>
          <t>197609802392</t>
        </is>
      </c>
      <c r="I214" s="19">
        <f>HYPERLINK("https://www.jcpenney.com/s?searchTerm=197609802392", "Retail Link")</f>
        <v/>
      </c>
      <c r="J214" s="23" t="inlineStr">
        <is>
          <t>n/a</t>
        </is>
      </c>
      <c r="K214" s="21" t="inlineStr">
        <is>
          <t>adidas Women's VL Court 3.0 Sneaker, Preloved Brown/Chalk White/Gum, 10</t>
        </is>
      </c>
      <c r="L214" s="24" t="n"/>
      <c r="M214" s="24" t="n">
        <v>62.76</v>
      </c>
      <c r="N214" s="24" t="n"/>
      <c r="O214" s="24">
        <f>V214-M214</f>
        <v/>
      </c>
      <c r="P214" s="25">
        <f>N214/L214</f>
        <v/>
      </c>
      <c r="Q214" s="23" t="n">
        <v>815</v>
      </c>
      <c r="R214" s="23" t="n"/>
      <c r="S214" s="26" t="n">
        <v>2.07013818</v>
      </c>
      <c r="T214" s="24" t="inlineStr"/>
      <c r="U214" s="24" t="n">
        <v>62.76</v>
      </c>
      <c r="V214" s="24" t="n">
        <v>56.11</v>
      </c>
      <c r="W214" s="26" t="inlineStr">
        <is>
          <t>adidas Vl Court 3.0 Womens Sneakers</t>
        </is>
      </c>
      <c r="X214" s="23" t="n">
        <v>2</v>
      </c>
      <c r="Y214" s="18">
        <f>AC214-AB214</f>
        <v/>
      </c>
      <c r="Z214" s="27" t="n">
        <v>41</v>
      </c>
      <c r="AA214" s="27" t="n">
        <v>157</v>
      </c>
      <c r="AB214" s="27" t="n">
        <v>0</v>
      </c>
      <c r="AC214" s="27" t="n">
        <v>1562</v>
      </c>
      <c r="AD214" s="1" t="inlineStr">
        <is>
          <t>NLF94</t>
        </is>
      </c>
      <c r="AE214" s="1" t="inlineStr">
        <is>
          <t>Preloved Brown/Chalk White/Gum</t>
        </is>
      </c>
      <c r="AF214" s="4" t="inlineStr"/>
      <c r="AG214" s="4" t="n">
        <v>7.7</v>
      </c>
    </row>
    <row r="215" ht="47.25" customHeight="1">
      <c r="A215" s="18" t="inlineStr">
        <is>
          <t>197609802408</t>
        </is>
      </c>
      <c r="B215" s="19" t="inlineStr">
        <is>
          <t>https://www.amazon.com/dp/</t>
        </is>
      </c>
      <c r="C215" s="20" t="inlineStr">
        <is>
          <t>B0CKMPYSZ2</t>
        </is>
      </c>
      <c r="D215" s="44" t="n"/>
      <c r="E215" s="23" t="inlineStr">
        <is>
          <t>?th=1&amp;psc=1&amp;tag=sdcdeals03-20</t>
        </is>
      </c>
      <c r="F215" s="19">
        <f>HYPERLINK("https://redirect.sdcdeals.com/redirect?destination=https%3A%2F%2Fwww.amazon.com%2Fdp%2FB0CKMPYSZ2%3Fth%3D1%26psc%3D1%26tag%3Dsdcdeals03-20", "Amazon Link")</f>
        <v/>
      </c>
      <c r="G215" s="19" t="inlineStr">
        <is>
          <t>https://www.jcpenney.com/s?searchTerm={search_term}</t>
        </is>
      </c>
      <c r="H215" s="23" t="inlineStr">
        <is>
          <t>197609802408</t>
        </is>
      </c>
      <c r="I215" s="19">
        <f>HYPERLINK("https://www.jcpenney.com/s?searchTerm=197609802408", "Retail Link")</f>
        <v/>
      </c>
      <c r="J215" s="23" t="inlineStr">
        <is>
          <t>n/a</t>
        </is>
      </c>
      <c r="K215" s="21" t="inlineStr">
        <is>
          <t>adidas Women's VL Court 3.0 Sneaker, Preloved Brown/Chalk White/Gum, 11</t>
        </is>
      </c>
      <c r="L215" s="24" t="n"/>
      <c r="M215" s="24" t="n">
        <v>70.29000000000001</v>
      </c>
      <c r="N215" s="24" t="n"/>
      <c r="O215" s="24">
        <f>V215-M215</f>
        <v/>
      </c>
      <c r="P215" s="25">
        <f>N215/L215</f>
        <v/>
      </c>
      <c r="Q215" s="23" t="n">
        <v>815</v>
      </c>
      <c r="R215" s="23" t="n"/>
      <c r="S215" s="26" t="n">
        <v>2.01061344</v>
      </c>
      <c r="T215" s="24" t="inlineStr"/>
      <c r="U215" s="24" t="n">
        <v>70.29000000000001</v>
      </c>
      <c r="V215" s="24" t="n">
        <v>59.72</v>
      </c>
      <c r="W215" s="26" t="inlineStr">
        <is>
          <t>adidas Vl Court 3.0 Womens Sneakers</t>
        </is>
      </c>
      <c r="X215" s="23" t="n">
        <v>1</v>
      </c>
      <c r="Y215" s="18">
        <f>AC215-AB215</f>
        <v/>
      </c>
      <c r="Z215" s="27" t="n">
        <v>25</v>
      </c>
      <c r="AA215" s="27" t="n">
        <v>148</v>
      </c>
      <c r="AB215" s="27" t="n">
        <v>0</v>
      </c>
      <c r="AC215" s="27" t="n">
        <v>1562</v>
      </c>
      <c r="AD215" s="1" t="inlineStr">
        <is>
          <t>NLF94</t>
        </is>
      </c>
      <c r="AE215" s="1" t="inlineStr">
        <is>
          <t>Preloved Brown/Chalk White/Gum</t>
        </is>
      </c>
      <c r="AF215" s="4" t="inlineStr"/>
      <c r="AG215" s="4" t="n">
        <v>7.86</v>
      </c>
    </row>
    <row r="216" ht="47.25" customHeight="1">
      <c r="A216" s="18" t="inlineStr">
        <is>
          <t>197672107226</t>
        </is>
      </c>
      <c r="B216" s="19" t="inlineStr">
        <is>
          <t>https://www.amazon.com/dp/</t>
        </is>
      </c>
      <c r="C216" s="20" t="inlineStr">
        <is>
          <t>B0D32BGFDN</t>
        </is>
      </c>
      <c r="D216" s="44" t="n"/>
      <c r="E216" s="23" t="inlineStr">
        <is>
          <t>?th=1&amp;psc=1&amp;tag=sdcdeals03-20</t>
        </is>
      </c>
      <c r="F216" s="19">
        <f>HYPERLINK("https://redirect.sdcdeals.com/redirect?destination=https%3A%2F%2Fwww.amazon.com%2Fdp%2FB0D32BGFDN%3Fth%3D1%26psc%3D1%26tag%3Dsdcdeals03-20", "Amazon Link")</f>
        <v/>
      </c>
      <c r="G216" s="19" t="inlineStr">
        <is>
          <t>https://www.jcpenney.com/s?searchTerm={search_term}</t>
        </is>
      </c>
      <c r="H216" s="23" t="inlineStr">
        <is>
          <t>197672107226</t>
        </is>
      </c>
      <c r="I216" s="19">
        <f>HYPERLINK("https://www.jcpenney.com/s?searchTerm=197672107226", "Retail Link")</f>
        <v/>
      </c>
      <c r="J216" s="23" t="inlineStr">
        <is>
          <t>n/a</t>
        </is>
      </c>
      <c r="K216" s="21" t="inlineStr">
        <is>
          <t>PUMA Women's Carina Street Sneaker, White Black-Deeva Peach, 5.5</t>
        </is>
      </c>
      <c r="L216" s="24" t="n">
        <v>71.25</v>
      </c>
      <c r="M216" s="24" t="n">
        <v>36.39</v>
      </c>
      <c r="N216" s="24" t="n">
        <v>-47.3485</v>
      </c>
      <c r="O216" s="24">
        <f>V216-M216</f>
        <v/>
      </c>
      <c r="P216" s="25">
        <f>N216/L216</f>
        <v/>
      </c>
      <c r="Q216" s="23" t="n"/>
      <c r="R216" s="23" t="n"/>
      <c r="S216" s="26" t="n">
        <v>1.64905576</v>
      </c>
      <c r="T216" s="24" t="n">
        <v>36.39</v>
      </c>
      <c r="U216" s="24" t="n">
        <v>55.29</v>
      </c>
      <c r="V216" s="24" t="n">
        <v>61.16</v>
      </c>
      <c r="W216" s="26" t="inlineStr">
        <is>
          <t>PUMA Carina Street Womens Sneakers</t>
        </is>
      </c>
      <c r="X216" s="23" t="n">
        <v>1</v>
      </c>
      <c r="Y216" s="18">
        <f>AC216-AB216</f>
        <v/>
      </c>
      <c r="Z216" s="27" t="n">
        <v>-1</v>
      </c>
      <c r="AA216" s="27" t="n">
        <v>-1</v>
      </c>
      <c r="AB216" s="27" t="n"/>
      <c r="AC216" s="27" t="n"/>
      <c r="AD216" s="1" t="inlineStr">
        <is>
          <t>38939038</t>
        </is>
      </c>
      <c r="AE216" s="1" t="inlineStr">
        <is>
          <t>Puma White-puma Black-deeva Peach</t>
        </is>
      </c>
      <c r="AF216" s="4" t="n">
        <v>5.46</v>
      </c>
      <c r="AG216" s="4" t="n">
        <v>7.03</v>
      </c>
    </row>
    <row r="217" ht="47.25" customHeight="1">
      <c r="A217" s="18" t="inlineStr">
        <is>
          <t>197672107288</t>
        </is>
      </c>
      <c r="B217" s="19" t="inlineStr">
        <is>
          <t>https://www.amazon.com/dp/</t>
        </is>
      </c>
      <c r="C217" s="20" t="inlineStr">
        <is>
          <t>B0D329P8N8</t>
        </is>
      </c>
      <c r="D217" s="44" t="n"/>
      <c r="E217" s="23" t="inlineStr">
        <is>
          <t>?th=1&amp;psc=1&amp;tag=sdcdeals03-20</t>
        </is>
      </c>
      <c r="F217" s="19">
        <f>HYPERLINK("https://redirect.sdcdeals.com/redirect?destination=https%3A%2F%2Fwww.amazon.com%2Fdp%2FB0D329P8N8%3Fth%3D1%26psc%3D1%26tag%3Dsdcdeals03-20", "Amazon Link")</f>
        <v/>
      </c>
      <c r="G217" s="19" t="inlineStr">
        <is>
          <t>https://www.jcpenney.com/s?searchTerm={search_term}</t>
        </is>
      </c>
      <c r="H217" s="23" t="inlineStr">
        <is>
          <t>197672107288</t>
        </is>
      </c>
      <c r="I217" s="19">
        <f>HYPERLINK("https://www.jcpenney.com/s?searchTerm=197672107288", "Retail Link")</f>
        <v/>
      </c>
      <c r="J217" s="23" t="inlineStr">
        <is>
          <t>n/a</t>
        </is>
      </c>
      <c r="K217" s="21" t="inlineStr">
        <is>
          <t>PUMA Women's Carina Street Sneaker, White Black-Deeva Peach, 6</t>
        </is>
      </c>
      <c r="L217" s="24" t="n">
        <v>71.25</v>
      </c>
      <c r="M217" s="24" t="n">
        <v>22.25</v>
      </c>
      <c r="N217" s="24" t="n">
        <v>-60.11750000000001</v>
      </c>
      <c r="O217" s="24">
        <f>V217-M217</f>
        <v/>
      </c>
      <c r="P217" s="25">
        <f>N217/L217</f>
        <v/>
      </c>
      <c r="Q217" s="23" t="n"/>
      <c r="R217" s="23" t="n"/>
      <c r="S217" s="26" t="n">
        <v>1.69976202</v>
      </c>
      <c r="T217" s="24" t="n">
        <v>22.25</v>
      </c>
      <c r="U217" s="24" t="n">
        <v>43.41</v>
      </c>
      <c r="V217" s="24" t="n">
        <v>56.69</v>
      </c>
      <c r="W217" s="26" t="inlineStr">
        <is>
          <t>PUMA Carina Street Womens Sneakers</t>
        </is>
      </c>
      <c r="X217" s="23" t="n">
        <v>2</v>
      </c>
      <c r="Y217" s="18">
        <f>AC217-AB217</f>
        <v/>
      </c>
      <c r="Z217" s="27" t="n">
        <v>-1</v>
      </c>
      <c r="AA217" s="27" t="n">
        <v>-1</v>
      </c>
      <c r="AB217" s="27" t="n"/>
      <c r="AC217" s="27" t="n"/>
      <c r="AD217" s="1" t="inlineStr">
        <is>
          <t>38939038</t>
        </is>
      </c>
      <c r="AE217" s="1" t="inlineStr">
        <is>
          <t>Puma White-puma Black-deeva Peach</t>
        </is>
      </c>
      <c r="AF217" s="4" t="n">
        <v>3.34</v>
      </c>
      <c r="AG217" s="4" t="n">
        <v>7.78</v>
      </c>
    </row>
    <row r="218" ht="47.25" customHeight="1">
      <c r="A218" s="18" t="inlineStr">
        <is>
          <t>197672107233</t>
        </is>
      </c>
      <c r="B218" s="19" t="inlineStr">
        <is>
          <t>https://www.amazon.com/dp/</t>
        </is>
      </c>
      <c r="C218" s="20" t="inlineStr">
        <is>
          <t>B0D32BHWKH</t>
        </is>
      </c>
      <c r="D218" s="44" t="n"/>
      <c r="E218" s="23" t="inlineStr">
        <is>
          <t>?th=1&amp;psc=1&amp;tag=sdcdeals03-20</t>
        </is>
      </c>
      <c r="F218" s="19">
        <f>HYPERLINK("https://redirect.sdcdeals.com/redirect?destination=https%3A%2F%2Fwww.amazon.com%2Fdp%2FB0D32BHWKH%3Fth%3D1%26psc%3D1%26tag%3Dsdcdeals03-20", "Amazon Link")</f>
        <v/>
      </c>
      <c r="G218" s="19" t="inlineStr">
        <is>
          <t>https://www.jcpenney.com/s?searchTerm={search_term}</t>
        </is>
      </c>
      <c r="H218" s="23" t="inlineStr">
        <is>
          <t>197672107233</t>
        </is>
      </c>
      <c r="I218" s="19">
        <f>HYPERLINK("https://www.jcpenney.com/s?searchTerm=197672107233", "Retail Link")</f>
        <v/>
      </c>
      <c r="J218" s="23" t="inlineStr">
        <is>
          <t>n/a</t>
        </is>
      </c>
      <c r="K218" s="21" t="inlineStr">
        <is>
          <t>PUMA Women's Carina Street Sneaker, White Black-Deeva Peach, 6.5</t>
        </is>
      </c>
      <c r="L218" s="24" t="n">
        <v>71.25</v>
      </c>
      <c r="M218" s="24" t="n">
        <v>42.41</v>
      </c>
      <c r="N218" s="24" t="n">
        <v>-42.7415</v>
      </c>
      <c r="O218" s="24">
        <f>V218-M218</f>
        <v/>
      </c>
      <c r="P218" s="25">
        <f>N218/L218</f>
        <v/>
      </c>
      <c r="Q218" s="23" t="n">
        <v>2153203</v>
      </c>
      <c r="R218" s="23" t="n"/>
      <c r="S218" s="26" t="n">
        <v>1.64905576</v>
      </c>
      <c r="T218" s="24" t="n">
        <v>42.41</v>
      </c>
      <c r="U218" s="24" t="n">
        <v>56.08</v>
      </c>
      <c r="V218" s="24" t="n">
        <v>63.97</v>
      </c>
      <c r="W218" s="26" t="inlineStr">
        <is>
          <t>PUMA Carina Street Womens Sneakers</t>
        </is>
      </c>
      <c r="X218" s="23" t="n">
        <v>3</v>
      </c>
      <c r="Y218" s="18">
        <f>AC218-AB218</f>
        <v/>
      </c>
      <c r="Z218" s="27" t="n">
        <v>1</v>
      </c>
      <c r="AA218" s="27" t="n">
        <v>1</v>
      </c>
      <c r="AB218" s="27" t="n"/>
      <c r="AC218" s="27" t="n"/>
      <c r="AD218" s="1" t="inlineStr">
        <is>
          <t>38939038</t>
        </is>
      </c>
      <c r="AE218" s="1" t="inlineStr">
        <is>
          <t>Puma White-puma Black-deeva Peach</t>
        </is>
      </c>
      <c r="AF218" s="4" t="n">
        <v>6.36</v>
      </c>
      <c r="AG218" s="4" t="n">
        <v>7.54</v>
      </c>
    </row>
    <row r="219" ht="47.25" customHeight="1">
      <c r="A219" s="18" t="inlineStr">
        <is>
          <t>197672107295</t>
        </is>
      </c>
      <c r="B219" s="19" t="inlineStr">
        <is>
          <t>https://www.amazon.com/dp/</t>
        </is>
      </c>
      <c r="C219" s="20" t="inlineStr">
        <is>
          <t>B0D32CH9N2</t>
        </is>
      </c>
      <c r="D219" s="44" t="n"/>
      <c r="E219" s="23" t="inlineStr">
        <is>
          <t>?th=1&amp;psc=1&amp;tag=sdcdeals03-20</t>
        </is>
      </c>
      <c r="F219" s="19">
        <f>HYPERLINK("https://redirect.sdcdeals.com/redirect?destination=https%3A%2F%2Fwww.amazon.com%2Fdp%2FB0D32CH9N2%3Fth%3D1%26psc%3D1%26tag%3Dsdcdeals03-20", "Amazon Link")</f>
        <v/>
      </c>
      <c r="G219" s="19" t="inlineStr">
        <is>
          <t>https://www.jcpenney.com/s?searchTerm={search_term}</t>
        </is>
      </c>
      <c r="H219" s="23" t="inlineStr">
        <is>
          <t>197672107295</t>
        </is>
      </c>
      <c r="I219" s="19">
        <f>HYPERLINK("https://www.jcpenney.com/s?searchTerm=197672107295", "Retail Link")</f>
        <v/>
      </c>
      <c r="J219" s="23" t="inlineStr">
        <is>
          <t>n/a</t>
        </is>
      </c>
      <c r="K219" s="21" t="inlineStr">
        <is>
          <t>PUMA Women's Carina Street Sneaker, White Black-Deeva Peach, 7</t>
        </is>
      </c>
      <c r="L219" s="24" t="n">
        <v>71.25</v>
      </c>
      <c r="M219" s="24" t="n">
        <v>35.84</v>
      </c>
      <c r="N219" s="24" t="n">
        <v>-48.566</v>
      </c>
      <c r="O219" s="24">
        <f>V219-M219</f>
        <v/>
      </c>
      <c r="P219" s="25">
        <f>N219/L219</f>
        <v/>
      </c>
      <c r="Q219" s="23" t="n">
        <v>653509</v>
      </c>
      <c r="R219" s="23" t="n"/>
      <c r="S219" s="26" t="n">
        <v>1.79015144</v>
      </c>
      <c r="T219" s="24" t="n">
        <v>35.84</v>
      </c>
      <c r="U219" s="24" t="n">
        <v>52.71</v>
      </c>
      <c r="V219" s="24" t="n">
        <v>62.05</v>
      </c>
      <c r="W219" s="26" t="inlineStr">
        <is>
          <t>PUMA Carina Street Womens Sneakers</t>
        </is>
      </c>
      <c r="X219" s="23" t="n">
        <v>3</v>
      </c>
      <c r="Y219" s="18">
        <f>AC219-AB219</f>
        <v/>
      </c>
      <c r="Z219" s="27" t="n">
        <v>4</v>
      </c>
      <c r="AA219" s="27" t="n">
        <v>4</v>
      </c>
      <c r="AB219" s="27" t="n"/>
      <c r="AC219" s="27" t="n"/>
      <c r="AD219" s="1" t="inlineStr">
        <is>
          <t>38939038</t>
        </is>
      </c>
      <c r="AE219" s="1" t="inlineStr">
        <is>
          <t>Puma White-puma Black-deeva Peach</t>
        </is>
      </c>
      <c r="AF219" s="4" t="n">
        <v>5.38</v>
      </c>
      <c r="AG219" s="4" t="n">
        <v>7.78</v>
      </c>
    </row>
    <row r="220" ht="47.25" customHeight="1">
      <c r="A220" s="18" t="inlineStr">
        <is>
          <t>197672107240</t>
        </is>
      </c>
      <c r="B220" s="19" t="inlineStr">
        <is>
          <t>https://www.amazon.com/dp/</t>
        </is>
      </c>
      <c r="C220" s="20" t="inlineStr">
        <is>
          <t>B0D32D8BXL</t>
        </is>
      </c>
      <c r="D220" s="44" t="n"/>
      <c r="E220" s="23" t="inlineStr">
        <is>
          <t>?th=1&amp;psc=1&amp;tag=sdcdeals03-20</t>
        </is>
      </c>
      <c r="F220" s="19">
        <f>HYPERLINK("https://redirect.sdcdeals.com/redirect?destination=https%3A%2F%2Fwww.amazon.com%2Fdp%2FB0D32D8BXL%3Fth%3D1%26psc%3D1%26tag%3Dsdcdeals03-20", "Amazon Link")</f>
        <v/>
      </c>
      <c r="G220" s="19" t="inlineStr">
        <is>
          <t>https://www.jcpenney.com/s?searchTerm={search_term}</t>
        </is>
      </c>
      <c r="H220" s="23" t="inlineStr">
        <is>
          <t>197672107240</t>
        </is>
      </c>
      <c r="I220" s="19">
        <f>HYPERLINK("https://www.jcpenney.com/s?searchTerm=197672107240", "Retail Link")</f>
        <v/>
      </c>
      <c r="J220" s="23" t="inlineStr">
        <is>
          <t>n/a</t>
        </is>
      </c>
      <c r="K220" s="21" t="inlineStr">
        <is>
          <t>PUMA Women's Carina Street Sneaker, White Black-Deeva Peach, 7.5</t>
        </is>
      </c>
      <c r="L220" s="24" t="n">
        <v>71.25</v>
      </c>
      <c r="M220" s="24" t="n">
        <v>64.98999999999999</v>
      </c>
      <c r="N220" s="24" t="n">
        <v>-23.8685</v>
      </c>
      <c r="O220" s="24">
        <f>V220-M220</f>
        <v/>
      </c>
      <c r="P220" s="25">
        <f>N220/L220</f>
        <v/>
      </c>
      <c r="Q220" s="23" t="n">
        <v>1545326</v>
      </c>
      <c r="R220" s="23" t="n"/>
      <c r="S220" s="26" t="n">
        <v>1.86951776</v>
      </c>
      <c r="T220" s="24" t="n">
        <v>64.98999999999999</v>
      </c>
      <c r="U220" s="24" t="n">
        <v>47.84</v>
      </c>
      <c r="V220" s="24" t="n">
        <v>59.25</v>
      </c>
      <c r="W220" s="26" t="inlineStr">
        <is>
          <t>PUMA Carina Street Womens Sneakers</t>
        </is>
      </c>
      <c r="X220" s="23" t="n">
        <v>3</v>
      </c>
      <c r="Y220" s="18">
        <f>AC220-AB220</f>
        <v/>
      </c>
      <c r="Z220" s="27" t="n">
        <v>11</v>
      </c>
      <c r="AA220" s="27" t="n">
        <v>11</v>
      </c>
      <c r="AB220" s="27" t="n"/>
      <c r="AC220" s="27" t="n"/>
      <c r="AD220" s="1" t="inlineStr">
        <is>
          <t>38939038</t>
        </is>
      </c>
      <c r="AE220" s="1" t="inlineStr">
        <is>
          <t>Puma White-puma Black-deeva Peach</t>
        </is>
      </c>
      <c r="AF220" s="4" t="n">
        <v>9.75</v>
      </c>
      <c r="AG220" s="4" t="n">
        <v>7.86</v>
      </c>
    </row>
    <row r="221" ht="47.25" customHeight="1">
      <c r="A221" s="18" t="inlineStr">
        <is>
          <t>197672107301</t>
        </is>
      </c>
      <c r="B221" s="19" t="inlineStr">
        <is>
          <t>https://www.amazon.com/dp/</t>
        </is>
      </c>
      <c r="C221" s="20" t="inlineStr">
        <is>
          <t>B0D32BPFJB</t>
        </is>
      </c>
      <c r="D221" s="44" t="n"/>
      <c r="E221" s="23" t="inlineStr">
        <is>
          <t>?th=1&amp;psc=1&amp;tag=sdcdeals03-20</t>
        </is>
      </c>
      <c r="F221" s="19">
        <f>HYPERLINK("https://redirect.sdcdeals.com/redirect?destination=https%3A%2F%2Fwww.amazon.com%2Fdp%2FB0D32BPFJB%3Fth%3D1%26psc%3D1%26tag%3Dsdcdeals03-20", "Amazon Link")</f>
        <v/>
      </c>
      <c r="G221" s="19" t="inlineStr">
        <is>
          <t>https://www.jcpenney.com/s?searchTerm={search_term}</t>
        </is>
      </c>
      <c r="H221" s="23" t="inlineStr">
        <is>
          <t>197672107301</t>
        </is>
      </c>
      <c r="I221" s="19">
        <f>HYPERLINK("https://www.jcpenney.com/s?searchTerm=197672107301", "Retail Link")</f>
        <v/>
      </c>
      <c r="J221" s="23" t="inlineStr">
        <is>
          <t>n/a</t>
        </is>
      </c>
      <c r="K221" s="21" t="inlineStr">
        <is>
          <t>PUMA Women's Carina Street Sneaker, White Black-Deeva Peach, 8</t>
        </is>
      </c>
      <c r="L221" s="24" t="n">
        <v>71.25</v>
      </c>
      <c r="M221" s="24" t="n">
        <v>46.21</v>
      </c>
      <c r="N221" s="24" t="n">
        <v>-39.67149999999999</v>
      </c>
      <c r="O221" s="24">
        <f>V221-M221</f>
        <v/>
      </c>
      <c r="P221" s="25">
        <f>N221/L221</f>
        <v/>
      </c>
      <c r="Q221" s="23" t="n">
        <v>10421142</v>
      </c>
      <c r="R221" s="23" t="n"/>
      <c r="S221" s="26" t="n">
        <v>1.90038244</v>
      </c>
      <c r="T221" s="24" t="n">
        <v>46.21</v>
      </c>
      <c r="U221" s="24" t="n">
        <v>55.01</v>
      </c>
      <c r="V221" s="24" t="n">
        <v>63.36</v>
      </c>
      <c r="W221" s="26" t="inlineStr">
        <is>
          <t>PUMA Carina Street Womens Sneakers</t>
        </is>
      </c>
      <c r="X221" s="23" t="n">
        <v>3</v>
      </c>
      <c r="Y221" s="18">
        <f>AC221-AB221</f>
        <v/>
      </c>
      <c r="Z221" s="27" t="n">
        <v>0</v>
      </c>
      <c r="AA221" s="27" t="n">
        <v>0</v>
      </c>
      <c r="AB221" s="27" t="n"/>
      <c r="AC221" s="27" t="n"/>
      <c r="AD221" s="1" t="inlineStr">
        <is>
          <t>38939038</t>
        </is>
      </c>
      <c r="AE221" s="1" t="inlineStr">
        <is>
          <t>Puma White-puma Black-deeva Peach</t>
        </is>
      </c>
      <c r="AF221" s="4" t="n">
        <v>6.93</v>
      </c>
      <c r="AG221" s="4" t="n">
        <v>7.7</v>
      </c>
    </row>
    <row r="222" ht="47.25" customHeight="1">
      <c r="A222" s="18" t="inlineStr">
        <is>
          <t>197672107257</t>
        </is>
      </c>
      <c r="B222" s="19" t="inlineStr">
        <is>
          <t>https://www.amazon.com/dp/</t>
        </is>
      </c>
      <c r="C222" s="20" t="inlineStr">
        <is>
          <t>B0D3296979</t>
        </is>
      </c>
      <c r="D222" s="44" t="n"/>
      <c r="E222" s="23" t="inlineStr">
        <is>
          <t>?th=1&amp;psc=1&amp;tag=sdcdeals03-20</t>
        </is>
      </c>
      <c r="F222" s="19">
        <f>HYPERLINK("https://redirect.sdcdeals.com/redirect?destination=https%3A%2F%2Fwww.amazon.com%2Fdp%2FB0D3296979%3Fth%3D1%26psc%3D1%26tag%3Dsdcdeals03-20", "Amazon Link")</f>
        <v/>
      </c>
      <c r="G222" s="19" t="inlineStr">
        <is>
          <t>https://www.jcpenney.com/s?searchTerm={search_term}</t>
        </is>
      </c>
      <c r="H222" s="23" t="inlineStr">
        <is>
          <t>197672107257</t>
        </is>
      </c>
      <c r="I222" s="19">
        <f>HYPERLINK("https://www.jcpenney.com/s?searchTerm=197672107257", "Retail Link")</f>
        <v/>
      </c>
      <c r="J222" s="23" t="inlineStr">
        <is>
          <t>n/a</t>
        </is>
      </c>
      <c r="K222" s="21" t="inlineStr">
        <is>
          <t>PUMA Women's Carina Street Sneaker, White Black-Deeva Peach, 8.5</t>
        </is>
      </c>
      <c r="L222" s="24" t="n">
        <v>71.25</v>
      </c>
      <c r="M222" s="24" t="n">
        <v>64.98999999999999</v>
      </c>
      <c r="N222" s="24" t="n">
        <v>-23.9485</v>
      </c>
      <c r="O222" s="24">
        <f>V222-M222</f>
        <v/>
      </c>
      <c r="P222" s="25">
        <f>N222/L222</f>
        <v/>
      </c>
      <c r="Q222" s="23" t="n">
        <v>288804</v>
      </c>
      <c r="R222" s="23" t="n"/>
      <c r="S222" s="26" t="n">
        <v>2.03045502</v>
      </c>
      <c r="T222" s="24" t="n">
        <v>45.08</v>
      </c>
      <c r="U222" s="24" t="n">
        <v>43.64</v>
      </c>
      <c r="V222" s="24" t="n">
        <v>56.81</v>
      </c>
      <c r="W222" s="26" t="inlineStr">
        <is>
          <t>PUMA Carina Street Womens Sneakers</t>
        </is>
      </c>
      <c r="X222" s="23" t="n">
        <v>3</v>
      </c>
      <c r="Y222" s="18">
        <f>AC222-AB222</f>
        <v/>
      </c>
      <c r="Z222" s="27" t="n">
        <v>10</v>
      </c>
      <c r="AA222" s="27" t="n">
        <v>10</v>
      </c>
      <c r="AB222" s="27" t="n"/>
      <c r="AC222" s="27" t="n"/>
      <c r="AD222" s="1" t="inlineStr">
        <is>
          <t>38939038</t>
        </is>
      </c>
      <c r="AE222" s="1" t="inlineStr">
        <is>
          <t>Puma White-puma Black-deeva Peach</t>
        </is>
      </c>
      <c r="AF222" s="4" t="n">
        <v>9.75</v>
      </c>
      <c r="AG222" s="4" t="n">
        <v>7.94</v>
      </c>
    </row>
    <row r="223" ht="47.25" customHeight="1">
      <c r="A223" s="18" t="inlineStr">
        <is>
          <t>197672107318</t>
        </is>
      </c>
      <c r="B223" s="19" t="inlineStr">
        <is>
          <t>https://www.amazon.com/dp/</t>
        </is>
      </c>
      <c r="C223" s="20" t="inlineStr">
        <is>
          <t>B0D32CZ145</t>
        </is>
      </c>
      <c r="D223" s="44" t="n"/>
      <c r="E223" s="23" t="inlineStr">
        <is>
          <t>?th=1&amp;psc=1&amp;tag=sdcdeals03-20</t>
        </is>
      </c>
      <c r="F223" s="19">
        <f>HYPERLINK("https://redirect.sdcdeals.com/redirect?destination=https%3A%2F%2Fwww.amazon.com%2Fdp%2FB0D32CZ145%3Fth%3D1%26psc%3D1%26tag%3Dsdcdeals03-20", "Amazon Link")</f>
        <v/>
      </c>
      <c r="G223" s="19" t="inlineStr">
        <is>
          <t>https://www.jcpenney.com/s?searchTerm={search_term}</t>
        </is>
      </c>
      <c r="H223" s="23" t="inlineStr">
        <is>
          <t>197672107318</t>
        </is>
      </c>
      <c r="I223" s="19">
        <f>HYPERLINK("https://www.jcpenney.com/s?searchTerm=197672107318", "Retail Link")</f>
        <v/>
      </c>
      <c r="J223" s="23" t="inlineStr">
        <is>
          <t>n/a</t>
        </is>
      </c>
      <c r="K223" s="21" t="inlineStr">
        <is>
          <t>PUMA Women's Carina Street Sneaker, White Black-Deeva Peach, 9</t>
        </is>
      </c>
      <c r="L223" s="24" t="n">
        <v>71.25</v>
      </c>
      <c r="M223" s="24" t="n">
        <v>34.74</v>
      </c>
      <c r="N223" s="24" t="n">
        <v>-49.741</v>
      </c>
      <c r="O223" s="24">
        <f>V223-M223</f>
        <v/>
      </c>
      <c r="P223" s="25">
        <f>N223/L223</f>
        <v/>
      </c>
      <c r="Q223" s="23" t="n">
        <v>976772</v>
      </c>
      <c r="R223" s="23" t="n"/>
      <c r="S223" s="26" t="n">
        <v>2.01061344</v>
      </c>
      <c r="T223" s="24" t="n">
        <v>34.74</v>
      </c>
      <c r="U223" s="24" t="n">
        <v>46.08</v>
      </c>
      <c r="V223" s="24" t="n">
        <v>58.23</v>
      </c>
      <c r="W223" s="26" t="inlineStr">
        <is>
          <t>PUMA Carina Street Womens Sneakers</t>
        </is>
      </c>
      <c r="X223" s="23" t="n">
        <v>3</v>
      </c>
      <c r="Y223" s="18">
        <f>AC223-AB223</f>
        <v/>
      </c>
      <c r="Z223" s="27" t="n">
        <v>8</v>
      </c>
      <c r="AA223" s="27" t="n">
        <v>8</v>
      </c>
      <c r="AB223" s="27" t="n"/>
      <c r="AC223" s="27" t="n"/>
      <c r="AD223" s="1" t="inlineStr">
        <is>
          <t>38939038</t>
        </is>
      </c>
      <c r="AE223" s="1" t="inlineStr">
        <is>
          <t>Puma White-puma Black-deeva Peach</t>
        </is>
      </c>
      <c r="AF223" s="4" t="n">
        <v>5.21</v>
      </c>
      <c r="AG223" s="4" t="n">
        <v>8.02</v>
      </c>
    </row>
    <row r="224" ht="47.25" customHeight="1">
      <c r="A224" s="18" t="inlineStr">
        <is>
          <t>197672107264</t>
        </is>
      </c>
      <c r="B224" s="19" t="inlineStr">
        <is>
          <t>https://www.amazon.com/dp/</t>
        </is>
      </c>
      <c r="C224" s="20" t="inlineStr">
        <is>
          <t>B0D32BZ5YB</t>
        </is>
      </c>
      <c r="D224" s="44" t="n"/>
      <c r="E224" s="23" t="inlineStr">
        <is>
          <t>?th=1&amp;psc=1&amp;tag=sdcdeals03-20</t>
        </is>
      </c>
      <c r="F224" s="19">
        <f>HYPERLINK("https://redirect.sdcdeals.com/redirect?destination=https%3A%2F%2Fwww.amazon.com%2Fdp%2FB0D32BZ5YB%3Fth%3D1%26psc%3D1%26tag%3Dsdcdeals03-20", "Amazon Link")</f>
        <v/>
      </c>
      <c r="G224" s="19" t="inlineStr">
        <is>
          <t>https://www.jcpenney.com/s?searchTerm={search_term}</t>
        </is>
      </c>
      <c r="H224" s="23" t="inlineStr">
        <is>
          <t>197672107264</t>
        </is>
      </c>
      <c r="I224" s="19">
        <f>HYPERLINK("https://www.jcpenney.com/s?searchTerm=197672107264", "Retail Link")</f>
        <v/>
      </c>
      <c r="J224" s="23" t="inlineStr">
        <is>
          <t>n/a</t>
        </is>
      </c>
      <c r="K224" s="21" t="inlineStr">
        <is>
          <t>PUMA Women's Carina Street Sneaker, White Black-Deeva Peach, 9.5</t>
        </is>
      </c>
      <c r="L224" s="24" t="n">
        <v>71.25</v>
      </c>
      <c r="M224" s="24" t="n">
        <v>24.92</v>
      </c>
      <c r="N224" s="24" t="n">
        <v>-58.168</v>
      </c>
      <c r="O224" s="24">
        <f>V224-M224</f>
        <v/>
      </c>
      <c r="P224" s="25">
        <f>N224/L224</f>
        <v/>
      </c>
      <c r="Q224" s="23" t="n"/>
      <c r="R224" s="23" t="n"/>
      <c r="S224" s="26" t="n">
        <v>2.14068602</v>
      </c>
      <c r="T224" s="24" t="n">
        <v>24.92</v>
      </c>
      <c r="U224" s="24" t="n">
        <v>45.9</v>
      </c>
      <c r="V224" s="24" t="n">
        <v>58.13</v>
      </c>
      <c r="W224" s="26" t="inlineStr">
        <is>
          <t>PUMA Carina Street Womens Sneakers</t>
        </is>
      </c>
      <c r="X224" s="23" t="n">
        <v>3</v>
      </c>
      <c r="Y224" s="18">
        <f>AC224-AB224</f>
        <v/>
      </c>
      <c r="Z224" s="27" t="n">
        <v>-1</v>
      </c>
      <c r="AA224" s="27" t="n">
        <v>-1</v>
      </c>
      <c r="AB224" s="27" t="n"/>
      <c r="AC224" s="27" t="n"/>
      <c r="AD224" s="1" t="inlineStr">
        <is>
          <t>38939038</t>
        </is>
      </c>
      <c r="AE224" s="1" t="inlineStr">
        <is>
          <t>Puma White-puma Black-deeva Peach</t>
        </is>
      </c>
      <c r="AF224" s="4" t="n">
        <v>3.74</v>
      </c>
      <c r="AG224" s="4" t="n">
        <v>8.1</v>
      </c>
    </row>
    <row r="225" ht="47.25" customHeight="1">
      <c r="A225" s="18" t="inlineStr">
        <is>
          <t>197672107325</t>
        </is>
      </c>
      <c r="B225" s="19" t="inlineStr">
        <is>
          <t>https://www.amazon.com/dp/</t>
        </is>
      </c>
      <c r="C225" s="20" t="inlineStr">
        <is>
          <t>B0D328X3MY</t>
        </is>
      </c>
      <c r="D225" s="44" t="n"/>
      <c r="E225" s="23" t="inlineStr">
        <is>
          <t>?th=1&amp;psc=1&amp;tag=sdcdeals03-20</t>
        </is>
      </c>
      <c r="F225" s="19">
        <f>HYPERLINK("https://redirect.sdcdeals.com/redirect?destination=https%3A%2F%2Fwww.amazon.com%2Fdp%2FB0D328X3MY%3Fth%3D1%26psc%3D1%26tag%3Dsdcdeals03-20", "Amazon Link")</f>
        <v/>
      </c>
      <c r="G225" s="19" t="inlineStr">
        <is>
          <t>https://www.jcpenney.com/s?searchTerm={search_term}</t>
        </is>
      </c>
      <c r="H225" s="23" t="inlineStr">
        <is>
          <t>197672107325</t>
        </is>
      </c>
      <c r="I225" s="19">
        <f>HYPERLINK("https://www.jcpenney.com/s?searchTerm=197672107325", "Retail Link")</f>
        <v/>
      </c>
      <c r="J225" s="23" t="inlineStr">
        <is>
          <t>n/a</t>
        </is>
      </c>
      <c r="K225" s="21" t="inlineStr">
        <is>
          <t>PUMA Women's Carina Street Sneaker, White Black-Deeva Peach, 10</t>
        </is>
      </c>
      <c r="L225" s="24" t="n">
        <v>71.25</v>
      </c>
      <c r="M225" s="24" t="n">
        <v>39.58</v>
      </c>
      <c r="N225" s="24" t="n">
        <v>-45.787</v>
      </c>
      <c r="O225" s="24">
        <f>V225-M225</f>
        <v/>
      </c>
      <c r="P225" s="25">
        <f>N225/L225</f>
        <v/>
      </c>
      <c r="Q225" s="23" t="n">
        <v>2364453</v>
      </c>
      <c r="R225" s="23" t="n"/>
      <c r="S225" s="26" t="n">
        <v>2.08997976</v>
      </c>
      <c r="T225" s="24" t="n">
        <v>39.58</v>
      </c>
      <c r="U225" s="24" t="n">
        <v>49.94</v>
      </c>
      <c r="V225" s="24" t="n">
        <v>60.45</v>
      </c>
      <c r="W225" s="26" t="inlineStr">
        <is>
          <t>PUMA Carina Street Womens Sneakers</t>
        </is>
      </c>
      <c r="X225" s="23" t="n">
        <v>3</v>
      </c>
      <c r="Y225" s="18">
        <f>AC225-AB225</f>
        <v/>
      </c>
      <c r="Z225" s="27" t="n">
        <v>2</v>
      </c>
      <c r="AA225" s="27" t="n">
        <v>2</v>
      </c>
      <c r="AB225" s="27" t="n"/>
      <c r="AC225" s="27" t="n"/>
      <c r="AD225" s="1" t="inlineStr">
        <is>
          <t>38939038</t>
        </is>
      </c>
      <c r="AE225" s="1" t="inlineStr">
        <is>
          <t>Puma White-puma Black-deeva Peach</t>
        </is>
      </c>
      <c r="AF225" s="4" t="n">
        <v>5.94</v>
      </c>
      <c r="AG225" s="4" t="n">
        <v>8.18</v>
      </c>
    </row>
    <row r="226" ht="47.25" customHeight="1">
      <c r="A226" s="18" t="inlineStr">
        <is>
          <t>197672107332</t>
        </is>
      </c>
      <c r="B226" s="19" t="inlineStr">
        <is>
          <t>https://www.amazon.com/dp/</t>
        </is>
      </c>
      <c r="C226" s="20" t="inlineStr">
        <is>
          <t>B0D329Y8J7</t>
        </is>
      </c>
      <c r="D226" s="44" t="n"/>
      <c r="E226" s="23" t="inlineStr">
        <is>
          <t>?th=1&amp;psc=1&amp;tag=sdcdeals03-20</t>
        </is>
      </c>
      <c r="F226" s="19">
        <f>HYPERLINK("https://redirect.sdcdeals.com/redirect?destination=https%3A%2F%2Fwww.amazon.com%2Fdp%2FB0D329Y8J7%3Fth%3D1%26psc%3D1%26tag%3Dsdcdeals03-20", "Amazon Link")</f>
        <v/>
      </c>
      <c r="G226" s="19" t="inlineStr">
        <is>
          <t>https://www.jcpenney.com/s?searchTerm={search_term}</t>
        </is>
      </c>
      <c r="H226" s="23" t="inlineStr">
        <is>
          <t>197672107332</t>
        </is>
      </c>
      <c r="I226" s="19">
        <f>HYPERLINK("https://www.jcpenney.com/s?searchTerm=197672107332", "Retail Link")</f>
        <v/>
      </c>
      <c r="J226" s="23" t="inlineStr">
        <is>
          <t>n/a</t>
        </is>
      </c>
      <c r="K226" s="21" t="inlineStr">
        <is>
          <t>PUMA Women's Carina Street Sneaker, White Black-Deeva Peach, 11</t>
        </is>
      </c>
      <c r="L226" s="24" t="n">
        <v>71.25</v>
      </c>
      <c r="M226" s="24" t="n">
        <v>25.38</v>
      </c>
      <c r="N226" s="24" t="n">
        <v>-57.777</v>
      </c>
      <c r="O226" s="24">
        <f>V226-M226</f>
        <v/>
      </c>
      <c r="P226" s="25">
        <f>N226/L226</f>
        <v/>
      </c>
      <c r="Q226" s="23" t="n"/>
      <c r="R226" s="23" t="n"/>
      <c r="S226" s="26" t="n">
        <v>2.20021076</v>
      </c>
      <c r="T226" s="24" t="n">
        <v>25.38</v>
      </c>
      <c r="U226" s="24" t="n">
        <v>48.18</v>
      </c>
      <c r="V226" s="24" t="n">
        <v>59.59</v>
      </c>
      <c r="W226" s="26" t="inlineStr">
        <is>
          <t>PUMA Carina Street Womens Sneakers</t>
        </is>
      </c>
      <c r="X226" s="23" t="n">
        <v>2</v>
      </c>
      <c r="Y226" s="18">
        <f>AC226-AB226</f>
        <v/>
      </c>
      <c r="Z226" s="27" t="n">
        <v>-1</v>
      </c>
      <c r="AA226" s="27" t="n">
        <v>-1</v>
      </c>
      <c r="AB226" s="27" t="n"/>
      <c r="AC226" s="27" t="n"/>
      <c r="AD226" s="1" t="inlineStr">
        <is>
          <t>38939038</t>
        </is>
      </c>
      <c r="AE226" s="1" t="inlineStr">
        <is>
          <t>Puma White-puma Black-deeva Peach</t>
        </is>
      </c>
      <c r="AF226" s="4" t="n">
        <v>3.81</v>
      </c>
      <c r="AG226" s="4" t="n">
        <v>8.1</v>
      </c>
    </row>
    <row r="227" ht="47.25" customHeight="1">
      <c r="A227" s="18" t="inlineStr">
        <is>
          <t>197672050935</t>
        </is>
      </c>
      <c r="B227" s="19" t="inlineStr">
        <is>
          <t>https://www.amazon.com/dp/</t>
        </is>
      </c>
      <c r="C227" s="20" t="inlineStr">
        <is>
          <t>B0DDTWHR73</t>
        </is>
      </c>
      <c r="D227" s="44" t="n"/>
      <c r="E227" s="23" t="inlineStr">
        <is>
          <t>?th=1&amp;psc=1&amp;tag=sdcdeals03-20</t>
        </is>
      </c>
      <c r="F227" s="19">
        <f>HYPERLINK("https://redirect.sdcdeals.com/redirect?destination=https%3A%2F%2Fwww.amazon.com%2Fdp%2FB0DDTWHR73%3Fth%3D1%26psc%3D1%26tag%3Dsdcdeals03-20", "Amazon Link")</f>
        <v/>
      </c>
      <c r="G227" s="19" t="inlineStr">
        <is>
          <t>https://www.jcpenney.com/s?searchTerm={search_term}</t>
        </is>
      </c>
      <c r="H227" s="23" t="inlineStr">
        <is>
          <t>197672050935</t>
        </is>
      </c>
      <c r="I227" s="19">
        <f>HYPERLINK("https://www.jcpenney.com/s?searchTerm=197672050935", "Retail Link")</f>
        <v/>
      </c>
      <c r="J227" s="23" t="inlineStr">
        <is>
          <t>n/a</t>
        </is>
      </c>
      <c r="K227" s="21" t="inlineStr">
        <is>
          <t>PUMA Women's Rebound Layup Sneaker White-Gray Fog-Alpine Snow, 5.5</t>
        </is>
      </c>
      <c r="L227" s="24" t="n">
        <v>66.5</v>
      </c>
      <c r="M227" s="24" t="n">
        <v>70</v>
      </c>
      <c r="N227" s="24" t="n">
        <v>-14.54</v>
      </c>
      <c r="O227" s="24">
        <f>V227-M227</f>
        <v/>
      </c>
      <c r="P227" s="25">
        <f>N227/L227</f>
        <v/>
      </c>
      <c r="Q227" s="23" t="n">
        <v>540792</v>
      </c>
      <c r="R227" s="23" t="n"/>
      <c r="S227" s="26" t="n">
        <v>1.73944518</v>
      </c>
      <c r="T227" s="24" t="n">
        <v>70</v>
      </c>
      <c r="U227" s="24" t="n">
        <v>70</v>
      </c>
      <c r="V227" s="24" t="n">
        <v>70</v>
      </c>
      <c r="W227" s="26" t="inlineStr">
        <is>
          <t>PUMA Rebound Layup Sl Womens Basketball Shoes</t>
        </is>
      </c>
      <c r="X227" s="23" t="n">
        <v>2</v>
      </c>
      <c r="Y227" s="18">
        <f>AC227-AB227</f>
        <v/>
      </c>
      <c r="Z227" s="27" t="n">
        <v>4</v>
      </c>
      <c r="AA227" s="27" t="n">
        <v>4</v>
      </c>
      <c r="AB227" s="27" t="n"/>
      <c r="AC227" s="27" t="n"/>
      <c r="AD227" s="1" t="inlineStr">
        <is>
          <t>39489159</t>
        </is>
      </c>
      <c r="AE227" s="1" t="inlineStr">
        <is>
          <t>Puma White-gray Fog-alpine Snow</t>
        </is>
      </c>
      <c r="AF227" s="4" t="n">
        <v>10.5</v>
      </c>
      <c r="AG227" s="4" t="n">
        <v>7.54</v>
      </c>
    </row>
    <row r="228" ht="47.25" customHeight="1">
      <c r="A228" s="18" t="inlineStr">
        <is>
          <t>197672050997</t>
        </is>
      </c>
      <c r="B228" s="19" t="inlineStr">
        <is>
          <t>https://www.amazon.com/dp/</t>
        </is>
      </c>
      <c r="C228" s="20" t="inlineStr">
        <is>
          <t>B0DDTY534Q</t>
        </is>
      </c>
      <c r="D228" s="44" t="n"/>
      <c r="E228" s="23" t="inlineStr">
        <is>
          <t>?th=1&amp;psc=1&amp;tag=sdcdeals03-20</t>
        </is>
      </c>
      <c r="F228" s="19">
        <f>HYPERLINK("https://redirect.sdcdeals.com/redirect?destination=https%3A%2F%2Fwww.amazon.com%2Fdp%2FB0DDTY534Q%3Fth%3D1%26psc%3D1%26tag%3Dsdcdeals03-20", "Amazon Link")</f>
        <v/>
      </c>
      <c r="G228" s="19" t="inlineStr">
        <is>
          <t>https://www.jcpenney.com/s?searchTerm={search_term}</t>
        </is>
      </c>
      <c r="H228" s="23" t="inlineStr">
        <is>
          <t>197672050997</t>
        </is>
      </c>
      <c r="I228" s="19">
        <f>HYPERLINK("https://www.jcpenney.com/s?searchTerm=197672050997", "Retail Link")</f>
        <v/>
      </c>
      <c r="J228" s="23" t="inlineStr">
        <is>
          <t>n/a</t>
        </is>
      </c>
      <c r="K228" s="21" t="inlineStr">
        <is>
          <t>PUMA Women's Rebound Layup Sneaker White-Gray Fog-Alpine Snow, 6</t>
        </is>
      </c>
      <c r="L228" s="24" t="n">
        <v>66.5</v>
      </c>
      <c r="M228" s="24" t="n">
        <v>70</v>
      </c>
      <c r="N228" s="24" t="n">
        <v>-14.03</v>
      </c>
      <c r="O228" s="24">
        <f>V228-M228</f>
        <v/>
      </c>
      <c r="P228" s="25">
        <f>N228/L228</f>
        <v/>
      </c>
      <c r="Q228" s="23" t="n">
        <v>540792</v>
      </c>
      <c r="R228" s="23" t="n"/>
      <c r="S228" s="26" t="n">
        <v>1.79015144</v>
      </c>
      <c r="T228" s="24" t="n">
        <v>69.95</v>
      </c>
      <c r="U228" s="24" t="n">
        <v>70</v>
      </c>
      <c r="V228" s="24" t="n">
        <v>70</v>
      </c>
      <c r="W228" s="26" t="inlineStr">
        <is>
          <t>PUMA Rebound Layup Sl Womens Basketball Shoes</t>
        </is>
      </c>
      <c r="X228" s="23" t="n">
        <v>2</v>
      </c>
      <c r="Y228" s="18">
        <f>AC228-AB228</f>
        <v/>
      </c>
      <c r="Z228" s="27" t="n">
        <v>11</v>
      </c>
      <c r="AA228" s="27" t="n">
        <v>11</v>
      </c>
      <c r="AB228" s="27" t="n"/>
      <c r="AC228" s="27" t="n"/>
      <c r="AD228" s="1" t="inlineStr">
        <is>
          <t>39489159</t>
        </is>
      </c>
      <c r="AE228" s="1" t="inlineStr">
        <is>
          <t>Puma White-gray Fog-alpine Snow</t>
        </is>
      </c>
      <c r="AF228" s="4" t="n">
        <v>10.5</v>
      </c>
      <c r="AG228" s="4" t="n">
        <v>7.03</v>
      </c>
    </row>
    <row r="229" ht="47.25" customHeight="1">
      <c r="A229" s="18" t="inlineStr">
        <is>
          <t>197672050942</t>
        </is>
      </c>
      <c r="B229" s="19" t="inlineStr">
        <is>
          <t>https://www.amazon.com/dp/</t>
        </is>
      </c>
      <c r="C229" s="20" t="inlineStr">
        <is>
          <t>B0DDTZC5P6</t>
        </is>
      </c>
      <c r="D229" s="44" t="n"/>
      <c r="E229" s="23" t="inlineStr">
        <is>
          <t>?th=1&amp;psc=1&amp;tag=sdcdeals03-20</t>
        </is>
      </c>
      <c r="F229" s="19">
        <f>HYPERLINK("https://redirect.sdcdeals.com/redirect?destination=https%3A%2F%2Fwww.amazon.com%2Fdp%2FB0DDTZC5P6%3Fth%3D1%26psc%3D1%26tag%3Dsdcdeals03-20", "Amazon Link")</f>
        <v/>
      </c>
      <c r="G229" s="19" t="inlineStr">
        <is>
          <t>https://www.jcpenney.com/s?searchTerm={search_term}</t>
        </is>
      </c>
      <c r="H229" s="23" t="inlineStr">
        <is>
          <t>197672050942</t>
        </is>
      </c>
      <c r="I229" s="19">
        <f>HYPERLINK("https://www.jcpenney.com/s?searchTerm=197672050942", "Retail Link")</f>
        <v/>
      </c>
      <c r="J229" s="23" t="inlineStr">
        <is>
          <t>n/a</t>
        </is>
      </c>
      <c r="K229" s="21" t="inlineStr">
        <is>
          <t>PUMA Women's Rebound Layup Sneaker White-Gray Fog-Alpine Snow, 6.5</t>
        </is>
      </c>
      <c r="L229" s="24" t="n">
        <v>66.5</v>
      </c>
      <c r="M229" s="24" t="n">
        <v>59.94</v>
      </c>
      <c r="N229" s="24" t="n">
        <v>-23.091</v>
      </c>
      <c r="O229" s="24">
        <f>V229-M229</f>
        <v/>
      </c>
      <c r="P229" s="25">
        <f>N229/L229</f>
        <v/>
      </c>
      <c r="Q229" s="23" t="n">
        <v>540792</v>
      </c>
      <c r="R229" s="23" t="n"/>
      <c r="S229" s="26" t="n">
        <v>1.80999302</v>
      </c>
      <c r="T229" s="24" t="n">
        <v>59.94</v>
      </c>
      <c r="U229" s="24" t="n">
        <v>66.14</v>
      </c>
      <c r="V229" s="24" t="n">
        <v>66.14</v>
      </c>
      <c r="W229" s="26" t="inlineStr">
        <is>
          <t>PUMA Rebound Layup Sl Womens Basketball Shoes</t>
        </is>
      </c>
      <c r="X229" s="23" t="n">
        <v>2</v>
      </c>
      <c r="Y229" s="18">
        <f>AC229-AB229</f>
        <v/>
      </c>
      <c r="Z229" s="27" t="n">
        <v>11</v>
      </c>
      <c r="AA229" s="27" t="n">
        <v>11</v>
      </c>
      <c r="AB229" s="27" t="n"/>
      <c r="AC229" s="27" t="n"/>
      <c r="AD229" s="1" t="inlineStr">
        <is>
          <t>39489159</t>
        </is>
      </c>
      <c r="AE229" s="1" t="inlineStr">
        <is>
          <t>Puma White-gray Fog-alpine Snow</t>
        </is>
      </c>
      <c r="AF229" s="4" t="n">
        <v>8.99</v>
      </c>
      <c r="AG229" s="4" t="n">
        <v>7.54</v>
      </c>
    </row>
    <row r="230" ht="47.25" customHeight="1">
      <c r="A230" s="18" t="inlineStr">
        <is>
          <t>197672051000</t>
        </is>
      </c>
      <c r="B230" s="19" t="inlineStr">
        <is>
          <t>https://www.amazon.com/dp/</t>
        </is>
      </c>
      <c r="C230" s="20" t="inlineStr">
        <is>
          <t>B0DDTZXDTV</t>
        </is>
      </c>
      <c r="D230" s="44" t="n"/>
      <c r="E230" s="23" t="inlineStr">
        <is>
          <t>?th=1&amp;psc=1&amp;tag=sdcdeals03-20</t>
        </is>
      </c>
      <c r="F230" s="19">
        <f>HYPERLINK("https://redirect.sdcdeals.com/redirect?destination=https%3A%2F%2Fwww.amazon.com%2Fdp%2FB0DDTZXDTV%3Fth%3D1%26psc%3D1%26tag%3Dsdcdeals03-20", "Amazon Link")</f>
        <v/>
      </c>
      <c r="G230" s="19" t="inlineStr">
        <is>
          <t>https://www.jcpenney.com/s?searchTerm={search_term}</t>
        </is>
      </c>
      <c r="H230" s="23" t="inlineStr">
        <is>
          <t>197672051000</t>
        </is>
      </c>
      <c r="I230" s="19">
        <f>HYPERLINK("https://www.jcpenney.com/s?searchTerm=197672051000", "Retail Link")</f>
        <v/>
      </c>
      <c r="J230" s="23" t="inlineStr">
        <is>
          <t>n/a</t>
        </is>
      </c>
      <c r="K230" s="21" t="inlineStr">
        <is>
          <t>PUMA Women's Rebound Layup Sneaker White-Gray Fog-Alpine Snow, 7</t>
        </is>
      </c>
      <c r="L230" s="24" t="n">
        <v>66.5</v>
      </c>
      <c r="M230" s="24" t="n">
        <v>59.94</v>
      </c>
      <c r="N230" s="24" t="n">
        <v>-22.581</v>
      </c>
      <c r="O230" s="24">
        <f>V230-M230</f>
        <v/>
      </c>
      <c r="P230" s="25">
        <f>N230/L230</f>
        <v/>
      </c>
      <c r="Q230" s="23" t="n">
        <v>483908</v>
      </c>
      <c r="R230" s="23" t="n"/>
      <c r="S230" s="26" t="n">
        <v>1.84967618</v>
      </c>
      <c r="T230" s="24" t="n">
        <v>59.94</v>
      </c>
      <c r="U230" s="24" t="n">
        <v>66.2</v>
      </c>
      <c r="V230" s="24" t="n">
        <v>66.2</v>
      </c>
      <c r="W230" s="26" t="inlineStr">
        <is>
          <t>PUMA Rebound Layup Sl Womens Basketball Shoes</t>
        </is>
      </c>
      <c r="X230" s="23" t="n">
        <v>2</v>
      </c>
      <c r="Y230" s="18">
        <f>AC230-AB230</f>
        <v/>
      </c>
      <c r="Z230" s="27" t="n">
        <v>8</v>
      </c>
      <c r="AA230" s="27" t="n">
        <v>8</v>
      </c>
      <c r="AB230" s="27" t="n"/>
      <c r="AC230" s="27" t="n"/>
      <c r="AD230" s="1" t="inlineStr">
        <is>
          <t>39489159</t>
        </is>
      </c>
      <c r="AE230" s="1" t="inlineStr">
        <is>
          <t>Puma White-gray Fog-alpine Snow</t>
        </is>
      </c>
      <c r="AF230" s="4" t="n">
        <v>8.99</v>
      </c>
      <c r="AG230" s="4" t="n">
        <v>7.03</v>
      </c>
    </row>
    <row r="231" ht="47.25" customHeight="1">
      <c r="A231" s="18" t="inlineStr">
        <is>
          <t>197672050959</t>
        </is>
      </c>
      <c r="B231" s="19" t="inlineStr">
        <is>
          <t>https://www.amazon.com/dp/</t>
        </is>
      </c>
      <c r="C231" s="20" t="inlineStr">
        <is>
          <t>B0DDTYCF4Z</t>
        </is>
      </c>
      <c r="D231" s="44" t="n"/>
      <c r="E231" s="23" t="inlineStr">
        <is>
          <t>?th=1&amp;psc=1&amp;tag=sdcdeals03-20</t>
        </is>
      </c>
      <c r="F231" s="19">
        <f>HYPERLINK("https://redirect.sdcdeals.com/redirect?destination=https%3A%2F%2Fwww.amazon.com%2Fdp%2FB0DDTYCF4Z%3Fth%3D1%26psc%3D1%26tag%3Dsdcdeals03-20", "Amazon Link")</f>
        <v/>
      </c>
      <c r="G231" s="19" t="inlineStr">
        <is>
          <t>https://www.jcpenney.com/s?searchTerm={search_term}</t>
        </is>
      </c>
      <c r="H231" s="23" t="inlineStr">
        <is>
          <t>197672050959</t>
        </is>
      </c>
      <c r="I231" s="19">
        <f>HYPERLINK("https://www.jcpenney.com/s?searchTerm=197672050959", "Retail Link")</f>
        <v/>
      </c>
      <c r="J231" s="23" t="inlineStr">
        <is>
          <t>n/a</t>
        </is>
      </c>
      <c r="K231" s="21" t="inlineStr">
        <is>
          <t>PUMA Women's Rebound Layup Sneaker White-Gray Fog-Alpine Snow, 7.5</t>
        </is>
      </c>
      <c r="L231" s="24" t="n">
        <v>66.5</v>
      </c>
      <c r="M231" s="24" t="n">
        <v>59.94</v>
      </c>
      <c r="N231" s="24" t="n">
        <v>-22.581</v>
      </c>
      <c r="O231" s="24">
        <f>V231-M231</f>
        <v/>
      </c>
      <c r="P231" s="25">
        <f>N231/L231</f>
        <v/>
      </c>
      <c r="Q231" s="23" t="n">
        <v>540792</v>
      </c>
      <c r="R231" s="23" t="n"/>
      <c r="S231" s="26" t="n">
        <v>1.90038244</v>
      </c>
      <c r="T231" s="24" t="n">
        <v>59.94</v>
      </c>
      <c r="U231" s="24" t="n">
        <v>66.09999999999999</v>
      </c>
      <c r="V231" s="24" t="n">
        <v>66.09999999999999</v>
      </c>
      <c r="W231" s="26" t="inlineStr">
        <is>
          <t>PUMA Rebound Layup Sl Womens Basketball Shoes</t>
        </is>
      </c>
      <c r="X231" s="23" t="n">
        <v>2</v>
      </c>
      <c r="Y231" s="18">
        <f>AC231-AB231</f>
        <v/>
      </c>
      <c r="Z231" s="27" t="n">
        <v>5</v>
      </c>
      <c r="AA231" s="27" t="n">
        <v>5</v>
      </c>
      <c r="AB231" s="27" t="n"/>
      <c r="AC231" s="27" t="n"/>
      <c r="AD231" s="1" t="inlineStr">
        <is>
          <t>39489159</t>
        </is>
      </c>
      <c r="AE231" s="1" t="inlineStr">
        <is>
          <t>Puma White-gray Fog-alpine Snow</t>
        </is>
      </c>
      <c r="AF231" s="4" t="n">
        <v>8.99</v>
      </c>
      <c r="AG231" s="4" t="n">
        <v>7.03</v>
      </c>
    </row>
    <row r="232" ht="47.25" customHeight="1">
      <c r="A232" s="18" t="inlineStr">
        <is>
          <t>197672051017</t>
        </is>
      </c>
      <c r="B232" s="19" t="inlineStr">
        <is>
          <t>https://www.amazon.com/dp/</t>
        </is>
      </c>
      <c r="C232" s="20" t="inlineStr">
        <is>
          <t>B0DDTY5PSJ</t>
        </is>
      </c>
      <c r="D232" s="44" t="n"/>
      <c r="E232" s="23" t="inlineStr">
        <is>
          <t>?th=1&amp;psc=1&amp;tag=sdcdeals03-20</t>
        </is>
      </c>
      <c r="F232" s="19">
        <f>HYPERLINK("https://redirect.sdcdeals.com/redirect?destination=https%3A%2F%2Fwww.amazon.com%2Fdp%2FB0DDTY5PSJ%3Fth%3D1%26psc%3D1%26tag%3Dsdcdeals03-20", "Amazon Link")</f>
        <v/>
      </c>
      <c r="G232" s="19" t="inlineStr">
        <is>
          <t>https://www.jcpenney.com/s?searchTerm={search_term}</t>
        </is>
      </c>
      <c r="H232" s="23" t="inlineStr">
        <is>
          <t>197672051017</t>
        </is>
      </c>
      <c r="I232" s="19">
        <f>HYPERLINK("https://www.jcpenney.com/s?searchTerm=197672051017", "Retail Link")</f>
        <v/>
      </c>
      <c r="J232" s="23" t="inlineStr">
        <is>
          <t>n/a</t>
        </is>
      </c>
      <c r="K232" s="21" t="inlineStr">
        <is>
          <t>PUMA Women's Rebound Layup Sneaker White-Gray Fog-Alpine Snow, 8</t>
        </is>
      </c>
      <c r="L232" s="24" t="n">
        <v>66.5</v>
      </c>
      <c r="M232" s="24" t="n">
        <v>59.94</v>
      </c>
      <c r="N232" s="24" t="n">
        <v>-23.171</v>
      </c>
      <c r="O232" s="24">
        <f>V232-M232</f>
        <v/>
      </c>
      <c r="P232" s="25">
        <f>N232/L232</f>
        <v/>
      </c>
      <c r="Q232" s="23" t="n">
        <v>483908</v>
      </c>
      <c r="R232" s="23" t="n"/>
      <c r="S232" s="26" t="n">
        <v>1.95990718</v>
      </c>
      <c r="T232" s="24" t="n">
        <v>59.94</v>
      </c>
      <c r="U232" s="24" t="n">
        <v>66.28</v>
      </c>
      <c r="V232" s="24" t="n">
        <v>66.28</v>
      </c>
      <c r="W232" s="26" t="inlineStr">
        <is>
          <t>PUMA Rebound Layup Sl Womens Basketball Shoes</t>
        </is>
      </c>
      <c r="X232" s="23" t="n">
        <v>2</v>
      </c>
      <c r="Y232" s="18">
        <f>AC232-AB232</f>
        <v/>
      </c>
      <c r="Z232" s="27" t="n">
        <v>11</v>
      </c>
      <c r="AA232" s="27" t="n">
        <v>11</v>
      </c>
      <c r="AB232" s="27" t="n"/>
      <c r="AC232" s="27" t="n"/>
      <c r="AD232" s="1" t="inlineStr">
        <is>
          <t>39489159</t>
        </is>
      </c>
      <c r="AE232" s="1" t="inlineStr">
        <is>
          <t>Puma White-gray Fog-alpine Snow</t>
        </is>
      </c>
      <c r="AF232" s="4" t="n">
        <v>8.99</v>
      </c>
      <c r="AG232" s="4" t="n">
        <v>7.62</v>
      </c>
    </row>
    <row r="233" ht="47.25" customHeight="1">
      <c r="A233" s="18" t="inlineStr">
        <is>
          <t>197672050966</t>
        </is>
      </c>
      <c r="B233" s="19" t="inlineStr">
        <is>
          <t>https://www.amazon.com/dp/</t>
        </is>
      </c>
      <c r="C233" s="20" t="inlineStr">
        <is>
          <t>B0DDTYYNNK</t>
        </is>
      </c>
      <c r="D233" s="44" t="n"/>
      <c r="E233" s="23" t="inlineStr">
        <is>
          <t>?th=1&amp;psc=1&amp;tag=sdcdeals03-20</t>
        </is>
      </c>
      <c r="F233" s="19">
        <f>HYPERLINK("https://redirect.sdcdeals.com/redirect?destination=https%3A%2F%2Fwww.amazon.com%2Fdp%2FB0DDTYYNNK%3Fth%3D1%26psc%3D1%26tag%3Dsdcdeals03-20", "Amazon Link")</f>
        <v/>
      </c>
      <c r="G233" s="19" t="inlineStr">
        <is>
          <t>https://www.jcpenney.com/s?searchTerm={search_term}</t>
        </is>
      </c>
      <c r="H233" s="23" t="inlineStr">
        <is>
          <t>197672050966</t>
        </is>
      </c>
      <c r="I233" s="19">
        <f>HYPERLINK("https://www.jcpenney.com/s?searchTerm=197672050966", "Retail Link")</f>
        <v/>
      </c>
      <c r="J233" s="23" t="inlineStr">
        <is>
          <t>n/a</t>
        </is>
      </c>
      <c r="K233" s="21" t="inlineStr">
        <is>
          <t>PUMA Women's Rebound Layup Sneaker White-Gray Fog-Alpine Snow, 8.5</t>
        </is>
      </c>
      <c r="L233" s="24" t="n">
        <v>66.5</v>
      </c>
      <c r="M233" s="24" t="n">
        <v>59.94</v>
      </c>
      <c r="N233" s="24" t="n">
        <v>-23.171</v>
      </c>
      <c r="O233" s="24">
        <f>V233-M233</f>
        <v/>
      </c>
      <c r="P233" s="25">
        <f>N233/L233</f>
        <v/>
      </c>
      <c r="Q233" s="23" t="n">
        <v>505450</v>
      </c>
      <c r="R233" s="23" t="n"/>
      <c r="S233" s="26" t="n">
        <v>2.07013818</v>
      </c>
      <c r="T233" s="24" t="n">
        <v>59.94</v>
      </c>
      <c r="U233" s="24" t="n">
        <v>66.09</v>
      </c>
      <c r="V233" s="24" t="n">
        <v>66.09</v>
      </c>
      <c r="W233" s="26" t="inlineStr">
        <is>
          <t>PUMA Rebound Layup Sl Womens Basketball Shoes</t>
        </is>
      </c>
      <c r="X233" s="23" t="n">
        <v>2</v>
      </c>
      <c r="Y233" s="18">
        <f>AC233-AB233</f>
        <v/>
      </c>
      <c r="Z233" s="27" t="n">
        <v>10</v>
      </c>
      <c r="AA233" s="27" t="n">
        <v>10</v>
      </c>
      <c r="AB233" s="27" t="n"/>
      <c r="AC233" s="27" t="n"/>
      <c r="AD233" s="1" t="inlineStr">
        <is>
          <t>39489159</t>
        </is>
      </c>
      <c r="AE233" s="1" t="inlineStr">
        <is>
          <t>Puma White-gray Fog-alpine Snow</t>
        </is>
      </c>
      <c r="AF233" s="4" t="n">
        <v>8.99</v>
      </c>
      <c r="AG233" s="4" t="n">
        <v>7.62</v>
      </c>
    </row>
    <row r="234" ht="47.25" customHeight="1">
      <c r="A234" s="18" t="inlineStr">
        <is>
          <t>197672051024</t>
        </is>
      </c>
      <c r="B234" s="19" t="inlineStr">
        <is>
          <t>https://www.amazon.com/dp/</t>
        </is>
      </c>
      <c r="C234" s="20" t="inlineStr">
        <is>
          <t>B0DDV22S5L</t>
        </is>
      </c>
      <c r="D234" s="44" t="n"/>
      <c r="E234" s="23" t="inlineStr">
        <is>
          <t>?th=1&amp;psc=1&amp;tag=sdcdeals03-20</t>
        </is>
      </c>
      <c r="F234" s="19">
        <f>HYPERLINK("https://redirect.sdcdeals.com/redirect?destination=https%3A%2F%2Fwww.amazon.com%2Fdp%2FB0DDV22S5L%3Fth%3D1%26psc%3D1%26tag%3Dsdcdeals03-20", "Amazon Link")</f>
        <v/>
      </c>
      <c r="G234" s="19" t="inlineStr">
        <is>
          <t>https://www.jcpenney.com/s?searchTerm={search_term}</t>
        </is>
      </c>
      <c r="H234" s="23" t="inlineStr">
        <is>
          <t>197672051024</t>
        </is>
      </c>
      <c r="I234" s="19">
        <f>HYPERLINK("https://www.jcpenney.com/s?searchTerm=197672051024", "Retail Link")</f>
        <v/>
      </c>
      <c r="J234" s="23" t="inlineStr">
        <is>
          <t>n/a</t>
        </is>
      </c>
      <c r="K234" s="21" t="inlineStr">
        <is>
          <t>PUMA Women's Rebound Layup Sneaker White-Gray Fog-Alpine Snow, 9</t>
        </is>
      </c>
      <c r="L234" s="24" t="n">
        <v>66.5</v>
      </c>
      <c r="M234" s="24" t="n">
        <v>58.59</v>
      </c>
      <c r="N234" s="24" t="n">
        <v>-24.31849999999999</v>
      </c>
      <c r="O234" s="24">
        <f>V234-M234</f>
        <v/>
      </c>
      <c r="P234" s="25">
        <f>N234/L234</f>
        <v/>
      </c>
      <c r="Q234" s="23" t="n">
        <v>540792</v>
      </c>
      <c r="R234" s="23" t="n"/>
      <c r="S234" s="26" t="n">
        <v>2.12084444</v>
      </c>
      <c r="T234" s="24" t="n">
        <v>58.59</v>
      </c>
      <c r="U234" s="24" t="n">
        <v>66.19</v>
      </c>
      <c r="V234" s="24" t="n">
        <v>66.19</v>
      </c>
      <c r="W234" s="26" t="inlineStr">
        <is>
          <t>PUMA Rebound Layup Sl Womens Basketball Shoes</t>
        </is>
      </c>
      <c r="X234" s="23" t="n">
        <v>2</v>
      </c>
      <c r="Y234" s="18">
        <f>AC234-AB234</f>
        <v/>
      </c>
      <c r="Z234" s="27" t="n">
        <v>10</v>
      </c>
      <c r="AA234" s="27" t="n">
        <v>10</v>
      </c>
      <c r="AB234" s="27" t="n"/>
      <c r="AC234" s="27" t="n"/>
      <c r="AD234" s="1" t="inlineStr">
        <is>
          <t>39489159</t>
        </is>
      </c>
      <c r="AE234" s="1" t="inlineStr">
        <is>
          <t>Puma White-gray Fog-alpine Snow</t>
        </is>
      </c>
      <c r="AF234" s="4" t="n">
        <v>8.789999999999999</v>
      </c>
      <c r="AG234" s="4" t="n">
        <v>7.62</v>
      </c>
    </row>
    <row r="235" ht="47.25" customHeight="1">
      <c r="A235" s="18" t="inlineStr">
        <is>
          <t>197672050973</t>
        </is>
      </c>
      <c r="B235" s="19" t="inlineStr">
        <is>
          <t>https://www.amazon.com/dp/</t>
        </is>
      </c>
      <c r="C235" s="20" t="inlineStr">
        <is>
          <t>B0DDTWWBRS</t>
        </is>
      </c>
      <c r="D235" s="44" t="n"/>
      <c r="E235" s="23" t="inlineStr">
        <is>
          <t>?th=1&amp;psc=1&amp;tag=sdcdeals03-20</t>
        </is>
      </c>
      <c r="F235" s="19">
        <f>HYPERLINK("https://redirect.sdcdeals.com/redirect?destination=https%3A%2F%2Fwww.amazon.com%2Fdp%2FB0DDTWWBRS%3Fth%3D1%26psc%3D1%26tag%3Dsdcdeals03-20", "Amazon Link")</f>
        <v/>
      </c>
      <c r="G235" s="19" t="inlineStr">
        <is>
          <t>https://www.jcpenney.com/s?searchTerm={search_term}</t>
        </is>
      </c>
      <c r="H235" s="23" t="inlineStr">
        <is>
          <t>197672050973</t>
        </is>
      </c>
      <c r="I235" s="19">
        <f>HYPERLINK("https://www.jcpenney.com/s?searchTerm=197672050973", "Retail Link")</f>
        <v/>
      </c>
      <c r="J235" s="23" t="inlineStr">
        <is>
          <t>n/a</t>
        </is>
      </c>
      <c r="K235" s="21" t="inlineStr">
        <is>
          <t>PUMA Women's Rebound Layup Sneaker White-Gray Fog-Alpine Snow, 9.5</t>
        </is>
      </c>
      <c r="L235" s="24" t="n">
        <v>66.5</v>
      </c>
      <c r="M235" s="24" t="n">
        <v>59.94</v>
      </c>
      <c r="N235" s="24" t="n">
        <v>-23.091</v>
      </c>
      <c r="O235" s="24">
        <f>V235-M235</f>
        <v/>
      </c>
      <c r="P235" s="25">
        <f>N235/L235</f>
        <v/>
      </c>
      <c r="Q235" s="23" t="n">
        <v>540792</v>
      </c>
      <c r="R235" s="23" t="n"/>
      <c r="S235" s="26" t="n">
        <v>2.20021076</v>
      </c>
      <c r="T235" s="24" t="n">
        <v>59.94</v>
      </c>
      <c r="U235" s="24" t="n">
        <v>74.04000000000001</v>
      </c>
      <c r="V235" s="24" t="n">
        <v>74.04000000000001</v>
      </c>
      <c r="W235" s="26" t="inlineStr">
        <is>
          <t>PUMA Rebound Layup Sl Womens Basketball Shoes</t>
        </is>
      </c>
      <c r="X235" s="23" t="n">
        <v>3</v>
      </c>
      <c r="Y235" s="18">
        <f>AC235-AB235</f>
        <v/>
      </c>
      <c r="Z235" s="27" t="n">
        <v>4</v>
      </c>
      <c r="AA235" s="27" t="n">
        <v>4</v>
      </c>
      <c r="AB235" s="27" t="n"/>
      <c r="AC235" s="27" t="n"/>
      <c r="AD235" s="1" t="inlineStr">
        <is>
          <t>39489159</t>
        </is>
      </c>
      <c r="AE235" s="1" t="inlineStr">
        <is>
          <t>Puma White-gray Fog-alpine Snow</t>
        </is>
      </c>
      <c r="AF235" s="4" t="n">
        <v>8.99</v>
      </c>
      <c r="AG235" s="4" t="n">
        <v>7.54</v>
      </c>
    </row>
    <row r="236" ht="47.25" customHeight="1">
      <c r="A236" s="18" t="inlineStr">
        <is>
          <t>197672051031</t>
        </is>
      </c>
      <c r="B236" s="19" t="inlineStr">
        <is>
          <t>https://www.amazon.com/dp/</t>
        </is>
      </c>
      <c r="C236" s="20" t="inlineStr">
        <is>
          <t>B0DDTY1DWV</t>
        </is>
      </c>
      <c r="D236" s="44" t="n"/>
      <c r="E236" s="23" t="inlineStr">
        <is>
          <t>?th=1&amp;psc=1&amp;tag=sdcdeals03-20</t>
        </is>
      </c>
      <c r="F236" s="19">
        <f>HYPERLINK("https://redirect.sdcdeals.com/redirect?destination=https%3A%2F%2Fwww.amazon.com%2Fdp%2FB0DDTY1DWV%3Fth%3D1%26psc%3D1%26tag%3Dsdcdeals03-20", "Amazon Link")</f>
        <v/>
      </c>
      <c r="G236" s="19" t="inlineStr">
        <is>
          <t>https://www.jcpenney.com/s?searchTerm={search_term}</t>
        </is>
      </c>
      <c r="H236" s="23" t="inlineStr">
        <is>
          <t>197672051031</t>
        </is>
      </c>
      <c r="I236" s="19">
        <f>HYPERLINK("https://www.jcpenney.com/s?searchTerm=197672051031", "Retail Link")</f>
        <v/>
      </c>
      <c r="J236" s="23" t="inlineStr">
        <is>
          <t>n/a</t>
        </is>
      </c>
      <c r="K236" s="21" t="inlineStr">
        <is>
          <t>PUMA Women's Rebound Layup Sneaker White-Gray Fog-Alpine Snow, 10</t>
        </is>
      </c>
      <c r="L236" s="24" t="n">
        <v>66.5</v>
      </c>
      <c r="M236" s="24" t="n">
        <v>59.94</v>
      </c>
      <c r="N236" s="24" t="n">
        <v>-23.091</v>
      </c>
      <c r="O236" s="24">
        <f>V236-M236</f>
        <v/>
      </c>
      <c r="P236" s="25">
        <f>N236/L236</f>
        <v/>
      </c>
      <c r="Q236" s="23" t="n">
        <v>505450</v>
      </c>
      <c r="R236" s="23" t="n"/>
      <c r="S236" s="26" t="n">
        <v>2.29941866</v>
      </c>
      <c r="T236" s="24" t="n">
        <v>59.94</v>
      </c>
      <c r="U236" s="24" t="n">
        <v>74.15000000000001</v>
      </c>
      <c r="V236" s="24" t="n">
        <v>74.15000000000001</v>
      </c>
      <c r="W236" s="26" t="inlineStr">
        <is>
          <t>PUMA Rebound Layup Sl Womens Basketball Shoes</t>
        </is>
      </c>
      <c r="X236" s="23" t="n">
        <v>3</v>
      </c>
      <c r="Y236" s="18">
        <f>AC236-AB236</f>
        <v/>
      </c>
      <c r="Z236" s="27" t="n">
        <v>8</v>
      </c>
      <c r="AA236" s="27" t="n">
        <v>8</v>
      </c>
      <c r="AB236" s="27" t="n"/>
      <c r="AC236" s="27" t="n"/>
      <c r="AD236" s="1" t="inlineStr">
        <is>
          <t>39489159</t>
        </is>
      </c>
      <c r="AE236" s="1" t="inlineStr">
        <is>
          <t>Puma White-gray Fog-alpine Snow</t>
        </is>
      </c>
      <c r="AF236" s="4" t="n">
        <v>8.99</v>
      </c>
      <c r="AG236" s="4" t="n">
        <v>7.54</v>
      </c>
    </row>
    <row r="237" ht="47.25" customHeight="1">
      <c r="A237" s="18" t="inlineStr">
        <is>
          <t>197672050980</t>
        </is>
      </c>
      <c r="B237" s="19" t="inlineStr">
        <is>
          <t>https://www.amazon.com/dp/</t>
        </is>
      </c>
      <c r="C237" s="20" t="inlineStr">
        <is>
          <t>B0DDTZ49TJ</t>
        </is>
      </c>
      <c r="D237" s="44" t="n"/>
      <c r="E237" s="23" t="inlineStr">
        <is>
          <t>?th=1&amp;psc=1&amp;tag=sdcdeals03-20</t>
        </is>
      </c>
      <c r="F237" s="19">
        <f>HYPERLINK("https://redirect.sdcdeals.com/redirect?destination=https%3A%2F%2Fwww.amazon.com%2Fdp%2FB0DDTZ49TJ%3Fth%3D1%26psc%3D1%26tag%3Dsdcdeals03-20", "Amazon Link")</f>
        <v/>
      </c>
      <c r="G237" s="19" t="inlineStr">
        <is>
          <t>https://www.jcpenney.com/s?searchTerm={search_term}</t>
        </is>
      </c>
      <c r="H237" s="23" t="inlineStr">
        <is>
          <t>197672050980</t>
        </is>
      </c>
      <c r="I237" s="19">
        <f>HYPERLINK("https://www.jcpenney.com/s?searchTerm=197672050980", "Retail Link")</f>
        <v/>
      </c>
      <c r="J237" s="23" t="inlineStr">
        <is>
          <t>n/a</t>
        </is>
      </c>
      <c r="K237" s="21" t="inlineStr">
        <is>
          <t>PUMA Women's Rebound Layup Sneaker White-Gray Fog-Alpine Snow, 10.5</t>
        </is>
      </c>
      <c r="L237" s="24" t="n">
        <v>66.5</v>
      </c>
      <c r="M237" s="24" t="n">
        <v>70</v>
      </c>
      <c r="N237" s="24" t="n">
        <v>-14.86</v>
      </c>
      <c r="O237" s="24">
        <f>V237-M237</f>
        <v/>
      </c>
      <c r="P237" s="25">
        <f>N237/L237</f>
        <v/>
      </c>
      <c r="Q237" s="23" t="n">
        <v>540792</v>
      </c>
      <c r="R237" s="23" t="n"/>
      <c r="S237" s="26" t="n">
        <v>2.3589434</v>
      </c>
      <c r="T237" s="24" t="n">
        <v>70</v>
      </c>
      <c r="U237" s="24" t="n">
        <v>70</v>
      </c>
      <c r="V237" s="24" t="n">
        <v>70</v>
      </c>
      <c r="W237" s="26" t="inlineStr">
        <is>
          <t>PUMA Rebound Layup Sl Womens Basketball Shoes</t>
        </is>
      </c>
      <c r="X237" s="23" t="n">
        <v>2</v>
      </c>
      <c r="Y237" s="18">
        <f>AC237-AB237</f>
        <v/>
      </c>
      <c r="Z237" s="27" t="n">
        <v>7</v>
      </c>
      <c r="AA237" s="27" t="n">
        <v>7</v>
      </c>
      <c r="AB237" s="27" t="n"/>
      <c r="AC237" s="27" t="n"/>
      <c r="AD237" s="1" t="inlineStr">
        <is>
          <t>39489159</t>
        </is>
      </c>
      <c r="AE237" s="1" t="inlineStr">
        <is>
          <t>Puma White-gray Fog-alpine Snow</t>
        </is>
      </c>
      <c r="AF237" s="4" t="n">
        <v>10.5</v>
      </c>
      <c r="AG237" s="4" t="n">
        <v>7.86</v>
      </c>
    </row>
    <row r="238" ht="47.25" customHeight="1">
      <c r="A238" s="18" t="inlineStr">
        <is>
          <t>197672051048</t>
        </is>
      </c>
      <c r="B238" s="19" t="inlineStr">
        <is>
          <t>https://www.amazon.com/dp/</t>
        </is>
      </c>
      <c r="C238" s="20" t="inlineStr">
        <is>
          <t>B0DDTXK3G6</t>
        </is>
      </c>
      <c r="D238" s="44" t="n"/>
      <c r="E238" s="23" t="inlineStr">
        <is>
          <t>?th=1&amp;psc=1&amp;tag=sdcdeals03-20</t>
        </is>
      </c>
      <c r="F238" s="19">
        <f>HYPERLINK("https://redirect.sdcdeals.com/redirect?destination=https%3A%2F%2Fwww.amazon.com%2Fdp%2FB0DDTXK3G6%3Fth%3D1%26psc%3D1%26tag%3Dsdcdeals03-20", "Amazon Link")</f>
        <v/>
      </c>
      <c r="G238" s="19" t="inlineStr">
        <is>
          <t>https://www.jcpenney.com/s?searchTerm={search_term}</t>
        </is>
      </c>
      <c r="H238" s="23" t="inlineStr">
        <is>
          <t>197672051048</t>
        </is>
      </c>
      <c r="I238" s="19">
        <f>HYPERLINK("https://www.jcpenney.com/s?searchTerm=197672051048", "Retail Link")</f>
        <v/>
      </c>
      <c r="J238" s="23" t="inlineStr">
        <is>
          <t>n/a</t>
        </is>
      </c>
      <c r="K238" s="21" t="inlineStr">
        <is>
          <t>PUMA Women's Rebound Layup Sneaker White-Gray Fog-Alpine Snow, 11</t>
        </is>
      </c>
      <c r="L238" s="24" t="n">
        <v>66.5</v>
      </c>
      <c r="M238" s="24" t="n">
        <v>59.94</v>
      </c>
      <c r="N238" s="24" t="n">
        <v>-23.411</v>
      </c>
      <c r="O238" s="24">
        <f>V238-M238</f>
        <v/>
      </c>
      <c r="P238" s="25">
        <f>N238/L238</f>
        <v/>
      </c>
      <c r="Q238" s="23" t="n">
        <v>540792</v>
      </c>
      <c r="R238" s="23" t="n"/>
      <c r="S238" s="26" t="n">
        <v>2.3589434</v>
      </c>
      <c r="T238" s="24" t="n">
        <v>59.94</v>
      </c>
      <c r="U238" s="24" t="n">
        <v>66.16</v>
      </c>
      <c r="V238" s="24" t="n">
        <v>66.16</v>
      </c>
      <c r="W238" s="26" t="inlineStr">
        <is>
          <t>PUMA Rebound Layup Sl Womens Basketball Shoes</t>
        </is>
      </c>
      <c r="X238" s="23" t="n">
        <v>2</v>
      </c>
      <c r="Y238" s="18">
        <f>AC238-AB238</f>
        <v/>
      </c>
      <c r="Z238" s="27" t="n">
        <v>6</v>
      </c>
      <c r="AA238" s="27" t="n">
        <v>6</v>
      </c>
      <c r="AB238" s="27" t="n"/>
      <c r="AC238" s="27" t="n"/>
      <c r="AD238" s="1" t="inlineStr">
        <is>
          <t>39489159</t>
        </is>
      </c>
      <c r="AE238" s="1" t="inlineStr">
        <is>
          <t>Puma White-gray Fog-alpine Snow</t>
        </is>
      </c>
      <c r="AF238" s="4" t="n">
        <v>8.99</v>
      </c>
      <c r="AG238" s="4" t="n">
        <v>7.86</v>
      </c>
    </row>
    <row r="239" ht="47.25" customHeight="1">
      <c r="A239" s="18" t="inlineStr">
        <is>
          <t>197646177156</t>
        </is>
      </c>
      <c r="B239" s="19" t="inlineStr">
        <is>
          <t>https://www.amazon.com/dp/</t>
        </is>
      </c>
      <c r="C239" s="20" t="inlineStr">
        <is>
          <t>B0CLQ82DR8</t>
        </is>
      </c>
      <c r="D239" s="44" t="n"/>
      <c r="E239" s="23" t="inlineStr">
        <is>
          <t>?th=1&amp;psc=1&amp;tag=sdcdeals03-20</t>
        </is>
      </c>
      <c r="F239" s="19">
        <f>HYPERLINK("https://redirect.sdcdeals.com/redirect?destination=https%3A%2F%2Fwww.amazon.com%2Fdp%2FB0CLQ82DR8%3Fth%3D1%26psc%3D1%26tag%3Dsdcdeals03-20", "Amazon Link")</f>
        <v/>
      </c>
      <c r="G239" s="19" t="inlineStr">
        <is>
          <t>https://www.jcpenney.com/s?searchTerm={search_term}</t>
        </is>
      </c>
      <c r="H239" s="23" t="inlineStr">
        <is>
          <t>197646177156</t>
        </is>
      </c>
      <c r="I239" s="19">
        <f>HYPERLINK("https://www.jcpenney.com/s?searchTerm=197646177156", "Retail Link")</f>
        <v/>
      </c>
      <c r="J239" s="23" t="inlineStr">
        <is>
          <t>n/a</t>
        </is>
      </c>
      <c r="K239" s="21" t="inlineStr">
        <is>
          <t>PUMA Womens Club 5v5 Sneaker, PUMA Womens White-PUMA Womens Black-Feather Gray, 5.5</t>
        </is>
      </c>
      <c r="L239" s="24" t="n">
        <v>66.5</v>
      </c>
      <c r="M239" s="24" t="n">
        <v>92.31</v>
      </c>
      <c r="N239" s="24" t="n">
        <v>5.723500000000001</v>
      </c>
      <c r="O239" s="24">
        <f>V239-M239</f>
        <v/>
      </c>
      <c r="P239" s="25">
        <f>N239/L239</f>
        <v/>
      </c>
      <c r="Q239" s="23" t="n">
        <v>37018</v>
      </c>
      <c r="R239" s="23" t="n"/>
      <c r="S239" s="26" t="n">
        <v>1.28088422</v>
      </c>
      <c r="T239" s="24" t="n">
        <v>92.31</v>
      </c>
      <c r="U239" s="24" t="n">
        <v>59.91</v>
      </c>
      <c r="V239" s="24" t="n">
        <v>59.6</v>
      </c>
      <c r="W239" s="26" t="inlineStr">
        <is>
          <t>PUMA Club 5v5 Sd Womens Sneakers</t>
        </is>
      </c>
      <c r="X239" s="23" t="n">
        <v>2</v>
      </c>
      <c r="Y239" s="18">
        <f>AC239-AB239</f>
        <v/>
      </c>
      <c r="Z239" s="27" t="n">
        <v>38</v>
      </c>
      <c r="AA239" s="27" t="n">
        <v>106</v>
      </c>
      <c r="AB239" s="27" t="n">
        <v>2</v>
      </c>
      <c r="AC239" s="27" t="n">
        <v>245</v>
      </c>
      <c r="AD239" s="1" t="inlineStr">
        <is>
          <t>39867002</t>
        </is>
      </c>
      <c r="AE239" s="1" t="inlineStr">
        <is>
          <t>Puma White-puma Black-feather Gray</t>
        </is>
      </c>
      <c r="AF239" s="4" t="inlineStr"/>
      <c r="AG239" s="4" t="n">
        <v>6.24</v>
      </c>
    </row>
    <row r="240" ht="47.25" customHeight="1">
      <c r="A240" s="18" t="inlineStr">
        <is>
          <t>197646177224</t>
        </is>
      </c>
      <c r="B240" s="19" t="inlineStr">
        <is>
          <t>https://www.amazon.com/dp/</t>
        </is>
      </c>
      <c r="C240" s="20" t="inlineStr">
        <is>
          <t>B0CLQ5XGXD</t>
        </is>
      </c>
      <c r="D240" s="44" t="n"/>
      <c r="E240" s="23" t="inlineStr">
        <is>
          <t>?th=1&amp;psc=1&amp;tag=sdcdeals03-20</t>
        </is>
      </c>
      <c r="F240" s="19">
        <f>HYPERLINK("https://redirect.sdcdeals.com/redirect?destination=https%3A%2F%2Fwww.amazon.com%2Fdp%2FB0CLQ5XGXD%3Fth%3D1%26psc%3D1%26tag%3Dsdcdeals03-20", "Amazon Link")</f>
        <v/>
      </c>
      <c r="G240" s="19" t="inlineStr">
        <is>
          <t>https://www.jcpenney.com/s?searchTerm={search_term}</t>
        </is>
      </c>
      <c r="H240" s="23" t="inlineStr">
        <is>
          <t>197646177224</t>
        </is>
      </c>
      <c r="I240" s="19">
        <f>HYPERLINK("https://www.jcpenney.com/s?searchTerm=197646177224", "Retail Link")</f>
        <v/>
      </c>
      <c r="J240" s="23" t="inlineStr">
        <is>
          <t>n/a</t>
        </is>
      </c>
      <c r="K240" s="21" t="inlineStr">
        <is>
          <t>PUMA Womens Club 5v5 Sneaker, PUMA Womens White-PUMA Womens Black-Feather Gray, 6</t>
        </is>
      </c>
      <c r="L240" s="24" t="n">
        <v>66.5</v>
      </c>
      <c r="M240" s="24" t="n">
        <v>64.67</v>
      </c>
      <c r="N240" s="24" t="n">
        <v>-17.9705</v>
      </c>
      <c r="O240" s="24">
        <f>V240-M240</f>
        <v/>
      </c>
      <c r="P240" s="25">
        <f>N240/L240</f>
        <v/>
      </c>
      <c r="Q240" s="23" t="n">
        <v>37018</v>
      </c>
      <c r="R240" s="23" t="n"/>
      <c r="S240" s="26" t="n">
        <v>1.35363668</v>
      </c>
      <c r="T240" s="24" t="n">
        <v>64.67</v>
      </c>
      <c r="U240" s="24" t="n">
        <v>60.14</v>
      </c>
      <c r="V240" s="24" t="n">
        <v>59.82</v>
      </c>
      <c r="W240" s="26" t="inlineStr">
        <is>
          <t>PUMA Club 5v5 Sd Womens Sneakers</t>
        </is>
      </c>
      <c r="X240" s="23" t="n">
        <v>5</v>
      </c>
      <c r="Y240" s="18">
        <f>AC240-AB240</f>
        <v/>
      </c>
      <c r="Z240" s="27" t="n">
        <v>32</v>
      </c>
      <c r="AA240" s="27" t="n">
        <v>106</v>
      </c>
      <c r="AB240" s="27" t="n">
        <v>2</v>
      </c>
      <c r="AC240" s="27" t="n">
        <v>245</v>
      </c>
      <c r="AD240" s="1" t="inlineStr">
        <is>
          <t>39867002</t>
        </is>
      </c>
      <c r="AE240" s="1" t="inlineStr">
        <is>
          <t>Puma White-puma Black-feather Gray</t>
        </is>
      </c>
      <c r="AF240" s="4" t="inlineStr"/>
      <c r="AG240" s="4" t="n">
        <v>6.44</v>
      </c>
    </row>
    <row r="241" ht="47.25" customHeight="1">
      <c r="A241" s="18" t="inlineStr">
        <is>
          <t>197646177248</t>
        </is>
      </c>
      <c r="B241" s="19" t="inlineStr">
        <is>
          <t>https://www.amazon.com/dp/</t>
        </is>
      </c>
      <c r="C241" s="20" t="inlineStr">
        <is>
          <t>B0CLQ2CKH6</t>
        </is>
      </c>
      <c r="D241" s="44" t="n"/>
      <c r="E241" s="23" t="inlineStr">
        <is>
          <t>?th=1&amp;psc=1&amp;tag=sdcdeals03-20</t>
        </is>
      </c>
      <c r="F241" s="19">
        <f>HYPERLINK("https://redirect.sdcdeals.com/redirect?destination=https%3A%2F%2Fwww.amazon.com%2Fdp%2FB0CLQ2CKH6%3Fth%3D1%26psc%3D1%26tag%3Dsdcdeals03-20", "Amazon Link")</f>
        <v/>
      </c>
      <c r="G241" s="19" t="inlineStr">
        <is>
          <t>https://www.jcpenney.com/s?searchTerm={search_term}</t>
        </is>
      </c>
      <c r="H241" s="23" t="inlineStr">
        <is>
          <t>197646177248</t>
        </is>
      </c>
      <c r="I241" s="19">
        <f>HYPERLINK("https://www.jcpenney.com/s?searchTerm=197646177248", "Retail Link")</f>
        <v/>
      </c>
      <c r="J241" s="23" t="inlineStr">
        <is>
          <t>n/a</t>
        </is>
      </c>
      <c r="K241" s="21" t="inlineStr">
        <is>
          <t>PUMA Womens Club 5v5 Sneaker, PUMA Womens White-PUMA Womens Black-Feather Gray, 6.5</t>
        </is>
      </c>
      <c r="L241" s="24" t="n">
        <v>66.5</v>
      </c>
      <c r="M241" s="24" t="n">
        <v>60</v>
      </c>
      <c r="N241" s="24" t="n">
        <v>-21.74</v>
      </c>
      <c r="O241" s="24">
        <f>V241-M241</f>
        <v/>
      </c>
      <c r="P241" s="25">
        <f>N241/L241</f>
        <v/>
      </c>
      <c r="Q241" s="23" t="n">
        <v>37018</v>
      </c>
      <c r="R241" s="23" t="n"/>
      <c r="S241" s="26" t="n">
        <v>1.41757066</v>
      </c>
      <c r="T241" s="24" t="n">
        <v>60</v>
      </c>
      <c r="U241" s="24" t="n">
        <v>59.59</v>
      </c>
      <c r="V241" s="24" t="n">
        <v>59.85</v>
      </c>
      <c r="W241" s="26" t="inlineStr">
        <is>
          <t>PUMA Club 5v5 Sd Womens Sneakers</t>
        </is>
      </c>
      <c r="X241" s="23" t="n">
        <v>5</v>
      </c>
      <c r="Y241" s="18">
        <f>AC241-AB241</f>
        <v/>
      </c>
      <c r="Z241" s="27" t="n">
        <v>32</v>
      </c>
      <c r="AA241" s="27" t="n">
        <v>105</v>
      </c>
      <c r="AB241" s="27" t="n">
        <v>7</v>
      </c>
      <c r="AC241" s="27" t="n">
        <v>245</v>
      </c>
      <c r="AD241" s="1" t="inlineStr">
        <is>
          <t>39867002</t>
        </is>
      </c>
      <c r="AE241" s="1" t="inlineStr">
        <is>
          <t>Puma White-puma Black-feather Gray</t>
        </is>
      </c>
      <c r="AF241" s="4" t="n">
        <v>9</v>
      </c>
      <c r="AG241" s="4" t="n">
        <v>6.24</v>
      </c>
    </row>
    <row r="242" ht="47.25" customHeight="1">
      <c r="A242" s="18" t="inlineStr">
        <is>
          <t>197646177200</t>
        </is>
      </c>
      <c r="B242" s="19" t="inlineStr">
        <is>
          <t>https://www.amazon.com/dp/</t>
        </is>
      </c>
      <c r="C242" s="20" t="inlineStr">
        <is>
          <t>B0CLQ9KJ1Z</t>
        </is>
      </c>
      <c r="D242" s="44" t="n"/>
      <c r="E242" s="23" t="inlineStr">
        <is>
          <t>?th=1&amp;psc=1&amp;tag=sdcdeals03-20</t>
        </is>
      </c>
      <c r="F242" s="19">
        <f>HYPERLINK("https://redirect.sdcdeals.com/redirect?destination=https%3A%2F%2Fwww.amazon.com%2Fdp%2FB0CLQ9KJ1Z%3Fth%3D1%26psc%3D1%26tag%3Dsdcdeals03-20", "Amazon Link")</f>
        <v/>
      </c>
      <c r="G242" s="19" t="inlineStr">
        <is>
          <t>https://www.jcpenney.com/s?searchTerm={search_term}</t>
        </is>
      </c>
      <c r="H242" s="23" t="inlineStr">
        <is>
          <t>197646177200</t>
        </is>
      </c>
      <c r="I242" s="19">
        <f>HYPERLINK("https://www.jcpenney.com/s?searchTerm=197646177200", "Retail Link")</f>
        <v/>
      </c>
      <c r="J242" s="23" t="inlineStr">
        <is>
          <t>n/a</t>
        </is>
      </c>
      <c r="K242" s="21" t="inlineStr">
        <is>
          <t>PUMA Womens Club 5v5 Sneaker, PUMA Womens White-PUMA Womens Black-Feather Gray, 7</t>
        </is>
      </c>
      <c r="L242" s="24" t="n">
        <v>66.5</v>
      </c>
      <c r="M242" s="24" t="n">
        <v>60</v>
      </c>
      <c r="N242" s="24" t="n">
        <v>-22.11</v>
      </c>
      <c r="O242" s="24">
        <f>V242-M242</f>
        <v/>
      </c>
      <c r="P242" s="25">
        <f>N242/L242</f>
        <v/>
      </c>
      <c r="Q242" s="23" t="n">
        <v>41667</v>
      </c>
      <c r="R242" s="23" t="n">
        <v>50</v>
      </c>
      <c r="S242" s="26" t="n">
        <v>1.46166306</v>
      </c>
      <c r="T242" s="24" t="n">
        <v>60</v>
      </c>
      <c r="U242" s="24" t="n">
        <v>60.11</v>
      </c>
      <c r="V242" s="24" t="n">
        <v>60.02</v>
      </c>
      <c r="W242" s="26" t="inlineStr">
        <is>
          <t>PUMA Club 5v5 Sd Womens Sneakers</t>
        </is>
      </c>
      <c r="X242" s="23" t="n">
        <v>4</v>
      </c>
      <c r="Y242" s="18">
        <f>AC242-AB242</f>
        <v/>
      </c>
      <c r="Z242" s="27" t="n">
        <v>28</v>
      </c>
      <c r="AA242" s="27" t="n">
        <v>75</v>
      </c>
      <c r="AB242" s="27" t="n">
        <v>9</v>
      </c>
      <c r="AC242" s="27" t="n">
        <v>245</v>
      </c>
      <c r="AD242" s="1" t="inlineStr">
        <is>
          <t>39867002</t>
        </is>
      </c>
      <c r="AE242" s="1" t="inlineStr">
        <is>
          <t>Puma White-puma Black-feather Gray</t>
        </is>
      </c>
      <c r="AF242" s="4" t="n">
        <v>9</v>
      </c>
      <c r="AG242" s="4" t="n">
        <v>6.61</v>
      </c>
    </row>
    <row r="243" ht="47.25" customHeight="1">
      <c r="A243" s="18" t="inlineStr">
        <is>
          <t>197646177170</t>
        </is>
      </c>
      <c r="B243" s="19" t="inlineStr">
        <is>
          <t>https://www.amazon.com/dp/</t>
        </is>
      </c>
      <c r="C243" s="20" t="inlineStr">
        <is>
          <t>B0CLQ5XGXC</t>
        </is>
      </c>
      <c r="D243" s="44" t="n"/>
      <c r="E243" s="23" t="inlineStr">
        <is>
          <t>?th=1&amp;psc=1&amp;tag=sdcdeals03-20</t>
        </is>
      </c>
      <c r="F243" s="19">
        <f>HYPERLINK("https://redirect.sdcdeals.com/redirect?destination=https%3A%2F%2Fwww.amazon.com%2Fdp%2FB0CLQ5XGXC%3Fth%3D1%26psc%3D1%26tag%3Dsdcdeals03-20", "Amazon Link")</f>
        <v/>
      </c>
      <c r="G243" s="19" t="inlineStr">
        <is>
          <t>https://www.jcpenney.com/s?searchTerm={search_term}</t>
        </is>
      </c>
      <c r="H243" s="23" t="inlineStr">
        <is>
          <t>197646177170</t>
        </is>
      </c>
      <c r="I243" s="19">
        <f>HYPERLINK("https://www.jcpenney.com/s?searchTerm=197646177170", "Retail Link")</f>
        <v/>
      </c>
      <c r="J243" s="23" t="inlineStr">
        <is>
          <t>n/a</t>
        </is>
      </c>
      <c r="K243" s="21" t="inlineStr">
        <is>
          <t>PUMA Womens Club 5v5 Sneaker, PUMA Womens White-PUMA Womens Black-Feather Gray, 7.5</t>
        </is>
      </c>
      <c r="L243" s="24" t="n">
        <v>66.5</v>
      </c>
      <c r="M243" s="24" t="n">
        <v>60</v>
      </c>
      <c r="N243" s="24" t="n">
        <v>-22.53</v>
      </c>
      <c r="O243" s="24">
        <f>V243-M243</f>
        <v/>
      </c>
      <c r="P243" s="25">
        <f>N243/L243</f>
        <v/>
      </c>
      <c r="Q243" s="23" t="n">
        <v>41667</v>
      </c>
      <c r="R243" s="23" t="n">
        <v>50</v>
      </c>
      <c r="S243" s="26" t="n">
        <v>1.52780166</v>
      </c>
      <c r="T243" s="24" t="n">
        <v>60</v>
      </c>
      <c r="U243" s="24" t="n">
        <v>59.92</v>
      </c>
      <c r="V243" s="24" t="n">
        <v>59.96</v>
      </c>
      <c r="W243" s="26" t="inlineStr">
        <is>
          <t>PUMA Club 5v5 Sd Womens Sneakers</t>
        </is>
      </c>
      <c r="X243" s="23" t="n">
        <v>4</v>
      </c>
      <c r="Y243" s="18">
        <f>AC243-AB243</f>
        <v/>
      </c>
      <c r="Z243" s="27" t="n">
        <v>38</v>
      </c>
      <c r="AA243" s="27" t="n">
        <v>112</v>
      </c>
      <c r="AB243" s="27" t="n">
        <v>4</v>
      </c>
      <c r="AC243" s="27" t="n">
        <v>245</v>
      </c>
      <c r="AD243" s="1" t="inlineStr">
        <is>
          <t>39867002</t>
        </is>
      </c>
      <c r="AE243" s="1" t="inlineStr">
        <is>
          <t>Puma White-puma Black-feather Gray</t>
        </is>
      </c>
      <c r="AF243" s="4" t="n">
        <v>9</v>
      </c>
      <c r="AG243" s="4" t="n">
        <v>7.03</v>
      </c>
    </row>
    <row r="244" ht="47.25" customHeight="1">
      <c r="A244" s="18" t="inlineStr">
        <is>
          <t>197646177255</t>
        </is>
      </c>
      <c r="B244" s="19" t="inlineStr">
        <is>
          <t>https://www.amazon.com/dp/</t>
        </is>
      </c>
      <c r="C244" s="20" t="inlineStr">
        <is>
          <t>B0CLQ4HF5P</t>
        </is>
      </c>
      <c r="D244" s="44" t="n"/>
      <c r="E244" s="23" t="inlineStr">
        <is>
          <t>?th=1&amp;psc=1&amp;tag=sdcdeals03-20</t>
        </is>
      </c>
      <c r="F244" s="19">
        <f>HYPERLINK("https://redirect.sdcdeals.com/redirect?destination=https%3A%2F%2Fwww.amazon.com%2Fdp%2FB0CLQ4HF5P%3Fth%3D1%26psc%3D1%26tag%3Dsdcdeals03-20", "Amazon Link")</f>
        <v/>
      </c>
      <c r="G244" s="19" t="inlineStr">
        <is>
          <t>https://www.jcpenney.com/s?searchTerm={search_term}</t>
        </is>
      </c>
      <c r="H244" s="23" t="inlineStr">
        <is>
          <t>197646177255</t>
        </is>
      </c>
      <c r="I244" s="19">
        <f>HYPERLINK("https://www.jcpenney.com/s?searchTerm=197646177255", "Retail Link")</f>
        <v/>
      </c>
      <c r="J244" s="23" t="inlineStr">
        <is>
          <t>n/a</t>
        </is>
      </c>
      <c r="K244" s="21" t="inlineStr">
        <is>
          <t>PUMA Womens Club 5v5 Sneaker, PUMA Womens White-PUMA Womens Black-Feather Gray, 8</t>
        </is>
      </c>
      <c r="L244" s="24" t="n">
        <v>66.5</v>
      </c>
      <c r="M244" s="24" t="n">
        <v>64.67</v>
      </c>
      <c r="N244" s="24" t="n">
        <v>-18.1405</v>
      </c>
      <c r="O244" s="24">
        <f>V244-M244</f>
        <v/>
      </c>
      <c r="P244" s="25">
        <f>N244/L244</f>
        <v/>
      </c>
      <c r="Q244" s="23" t="n">
        <v>37018</v>
      </c>
      <c r="R244" s="23" t="n">
        <v>50</v>
      </c>
      <c r="S244" s="26" t="n">
        <v>1.55866634</v>
      </c>
      <c r="T244" s="24" t="n">
        <v>64.67</v>
      </c>
      <c r="U244" s="24" t="n">
        <v>60.05</v>
      </c>
      <c r="V244" s="24" t="n">
        <v>59.81</v>
      </c>
      <c r="W244" s="26" t="inlineStr">
        <is>
          <t>PUMA Club 5v5 Sd Womens Sneakers</t>
        </is>
      </c>
      <c r="X244" s="23" t="n">
        <v>4</v>
      </c>
      <c r="Y244" s="18">
        <f>AC244-AB244</f>
        <v/>
      </c>
      <c r="Z244" s="27" t="n">
        <v>40</v>
      </c>
      <c r="AA244" s="27" t="n">
        <v>100</v>
      </c>
      <c r="AB244" s="27" t="n">
        <v>4</v>
      </c>
      <c r="AC244" s="27" t="n">
        <v>245</v>
      </c>
      <c r="AD244" s="1" t="inlineStr">
        <is>
          <t>39867002</t>
        </is>
      </c>
      <c r="AE244" s="1" t="inlineStr">
        <is>
          <t>Puma White-puma Black-feather Gray</t>
        </is>
      </c>
      <c r="AF244" s="4" t="inlineStr"/>
      <c r="AG244" s="4" t="n">
        <v>6.61</v>
      </c>
    </row>
    <row r="245" ht="47.25" customHeight="1">
      <c r="A245" s="18" t="inlineStr">
        <is>
          <t>197646177231</t>
        </is>
      </c>
      <c r="B245" s="19" t="inlineStr">
        <is>
          <t>https://www.amazon.com/dp/</t>
        </is>
      </c>
      <c r="C245" s="20" t="inlineStr">
        <is>
          <t>B0CLQ6SWCS</t>
        </is>
      </c>
      <c r="D245" s="44" t="n"/>
      <c r="E245" s="23" t="inlineStr">
        <is>
          <t>?th=1&amp;psc=1&amp;tag=sdcdeals03-20</t>
        </is>
      </c>
      <c r="F245" s="19">
        <f>HYPERLINK("https://redirect.sdcdeals.com/redirect?destination=https%3A%2F%2Fwww.amazon.com%2Fdp%2FB0CLQ6SWCS%3Fth%3D1%26psc%3D1%26tag%3Dsdcdeals03-20", "Amazon Link")</f>
        <v/>
      </c>
      <c r="G245" s="19" t="inlineStr">
        <is>
          <t>https://www.jcpenney.com/s?searchTerm={search_term}</t>
        </is>
      </c>
      <c r="H245" s="23" t="inlineStr">
        <is>
          <t>197646177231</t>
        </is>
      </c>
      <c r="I245" s="19">
        <f>HYPERLINK("https://www.jcpenney.com/s?searchTerm=197646177231", "Retail Link")</f>
        <v/>
      </c>
      <c r="J245" s="23" t="inlineStr">
        <is>
          <t>n/a</t>
        </is>
      </c>
      <c r="K245" s="21" t="inlineStr">
        <is>
          <t>PUMA Womens Club 5v5 Sneaker, PUMA Womens White-PUMA Womens Black-Feather Gray, 8.5</t>
        </is>
      </c>
      <c r="L245" s="24" t="n">
        <v>66.5</v>
      </c>
      <c r="M245" s="24" t="n">
        <v>60</v>
      </c>
      <c r="N245" s="24" t="n">
        <v>-22.11</v>
      </c>
      <c r="O245" s="24">
        <f>V245-M245</f>
        <v/>
      </c>
      <c r="P245" s="25">
        <f>N245/L245</f>
        <v/>
      </c>
      <c r="Q245" s="23" t="n">
        <v>41667</v>
      </c>
      <c r="R245" s="23" t="n">
        <v>50</v>
      </c>
      <c r="S245" s="26" t="n">
        <v>1.60716798</v>
      </c>
      <c r="T245" s="24" t="n">
        <v>60</v>
      </c>
      <c r="U245" s="24" t="n">
        <v>60</v>
      </c>
      <c r="V245" s="24" t="n">
        <v>59.81</v>
      </c>
      <c r="W245" s="26" t="inlineStr">
        <is>
          <t>PUMA Club 5v5 Sd Womens Sneakers</t>
        </is>
      </c>
      <c r="X245" s="23" t="n">
        <v>5</v>
      </c>
      <c r="Y245" s="18">
        <f>AC245-AB245</f>
        <v/>
      </c>
      <c r="Z245" s="27" t="n">
        <v>39</v>
      </c>
      <c r="AA245" s="27" t="n">
        <v>107</v>
      </c>
      <c r="AB245" s="27" t="n">
        <v>6</v>
      </c>
      <c r="AC245" s="27" t="n">
        <v>245</v>
      </c>
      <c r="AD245" s="1" t="inlineStr">
        <is>
          <t>39867002</t>
        </is>
      </c>
      <c r="AE245" s="1" t="inlineStr">
        <is>
          <t>Puma White-puma Black-feather Gray</t>
        </is>
      </c>
      <c r="AF245" s="4" t="n">
        <v>9</v>
      </c>
      <c r="AG245" s="4" t="n">
        <v>6.61</v>
      </c>
    </row>
    <row r="246" ht="47.25" customHeight="1">
      <c r="A246" s="18" t="inlineStr">
        <is>
          <t>197646177149</t>
        </is>
      </c>
      <c r="B246" s="19" t="inlineStr">
        <is>
          <t>https://www.amazon.com/dp/</t>
        </is>
      </c>
      <c r="C246" s="20" t="inlineStr">
        <is>
          <t>B0CLPZ28X1</t>
        </is>
      </c>
      <c r="D246" s="44" t="n"/>
      <c r="E246" s="23" t="inlineStr">
        <is>
          <t>?th=1&amp;psc=1&amp;tag=sdcdeals03-20</t>
        </is>
      </c>
      <c r="F246" s="19">
        <f>HYPERLINK("https://redirect.sdcdeals.com/redirect?destination=https%3A%2F%2Fwww.amazon.com%2Fdp%2FB0CLPZ28X1%3Fth%3D1%26psc%3D1%26tag%3Dsdcdeals03-20", "Amazon Link")</f>
        <v/>
      </c>
      <c r="G246" s="19" t="inlineStr">
        <is>
          <t>https://www.jcpenney.com/s?searchTerm={search_term}</t>
        </is>
      </c>
      <c r="H246" s="23" t="inlineStr">
        <is>
          <t>197646177149</t>
        </is>
      </c>
      <c r="I246" s="19">
        <f>HYPERLINK("https://www.jcpenney.com/s?searchTerm=197646177149", "Retail Link")</f>
        <v/>
      </c>
      <c r="J246" s="23" t="inlineStr">
        <is>
          <t>n/a</t>
        </is>
      </c>
      <c r="K246" s="21" t="inlineStr">
        <is>
          <t>PUMA Womens Club 5v5 Sneaker, PUMA Womens White-PUMA Womens Black-Feather Gray, 9</t>
        </is>
      </c>
      <c r="L246" s="24" t="n">
        <v>66.5</v>
      </c>
      <c r="M246" s="24" t="n">
        <v>80</v>
      </c>
      <c r="N246" s="24" t="n">
        <v>-6.039999999999999</v>
      </c>
      <c r="O246" s="24">
        <f>V246-M246</f>
        <v/>
      </c>
      <c r="P246" s="25">
        <f>N246/L246</f>
        <v/>
      </c>
      <c r="Q246" s="23" t="n">
        <v>41667</v>
      </c>
      <c r="R246" s="23" t="n">
        <v>50</v>
      </c>
      <c r="S246" s="26" t="n">
        <v>1.62921418</v>
      </c>
      <c r="T246" s="24" t="n">
        <v>80</v>
      </c>
      <c r="U246" s="24" t="n">
        <v>59.71</v>
      </c>
      <c r="V246" s="24" t="n">
        <v>59.79</v>
      </c>
      <c r="W246" s="26" t="inlineStr">
        <is>
          <t>PUMA Club 5v5 Sd Womens Sneakers</t>
        </is>
      </c>
      <c r="X246" s="23" t="n">
        <v>4</v>
      </c>
      <c r="Y246" s="18">
        <f>AC246-AB246</f>
        <v/>
      </c>
      <c r="Z246" s="27" t="n">
        <v>34</v>
      </c>
      <c r="AA246" s="27" t="n">
        <v>87</v>
      </c>
      <c r="AB246" s="27" t="n">
        <v>6</v>
      </c>
      <c r="AC246" s="27" t="n">
        <v>245</v>
      </c>
      <c r="AD246" s="1" t="inlineStr">
        <is>
          <t>39867002</t>
        </is>
      </c>
      <c r="AE246" s="1" t="inlineStr">
        <is>
          <t>Puma White-puma Black-feather Gray</t>
        </is>
      </c>
      <c r="AF246" s="4" t="inlineStr"/>
      <c r="AG246" s="4" t="n">
        <v>7.54</v>
      </c>
    </row>
    <row r="247" ht="47.25" customHeight="1">
      <c r="A247" s="18" t="inlineStr">
        <is>
          <t>197646177163</t>
        </is>
      </c>
      <c r="B247" s="19" t="inlineStr">
        <is>
          <t>https://www.amazon.com/dp/</t>
        </is>
      </c>
      <c r="C247" s="20" t="inlineStr">
        <is>
          <t>B0CLQB7ZFX</t>
        </is>
      </c>
      <c r="D247" s="44" t="n"/>
      <c r="E247" s="23" t="inlineStr">
        <is>
          <t>?th=1&amp;psc=1&amp;tag=sdcdeals03-20</t>
        </is>
      </c>
      <c r="F247" s="19">
        <f>HYPERLINK("https://redirect.sdcdeals.com/redirect?destination=https%3A%2F%2Fwww.amazon.com%2Fdp%2FB0CLQB7ZFX%3Fth%3D1%26psc%3D1%26tag%3Dsdcdeals03-20", "Amazon Link")</f>
        <v/>
      </c>
      <c r="G247" s="19" t="inlineStr">
        <is>
          <t>https://www.jcpenney.com/s?searchTerm={search_term}</t>
        </is>
      </c>
      <c r="H247" s="23" t="inlineStr">
        <is>
          <t>197646177163</t>
        </is>
      </c>
      <c r="I247" s="19">
        <f>HYPERLINK("https://www.jcpenney.com/s?searchTerm=197646177163", "Retail Link")</f>
        <v/>
      </c>
      <c r="J247" s="23" t="inlineStr">
        <is>
          <t>n/a</t>
        </is>
      </c>
      <c r="K247" s="21" t="inlineStr">
        <is>
          <t>PUMA Womens Club 5v5 Sneaker, PUMA Womens White-PUMA Womens Black-Feather Gray, 9.5</t>
        </is>
      </c>
      <c r="L247" s="24" t="n">
        <v>66.5</v>
      </c>
      <c r="M247" s="24" t="n">
        <v>60</v>
      </c>
      <c r="N247" s="24" t="n">
        <v>-23.04</v>
      </c>
      <c r="O247" s="24">
        <f>V247-M247</f>
        <v/>
      </c>
      <c r="P247" s="25">
        <f>N247/L247</f>
        <v/>
      </c>
      <c r="Q247" s="23" t="n">
        <v>41667</v>
      </c>
      <c r="R247" s="23" t="n"/>
      <c r="S247" s="26" t="n">
        <v>1.6865343</v>
      </c>
      <c r="T247" s="24" t="n">
        <v>60</v>
      </c>
      <c r="U247" s="24" t="n">
        <v>59.88</v>
      </c>
      <c r="V247" s="24" t="n">
        <v>59.75</v>
      </c>
      <c r="W247" s="26" t="inlineStr">
        <is>
          <t>PUMA Club 5v5 Sd Womens Sneakers</t>
        </is>
      </c>
      <c r="X247" s="23" t="n">
        <v>4</v>
      </c>
      <c r="Y247" s="18">
        <f>AC247-AB247</f>
        <v/>
      </c>
      <c r="Z247" s="27" t="n">
        <v>29</v>
      </c>
      <c r="AA247" s="27" t="n">
        <v>87</v>
      </c>
      <c r="AB247" s="27" t="n">
        <v>3</v>
      </c>
      <c r="AC247" s="27" t="n">
        <v>245</v>
      </c>
      <c r="AD247" s="1" t="inlineStr">
        <is>
          <t>39867002</t>
        </is>
      </c>
      <c r="AE247" s="1" t="inlineStr">
        <is>
          <t>Puma White-puma Black-feather Gray</t>
        </is>
      </c>
      <c r="AF247" s="4" t="n">
        <v>9</v>
      </c>
      <c r="AG247" s="4" t="n">
        <v>7.54</v>
      </c>
    </row>
    <row r="248" ht="47.25" customHeight="1">
      <c r="A248" s="18" t="inlineStr">
        <is>
          <t>197646177187</t>
        </is>
      </c>
      <c r="B248" s="19" t="inlineStr">
        <is>
          <t>https://www.amazon.com/dp/</t>
        </is>
      </c>
      <c r="C248" s="20" t="inlineStr">
        <is>
          <t>B0CLQ6SZY6</t>
        </is>
      </c>
      <c r="D248" s="44" t="n"/>
      <c r="E248" s="23" t="inlineStr">
        <is>
          <t>?th=1&amp;psc=1&amp;tag=sdcdeals03-20</t>
        </is>
      </c>
      <c r="F248" s="19">
        <f>HYPERLINK("https://redirect.sdcdeals.com/redirect?destination=https%3A%2F%2Fwww.amazon.com%2Fdp%2FB0CLQ6SZY6%3Fth%3D1%26psc%3D1%26tag%3Dsdcdeals03-20", "Amazon Link")</f>
        <v/>
      </c>
      <c r="G248" s="19" t="inlineStr">
        <is>
          <t>https://www.jcpenney.com/s?searchTerm={search_term}</t>
        </is>
      </c>
      <c r="H248" s="23" t="inlineStr">
        <is>
          <t>197646177187</t>
        </is>
      </c>
      <c r="I248" s="19">
        <f>HYPERLINK("https://www.jcpenney.com/s?searchTerm=197646177187", "Retail Link")</f>
        <v/>
      </c>
      <c r="J248" s="23" t="inlineStr">
        <is>
          <t>n/a</t>
        </is>
      </c>
      <c r="K248" s="21" t="inlineStr">
        <is>
          <t>PUMA Womens Club 5v5 Sneaker, PUMA Womens White-PUMA Womens Black-Feather Gray, 10</t>
        </is>
      </c>
      <c r="L248" s="24" t="n">
        <v>66.5</v>
      </c>
      <c r="M248" s="24" t="n">
        <v>60</v>
      </c>
      <c r="N248" s="24" t="n">
        <v>-22.53</v>
      </c>
      <c r="O248" s="24">
        <f>V248-M248</f>
        <v/>
      </c>
      <c r="P248" s="25">
        <f>N248/L248</f>
        <v/>
      </c>
      <c r="Q248" s="23" t="n">
        <v>41667</v>
      </c>
      <c r="R248" s="23" t="n"/>
      <c r="S248" s="26" t="n">
        <v>1.653465</v>
      </c>
      <c r="T248" s="24" t="n">
        <v>60</v>
      </c>
      <c r="U248" s="24" t="n">
        <v>59.92</v>
      </c>
      <c r="V248" s="24" t="n">
        <v>60.12</v>
      </c>
      <c r="W248" s="26" t="inlineStr">
        <is>
          <t>PUMA Club 5v5 Sd Womens Sneakers</t>
        </is>
      </c>
      <c r="X248" s="23" t="n">
        <v>4</v>
      </c>
      <c r="Y248" s="18">
        <f>AC248-AB248</f>
        <v/>
      </c>
      <c r="Z248" s="27" t="n">
        <v>39</v>
      </c>
      <c r="AA248" s="27" t="n">
        <v>102</v>
      </c>
      <c r="AB248" s="27" t="n">
        <v>2</v>
      </c>
      <c r="AC248" s="27" t="n">
        <v>245</v>
      </c>
      <c r="AD248" s="1" t="inlineStr">
        <is>
          <t>39867002</t>
        </is>
      </c>
      <c r="AE248" s="1" t="inlineStr">
        <is>
          <t>Puma White-puma Black-feather Gray</t>
        </is>
      </c>
      <c r="AF248" s="4" t="n">
        <v>9</v>
      </c>
      <c r="AG248" s="4" t="n">
        <v>7.03</v>
      </c>
    </row>
    <row r="249" ht="47.25" customHeight="1">
      <c r="A249" s="18" t="inlineStr">
        <is>
          <t>197646177194</t>
        </is>
      </c>
      <c r="B249" s="19" t="inlineStr">
        <is>
          <t>https://www.amazon.com/dp/</t>
        </is>
      </c>
      <c r="C249" s="20" t="inlineStr">
        <is>
          <t>B0CLPWNHM2</t>
        </is>
      </c>
      <c r="D249" s="44" t="n"/>
      <c r="E249" s="23" t="inlineStr">
        <is>
          <t>?th=1&amp;psc=1&amp;tag=sdcdeals03-20</t>
        </is>
      </c>
      <c r="F249" s="19">
        <f>HYPERLINK("https://redirect.sdcdeals.com/redirect?destination=https%3A%2F%2Fwww.amazon.com%2Fdp%2FB0CLPWNHM2%3Fth%3D1%26psc%3D1%26tag%3Dsdcdeals03-20", "Amazon Link")</f>
        <v/>
      </c>
      <c r="G249" s="19" t="inlineStr">
        <is>
          <t>https://www.jcpenney.com/s?searchTerm={search_term}</t>
        </is>
      </c>
      <c r="H249" s="23" t="inlineStr">
        <is>
          <t>197646177194</t>
        </is>
      </c>
      <c r="I249" s="19">
        <f>HYPERLINK("https://www.jcpenney.com/s?searchTerm=197646177194", "Retail Link")</f>
        <v/>
      </c>
      <c r="J249" s="23" t="inlineStr">
        <is>
          <t>n/a</t>
        </is>
      </c>
      <c r="K249" s="21" t="inlineStr">
        <is>
          <t>PUMA Womens Club 5v5 Sneaker, PUMA Womens White-PUMA Womens Black-Feather Gray, 11</t>
        </is>
      </c>
      <c r="L249" s="24" t="n">
        <v>66.5</v>
      </c>
      <c r="M249" s="24" t="n">
        <v>64.78</v>
      </c>
      <c r="N249" s="24" t="n">
        <v>-19.057</v>
      </c>
      <c r="O249" s="24">
        <f>V249-M249</f>
        <v/>
      </c>
      <c r="P249" s="25">
        <f>N249/L249</f>
        <v/>
      </c>
      <c r="Q249" s="23" t="n">
        <v>37018</v>
      </c>
      <c r="R249" s="23" t="n"/>
      <c r="S249" s="26" t="n">
        <v>1.81660688</v>
      </c>
      <c r="T249" s="24" t="n">
        <v>64.78</v>
      </c>
      <c r="U249" s="24" t="n">
        <v>60</v>
      </c>
      <c r="V249" s="24" t="n">
        <v>60</v>
      </c>
      <c r="W249" s="26" t="inlineStr">
        <is>
          <t>PUMA Club 5v5 Sd Womens Sneakers</t>
        </is>
      </c>
      <c r="X249" s="23" t="n">
        <v>2</v>
      </c>
      <c r="Y249" s="18">
        <f>AC249-AB249</f>
        <v/>
      </c>
      <c r="Z249" s="27" t="n">
        <v>34</v>
      </c>
      <c r="AA249" s="27" t="n">
        <v>103</v>
      </c>
      <c r="AB249" s="27" t="n">
        <v>2</v>
      </c>
      <c r="AC249" s="27" t="n">
        <v>245</v>
      </c>
      <c r="AD249" s="1" t="inlineStr">
        <is>
          <t>39867002</t>
        </is>
      </c>
      <c r="AE249" s="1" t="inlineStr">
        <is>
          <t>Puma White-puma Black-feather Gray</t>
        </is>
      </c>
      <c r="AF249" s="4" t="inlineStr"/>
      <c r="AG249" s="4" t="n">
        <v>7.62</v>
      </c>
    </row>
    <row r="250" ht="47.25" customHeight="1">
      <c r="A250" s="18" t="inlineStr">
        <is>
          <t>197670553834</t>
        </is>
      </c>
      <c r="B250" s="19" t="inlineStr">
        <is>
          <t>https://www.amazon.com/dp/</t>
        </is>
      </c>
      <c r="C250" s="20" t="inlineStr">
        <is>
          <t>B0D32B5YZ4</t>
        </is>
      </c>
      <c r="D250" s="44" t="n"/>
      <c r="E250" s="23" t="inlineStr">
        <is>
          <t>?th=1&amp;psc=1&amp;tag=sdcdeals03-20</t>
        </is>
      </c>
      <c r="F250" s="19">
        <f>HYPERLINK("https://redirect.sdcdeals.com/redirect?destination=https%3A%2F%2Fwww.amazon.com%2Fdp%2FB0D32B5YZ4%3Fth%3D1%26psc%3D1%26tag%3Dsdcdeals03-20", "Amazon Link")</f>
        <v/>
      </c>
      <c r="G250" s="19" t="inlineStr">
        <is>
          <t>https://www.jcpenney.com/s?searchTerm={search_term}</t>
        </is>
      </c>
      <c r="H250" s="23" t="inlineStr">
        <is>
          <t>197670553834</t>
        </is>
      </c>
      <c r="I250" s="19">
        <f>HYPERLINK("https://www.jcpenney.com/s?searchTerm=197670553834", "Retail Link")</f>
        <v/>
      </c>
      <c r="J250" s="23" t="inlineStr">
        <is>
          <t>n/a</t>
        </is>
      </c>
      <c r="K250" s="21" t="inlineStr">
        <is>
          <t>PUMA Women's Karmen II Idol Sneaker, Suede-Toasted Almond-Toasted Almond, 5.5</t>
        </is>
      </c>
      <c r="L250" s="24" t="n"/>
      <c r="M250" s="24" t="n">
        <v>51.34</v>
      </c>
      <c r="N250" s="24" t="n"/>
      <c r="O250" s="24">
        <f>V250-M250</f>
        <v/>
      </c>
      <c r="P250" s="25">
        <f>N250/L250</f>
        <v/>
      </c>
      <c r="Q250" s="23" t="n">
        <v>37459</v>
      </c>
      <c r="R250" s="23" t="n"/>
      <c r="S250" s="26" t="n">
        <v>1.9400656</v>
      </c>
      <c r="T250" s="24" t="n">
        <v>51.34</v>
      </c>
      <c r="U250" s="24" t="n">
        <v>60.74</v>
      </c>
      <c r="V250" s="24" t="n">
        <v>66.8</v>
      </c>
      <c r="W250" s="26" t="inlineStr">
        <is>
          <t>PUMA Karmen Ii Idol Sd Womens Sneakers</t>
        </is>
      </c>
      <c r="X250" s="23" t="n">
        <v>2</v>
      </c>
      <c r="Y250" s="18">
        <f>AC250-AB250</f>
        <v/>
      </c>
      <c r="Z250" s="27" t="n">
        <v>23</v>
      </c>
      <c r="AA250" s="27" t="n">
        <v>56</v>
      </c>
      <c r="AB250" s="27" t="n">
        <v>0</v>
      </c>
      <c r="AC250" s="27" t="n">
        <v>50</v>
      </c>
      <c r="AD250" s="1" t="inlineStr">
        <is>
          <t>39746201</t>
        </is>
      </c>
      <c r="AE250" s="1" t="inlineStr">
        <is>
          <t>Suede-toasted Almond-toasted Almond</t>
        </is>
      </c>
      <c r="AF250" s="4" t="n">
        <v>7.7</v>
      </c>
      <c r="AG250" s="4" t="n">
        <v>7.7</v>
      </c>
    </row>
    <row r="251" ht="47.25" customHeight="1">
      <c r="A251" s="18" t="inlineStr">
        <is>
          <t>197670553841</t>
        </is>
      </c>
      <c r="B251" s="19" t="inlineStr">
        <is>
          <t>https://www.amazon.com/dp/</t>
        </is>
      </c>
      <c r="C251" s="20" t="inlineStr">
        <is>
          <t>B0D325MW6F</t>
        </is>
      </c>
      <c r="D251" s="44" t="n"/>
      <c r="E251" s="23" t="inlineStr">
        <is>
          <t>?th=1&amp;psc=1&amp;tag=sdcdeals03-20</t>
        </is>
      </c>
      <c r="F251" s="19">
        <f>HYPERLINK("https://redirect.sdcdeals.com/redirect?destination=https%3A%2F%2Fwww.amazon.com%2Fdp%2FB0D325MW6F%3Fth%3D1%26psc%3D1%26tag%3Dsdcdeals03-20", "Amazon Link")</f>
        <v/>
      </c>
      <c r="G251" s="19" t="inlineStr">
        <is>
          <t>https://www.jcpenney.com/s?searchTerm={search_term}</t>
        </is>
      </c>
      <c r="H251" s="23" t="inlineStr">
        <is>
          <t>197670553841</t>
        </is>
      </c>
      <c r="I251" s="19">
        <f>HYPERLINK("https://www.jcpenney.com/s?searchTerm=197670553841", "Retail Link")</f>
        <v/>
      </c>
      <c r="J251" s="23" t="inlineStr">
        <is>
          <t>n/a</t>
        </is>
      </c>
      <c r="K251" s="21" t="inlineStr">
        <is>
          <t>PUMA Women's Karmen II Idol Sneaker, Suede-Toasted Almond-Toasted Almond, 6</t>
        </is>
      </c>
      <c r="L251" s="24" t="n"/>
      <c r="M251" s="24" t="n">
        <v>65.61</v>
      </c>
      <c r="N251" s="24" t="n"/>
      <c r="O251" s="24">
        <f>V251-M251</f>
        <v/>
      </c>
      <c r="P251" s="25">
        <f>N251/L251</f>
        <v/>
      </c>
      <c r="Q251" s="23" t="n">
        <v>37459</v>
      </c>
      <c r="R251" s="23" t="n"/>
      <c r="S251" s="26" t="n">
        <v>1.95990718</v>
      </c>
      <c r="T251" s="24" t="n">
        <v>65.61</v>
      </c>
      <c r="U251" s="24" t="n">
        <v>63.93</v>
      </c>
      <c r="V251" s="24" t="n">
        <v>69.16</v>
      </c>
      <c r="W251" s="26" t="inlineStr">
        <is>
          <t>PUMA Karmen Ii Idol Sd Womens Sneakers</t>
        </is>
      </c>
      <c r="X251" s="23" t="n">
        <v>4</v>
      </c>
      <c r="Y251" s="18">
        <f>AC251-AB251</f>
        <v/>
      </c>
      <c r="Z251" s="27" t="n">
        <v>38</v>
      </c>
      <c r="AA251" s="27" t="n">
        <v>80</v>
      </c>
      <c r="AB251" s="27" t="n">
        <v>1</v>
      </c>
      <c r="AC251" s="27" t="n">
        <v>51</v>
      </c>
      <c r="AD251" s="1" t="inlineStr">
        <is>
          <t>39746201</t>
        </is>
      </c>
      <c r="AE251" s="1" t="inlineStr">
        <is>
          <t>Suede-toasted Almond-toasted Almond</t>
        </is>
      </c>
      <c r="AF251" s="4" t="n">
        <v>9.84</v>
      </c>
      <c r="AG251" s="4" t="n">
        <v>7.62</v>
      </c>
    </row>
    <row r="252" ht="47.25" customHeight="1">
      <c r="A252" s="18" t="inlineStr">
        <is>
          <t>197670553858</t>
        </is>
      </c>
      <c r="B252" s="19" t="inlineStr">
        <is>
          <t>https://www.amazon.com/dp/</t>
        </is>
      </c>
      <c r="C252" s="20" t="inlineStr">
        <is>
          <t>B0D32BRKF4</t>
        </is>
      </c>
      <c r="D252" s="44" t="n"/>
      <c r="E252" s="23" t="inlineStr">
        <is>
          <t>?th=1&amp;psc=1&amp;tag=sdcdeals03-20</t>
        </is>
      </c>
      <c r="F252" s="19">
        <f>HYPERLINK("https://redirect.sdcdeals.com/redirect?destination=https%3A%2F%2Fwww.amazon.com%2Fdp%2FB0D32BRKF4%3Fth%3D1%26psc%3D1%26tag%3Dsdcdeals03-20", "Amazon Link")</f>
        <v/>
      </c>
      <c r="G252" s="19" t="inlineStr">
        <is>
          <t>https://www.jcpenney.com/s?searchTerm={search_term}</t>
        </is>
      </c>
      <c r="H252" s="23" t="inlineStr">
        <is>
          <t>197670553858</t>
        </is>
      </c>
      <c r="I252" s="19">
        <f>HYPERLINK("https://www.jcpenney.com/s?searchTerm=197670553858", "Retail Link")</f>
        <v/>
      </c>
      <c r="J252" s="23" t="inlineStr">
        <is>
          <t>n/a</t>
        </is>
      </c>
      <c r="K252" s="21" t="inlineStr">
        <is>
          <t>PUMA Women's Karmen II Idol Sneaker, Suede-Toasted Almond-Toasted Almond, 6.5</t>
        </is>
      </c>
      <c r="L252" s="24" t="n"/>
      <c r="M252" s="24" t="n">
        <v>75</v>
      </c>
      <c r="N252" s="24" t="n"/>
      <c r="O252" s="24">
        <f>V252-M252</f>
        <v/>
      </c>
      <c r="P252" s="25">
        <f>N252/L252</f>
        <v/>
      </c>
      <c r="Q252" s="23" t="n">
        <v>37459</v>
      </c>
      <c r="R252" s="23" t="n"/>
      <c r="S252" s="26" t="n">
        <v>1.95990718</v>
      </c>
      <c r="T252" s="24" t="n">
        <v>74.43000000000001</v>
      </c>
      <c r="U252" s="24" t="n">
        <v>69.26000000000001</v>
      </c>
      <c r="V252" s="24" t="n">
        <v>72.02</v>
      </c>
      <c r="W252" s="26" t="inlineStr">
        <is>
          <t>PUMA Karmen Ii Idol Sd Womens Sneakers</t>
        </is>
      </c>
      <c r="X252" s="23" t="n">
        <v>4</v>
      </c>
      <c r="Y252" s="18">
        <f>AC252-AB252</f>
        <v/>
      </c>
      <c r="Z252" s="27" t="n">
        <v>33</v>
      </c>
      <c r="AA252" s="27" t="n">
        <v>66</v>
      </c>
      <c r="AB252" s="27" t="n">
        <v>0</v>
      </c>
      <c r="AC252" s="27" t="n">
        <v>51</v>
      </c>
      <c r="AD252" s="1" t="inlineStr">
        <is>
          <t>39746201</t>
        </is>
      </c>
      <c r="AE252" s="1" t="inlineStr">
        <is>
          <t>Suede-toasted Almond-toasted Almond</t>
        </is>
      </c>
      <c r="AF252" s="4" t="n">
        <v>11.25</v>
      </c>
      <c r="AG252" s="4" t="n">
        <v>7.62</v>
      </c>
    </row>
    <row r="253" ht="47.25" customHeight="1">
      <c r="A253" s="18" t="inlineStr">
        <is>
          <t>197670553865</t>
        </is>
      </c>
      <c r="B253" s="19" t="inlineStr">
        <is>
          <t>https://www.amazon.com/dp/</t>
        </is>
      </c>
      <c r="C253" s="20" t="inlineStr">
        <is>
          <t>B0D32BR8D1</t>
        </is>
      </c>
      <c r="D253" s="44" t="n"/>
      <c r="E253" s="23" t="inlineStr">
        <is>
          <t>?th=1&amp;psc=1&amp;tag=sdcdeals03-20</t>
        </is>
      </c>
      <c r="F253" s="19">
        <f>HYPERLINK("https://redirect.sdcdeals.com/redirect?destination=https%3A%2F%2Fwww.amazon.com%2Fdp%2FB0D32BR8D1%3Fth%3D1%26psc%3D1%26tag%3Dsdcdeals03-20", "Amazon Link")</f>
        <v/>
      </c>
      <c r="G253" s="19" t="inlineStr">
        <is>
          <t>https://www.jcpenney.com/s?searchTerm={search_term}</t>
        </is>
      </c>
      <c r="H253" s="23" t="inlineStr">
        <is>
          <t>197670553865</t>
        </is>
      </c>
      <c r="I253" s="19">
        <f>HYPERLINK("https://www.jcpenney.com/s?searchTerm=197670553865", "Retail Link")</f>
        <v/>
      </c>
      <c r="J253" s="23" t="inlineStr">
        <is>
          <t>n/a</t>
        </is>
      </c>
      <c r="K253" s="21" t="inlineStr">
        <is>
          <t>PUMA Women's Karmen II Idol Sneaker, Suede-Toasted Almond-Toasted Almond, 7</t>
        </is>
      </c>
      <c r="L253" s="24" t="n"/>
      <c r="M253" s="24" t="n">
        <v>48.99</v>
      </c>
      <c r="N253" s="24" t="n"/>
      <c r="O253" s="24">
        <f>V253-M253</f>
        <v/>
      </c>
      <c r="P253" s="25">
        <f>N253/L253</f>
        <v/>
      </c>
      <c r="Q253" s="23" t="n">
        <v>37459</v>
      </c>
      <c r="R253" s="23" t="n"/>
      <c r="S253" s="26" t="n">
        <v>2.14068602</v>
      </c>
      <c r="T253" s="24" t="n">
        <v>48.99</v>
      </c>
      <c r="U253" s="24" t="n">
        <v>61.04</v>
      </c>
      <c r="V253" s="24" t="n">
        <v>67.64</v>
      </c>
      <c r="W253" s="26" t="inlineStr">
        <is>
          <t>PUMA Karmen Ii Idol Sd Womens Sneakers</t>
        </is>
      </c>
      <c r="X253" s="23" t="n">
        <v>7</v>
      </c>
      <c r="Y253" s="18">
        <f>AC253-AB253</f>
        <v/>
      </c>
      <c r="Z253" s="27" t="n">
        <v>46</v>
      </c>
      <c r="AA253" s="27" t="n">
        <v>86</v>
      </c>
      <c r="AB253" s="27" t="n">
        <v>0</v>
      </c>
      <c r="AC253" s="27" t="n">
        <v>54</v>
      </c>
      <c r="AD253" s="1" t="inlineStr">
        <is>
          <t>39746201</t>
        </is>
      </c>
      <c r="AE253" s="1" t="inlineStr">
        <is>
          <t>Suede-toasted Almond-toasted Almond</t>
        </is>
      </c>
      <c r="AF253" s="4" t="n">
        <v>7.35</v>
      </c>
      <c r="AG253" s="4" t="n">
        <v>7.62</v>
      </c>
    </row>
    <row r="254" ht="47.25" customHeight="1">
      <c r="A254" s="18" t="inlineStr">
        <is>
          <t>197670553872</t>
        </is>
      </c>
      <c r="B254" s="19" t="inlineStr">
        <is>
          <t>https://www.amazon.com/dp/</t>
        </is>
      </c>
      <c r="C254" s="20" t="inlineStr">
        <is>
          <t>B0D32B55VB</t>
        </is>
      </c>
      <c r="D254" s="44" t="n"/>
      <c r="E254" s="23" t="inlineStr">
        <is>
          <t>?th=1&amp;psc=1&amp;tag=sdcdeals03-20</t>
        </is>
      </c>
      <c r="F254" s="19">
        <f>HYPERLINK("https://redirect.sdcdeals.com/redirect?destination=https%3A%2F%2Fwww.amazon.com%2Fdp%2FB0D32B55VB%3Fth%3D1%26psc%3D1%26tag%3Dsdcdeals03-20", "Amazon Link")</f>
        <v/>
      </c>
      <c r="G254" s="19" t="inlineStr">
        <is>
          <t>https://www.jcpenney.com/s?searchTerm={search_term}</t>
        </is>
      </c>
      <c r="H254" s="23" t="inlineStr">
        <is>
          <t>197670553872</t>
        </is>
      </c>
      <c r="I254" s="19">
        <f>HYPERLINK("https://www.jcpenney.com/s?searchTerm=197670553872", "Retail Link")</f>
        <v/>
      </c>
      <c r="J254" s="23" t="inlineStr">
        <is>
          <t>n/a</t>
        </is>
      </c>
      <c r="K254" s="21" t="inlineStr">
        <is>
          <t>PUMA Women's Karmen II Idol Sneaker, Suede-Toasted Almond-Toasted Almond, 7.5</t>
        </is>
      </c>
      <c r="L254" s="24" t="n"/>
      <c r="M254" s="24" t="n">
        <v>48.99</v>
      </c>
      <c r="N254" s="24" t="n"/>
      <c r="O254" s="24">
        <f>V254-M254</f>
        <v/>
      </c>
      <c r="P254" s="25">
        <f>N254/L254</f>
        <v/>
      </c>
      <c r="Q254" s="23" t="n">
        <v>37459</v>
      </c>
      <c r="R254" s="23" t="n"/>
      <c r="S254" s="26" t="n">
        <v>2.20021076</v>
      </c>
      <c r="T254" s="24" t="n">
        <v>48.99</v>
      </c>
      <c r="U254" s="24" t="n">
        <v>63.62</v>
      </c>
      <c r="V254" s="24" t="n">
        <v>69</v>
      </c>
      <c r="W254" s="26" t="inlineStr">
        <is>
          <t>PUMA Karmen Ii Idol Sd Womens Sneakers</t>
        </is>
      </c>
      <c r="X254" s="23" t="n">
        <v>7</v>
      </c>
      <c r="Y254" s="18">
        <f>AC254-AB254</f>
        <v/>
      </c>
      <c r="Z254" s="27" t="n">
        <v>33</v>
      </c>
      <c r="AA254" s="27" t="n">
        <v>78</v>
      </c>
      <c r="AB254" s="27" t="n">
        <v>0</v>
      </c>
      <c r="AC254" s="27" t="n">
        <v>51</v>
      </c>
      <c r="AD254" s="1" t="inlineStr">
        <is>
          <t>39746201</t>
        </is>
      </c>
      <c r="AE254" s="1" t="inlineStr">
        <is>
          <t>Suede-toasted Almond-toasted Almond</t>
        </is>
      </c>
      <c r="AF254" s="4" t="n">
        <v>7.35</v>
      </c>
      <c r="AG254" s="4" t="n">
        <v>7.62</v>
      </c>
    </row>
    <row r="255" ht="47.25" customHeight="1">
      <c r="A255" s="18" t="inlineStr">
        <is>
          <t>197670553889</t>
        </is>
      </c>
      <c r="B255" s="19" t="inlineStr">
        <is>
          <t>https://www.amazon.com/dp/</t>
        </is>
      </c>
      <c r="C255" s="20" t="inlineStr">
        <is>
          <t>B0D32B7HFZ</t>
        </is>
      </c>
      <c r="D255" s="44" t="n"/>
      <c r="E255" s="23" t="inlineStr">
        <is>
          <t>?th=1&amp;psc=1&amp;tag=sdcdeals03-20</t>
        </is>
      </c>
      <c r="F255" s="19">
        <f>HYPERLINK("https://redirect.sdcdeals.com/redirect?destination=https%3A%2F%2Fwww.amazon.com%2Fdp%2FB0D32B7HFZ%3Fth%3D1%26psc%3D1%26tag%3Dsdcdeals03-20", "Amazon Link")</f>
        <v/>
      </c>
      <c r="G255" s="19" t="inlineStr">
        <is>
          <t>https://www.jcpenney.com/s?searchTerm={search_term}</t>
        </is>
      </c>
      <c r="H255" s="23" t="inlineStr">
        <is>
          <t>197670553889</t>
        </is>
      </c>
      <c r="I255" s="19">
        <f>HYPERLINK("https://www.jcpenney.com/s?searchTerm=197670553889", "Retail Link")</f>
        <v/>
      </c>
      <c r="J255" s="23" t="inlineStr">
        <is>
          <t>n/a</t>
        </is>
      </c>
      <c r="K255" s="21" t="inlineStr">
        <is>
          <t>PUMA Women's Karmen II Idol Sneaker, Suede-Toasted Almond-Toasted Almond, 8</t>
        </is>
      </c>
      <c r="L255" s="24" t="n"/>
      <c r="M255" s="24" t="n">
        <v>48.99</v>
      </c>
      <c r="N255" s="24" t="n"/>
      <c r="O255" s="24">
        <f>V255-M255</f>
        <v/>
      </c>
      <c r="P255" s="25">
        <f>N255/L255</f>
        <v/>
      </c>
      <c r="Q255" s="23" t="n">
        <v>37459</v>
      </c>
      <c r="R255" s="23" t="n"/>
      <c r="S255" s="26" t="n">
        <v>2.3589434</v>
      </c>
      <c r="T255" s="24" t="n">
        <v>48.99</v>
      </c>
      <c r="U255" s="24" t="n">
        <v>65.77</v>
      </c>
      <c r="V255" s="24" t="n">
        <v>70.13</v>
      </c>
      <c r="W255" s="26" t="inlineStr">
        <is>
          <t>PUMA Karmen Ii Idol Sd Womens Sneakers</t>
        </is>
      </c>
      <c r="X255" s="23" t="n">
        <v>8</v>
      </c>
      <c r="Y255" s="18">
        <f>AC255-AB255</f>
        <v/>
      </c>
      <c r="Z255" s="27" t="n">
        <v>20</v>
      </c>
      <c r="AA255" s="27" t="n">
        <v>60</v>
      </c>
      <c r="AB255" s="27" t="n">
        <v>0</v>
      </c>
      <c r="AC255" s="27" t="n">
        <v>51</v>
      </c>
      <c r="AD255" s="1" t="inlineStr">
        <is>
          <t>39746201</t>
        </is>
      </c>
      <c r="AE255" s="1" t="inlineStr">
        <is>
          <t>Suede-toasted Almond-toasted Almond</t>
        </is>
      </c>
      <c r="AF255" s="4" t="n">
        <v>7.35</v>
      </c>
      <c r="AG255" s="4" t="n">
        <v>7.7</v>
      </c>
    </row>
    <row r="256" ht="47.25" customHeight="1">
      <c r="A256" s="18" t="inlineStr">
        <is>
          <t>197670553896</t>
        </is>
      </c>
      <c r="B256" s="19" t="inlineStr">
        <is>
          <t>https://www.amazon.com/dp/</t>
        </is>
      </c>
      <c r="C256" s="20" t="inlineStr">
        <is>
          <t>B0D32C2PF6</t>
        </is>
      </c>
      <c r="D256" s="44" t="n"/>
      <c r="E256" s="23" t="inlineStr">
        <is>
          <t>?th=1&amp;psc=1&amp;tag=sdcdeals03-20</t>
        </is>
      </c>
      <c r="F256" s="19">
        <f>HYPERLINK("https://redirect.sdcdeals.com/redirect?destination=https%3A%2F%2Fwww.amazon.com%2Fdp%2FB0D32C2PF6%3Fth%3D1%26psc%3D1%26tag%3Dsdcdeals03-20", "Amazon Link")</f>
        <v/>
      </c>
      <c r="G256" s="19" t="inlineStr">
        <is>
          <t>https://www.jcpenney.com/s?searchTerm={search_term}</t>
        </is>
      </c>
      <c r="H256" s="23" t="inlineStr">
        <is>
          <t>197670553896</t>
        </is>
      </c>
      <c r="I256" s="19">
        <f>HYPERLINK("https://www.jcpenney.com/s?searchTerm=197670553896", "Retail Link")</f>
        <v/>
      </c>
      <c r="J256" s="23" t="inlineStr">
        <is>
          <t>n/a</t>
        </is>
      </c>
      <c r="K256" s="21" t="inlineStr">
        <is>
          <t>PUMA Women's Karmen II Idol Sneaker, Suede-Toasted Almond-Toasted Almond, 8.5</t>
        </is>
      </c>
      <c r="L256" s="24" t="n"/>
      <c r="M256" s="24" t="n">
        <v>48.99</v>
      </c>
      <c r="N256" s="24" t="n"/>
      <c r="O256" s="24">
        <f>V256-M256</f>
        <v/>
      </c>
      <c r="P256" s="25">
        <f>N256/L256</f>
        <v/>
      </c>
      <c r="Q256" s="23" t="n">
        <v>37459</v>
      </c>
      <c r="R256" s="23" t="n"/>
      <c r="S256" s="26" t="n">
        <v>0.110231</v>
      </c>
      <c r="T256" s="24" t="n">
        <v>48.99</v>
      </c>
      <c r="U256" s="24" t="n">
        <v>61.7</v>
      </c>
      <c r="V256" s="24" t="n">
        <v>67.98</v>
      </c>
      <c r="W256" s="26" t="inlineStr">
        <is>
          <t>PUMA Karmen Ii Idol Sd Womens Sneakers</t>
        </is>
      </c>
      <c r="X256" s="23" t="n">
        <v>7</v>
      </c>
      <c r="Y256" s="18">
        <f>AC256-AB256</f>
        <v/>
      </c>
      <c r="Z256" s="27" t="n">
        <v>24</v>
      </c>
      <c r="AA256" s="27" t="n">
        <v>63</v>
      </c>
      <c r="AB256" s="27" t="n">
        <v>0</v>
      </c>
      <c r="AC256" s="27" t="n">
        <v>49</v>
      </c>
      <c r="AD256" s="1" t="inlineStr">
        <is>
          <t>39746201</t>
        </is>
      </c>
      <c r="AE256" s="1" t="inlineStr">
        <is>
          <t>Suede-toasted Almond-toasted Almond</t>
        </is>
      </c>
      <c r="AF256" s="4" t="n">
        <v>7.35</v>
      </c>
      <c r="AG256" s="4" t="n">
        <v>7.86</v>
      </c>
    </row>
    <row r="257" ht="47.25" customHeight="1">
      <c r="A257" s="18" t="inlineStr">
        <is>
          <t>197670553919</t>
        </is>
      </c>
      <c r="B257" s="19" t="inlineStr">
        <is>
          <t>https://www.amazon.com/dp/</t>
        </is>
      </c>
      <c r="C257" s="20" t="inlineStr">
        <is>
          <t>B0D32BC4QK</t>
        </is>
      </c>
      <c r="D257" s="44" t="n"/>
      <c r="E257" s="23" t="inlineStr">
        <is>
          <t>?th=1&amp;psc=1&amp;tag=sdcdeals03-20</t>
        </is>
      </c>
      <c r="F257" s="19">
        <f>HYPERLINK("https://redirect.sdcdeals.com/redirect?destination=https%3A%2F%2Fwww.amazon.com%2Fdp%2FB0D32BC4QK%3Fth%3D1%26psc%3D1%26tag%3Dsdcdeals03-20", "Amazon Link")</f>
        <v/>
      </c>
      <c r="G257" s="19" t="inlineStr">
        <is>
          <t>https://www.jcpenney.com/s?searchTerm={search_term}</t>
        </is>
      </c>
      <c r="H257" s="23" t="inlineStr">
        <is>
          <t>197670553919</t>
        </is>
      </c>
      <c r="I257" s="19">
        <f>HYPERLINK("https://www.jcpenney.com/s?searchTerm=197670553919", "Retail Link")</f>
        <v/>
      </c>
      <c r="J257" s="23" t="inlineStr">
        <is>
          <t>n/a</t>
        </is>
      </c>
      <c r="K257" s="21" t="inlineStr">
        <is>
          <t>PUMA Women's Karmen II Idol Sneaker, Suede-Toasted Almond-Toasted Almond, 9</t>
        </is>
      </c>
      <c r="L257" s="24" t="n"/>
      <c r="M257" s="24" t="n">
        <v>48.99</v>
      </c>
      <c r="N257" s="24" t="n"/>
      <c r="O257" s="24">
        <f>V257-M257</f>
        <v/>
      </c>
      <c r="P257" s="25">
        <f>N257/L257</f>
        <v/>
      </c>
      <c r="Q257" s="23" t="n">
        <v>37459</v>
      </c>
      <c r="R257" s="23" t="n"/>
      <c r="S257" s="26" t="n">
        <v>2.40083118</v>
      </c>
      <c r="T257" s="24" t="n">
        <v>48.99</v>
      </c>
      <c r="U257" s="24" t="n">
        <v>59.83</v>
      </c>
      <c r="V257" s="24" t="n">
        <v>66.98999999999999</v>
      </c>
      <c r="W257" s="26" t="inlineStr">
        <is>
          <t>PUMA Karmen Ii Idol Sd Womens Sneakers</t>
        </is>
      </c>
      <c r="X257" s="23" t="n">
        <v>7</v>
      </c>
      <c r="Y257" s="18">
        <f>AC257-AB257</f>
        <v/>
      </c>
      <c r="Z257" s="27" t="n">
        <v>38</v>
      </c>
      <c r="AA257" s="27" t="n">
        <v>83</v>
      </c>
      <c r="AB257" s="27" t="n">
        <v>0</v>
      </c>
      <c r="AC257" s="27" t="n">
        <v>51</v>
      </c>
      <c r="AD257" s="1" t="inlineStr">
        <is>
          <t>39746201</t>
        </is>
      </c>
      <c r="AE257" s="1" t="inlineStr">
        <is>
          <t>Suede-toasted Almond-toasted Almond</t>
        </is>
      </c>
      <c r="AF257" s="4" t="n">
        <v>7.35</v>
      </c>
      <c r="AG257" s="4" t="n">
        <v>8.1</v>
      </c>
    </row>
    <row r="258" ht="47.25" customHeight="1">
      <c r="A258" s="18" t="inlineStr">
        <is>
          <t>197670553933</t>
        </is>
      </c>
      <c r="B258" s="19" t="inlineStr">
        <is>
          <t>https://www.amazon.com/dp/</t>
        </is>
      </c>
      <c r="C258" s="20" t="inlineStr">
        <is>
          <t>B0D32932H1</t>
        </is>
      </c>
      <c r="D258" s="44" t="n"/>
      <c r="E258" s="23" t="inlineStr">
        <is>
          <t>?th=1&amp;psc=1&amp;tag=sdcdeals03-20</t>
        </is>
      </c>
      <c r="F258" s="19">
        <f>HYPERLINK("https://redirect.sdcdeals.com/redirect?destination=https%3A%2F%2Fwww.amazon.com%2Fdp%2FB0D32932H1%3Fth%3D1%26psc%3D1%26tag%3Dsdcdeals03-20", "Amazon Link")</f>
        <v/>
      </c>
      <c r="G258" s="19" t="inlineStr">
        <is>
          <t>https://www.jcpenney.com/s?searchTerm={search_term}</t>
        </is>
      </c>
      <c r="H258" s="23" t="inlineStr">
        <is>
          <t>197670553933</t>
        </is>
      </c>
      <c r="I258" s="19">
        <f>HYPERLINK("https://www.jcpenney.com/s?searchTerm=197670553933", "Retail Link")</f>
        <v/>
      </c>
      <c r="J258" s="23" t="inlineStr">
        <is>
          <t>n/a</t>
        </is>
      </c>
      <c r="K258" s="21" t="inlineStr">
        <is>
          <t>PUMA Women's Karmen II Idol Sneaker, Suede-Toasted Almond-Toasted Almond, 9.5</t>
        </is>
      </c>
      <c r="L258" s="24" t="n"/>
      <c r="M258" s="24" t="n">
        <v>48.99</v>
      </c>
      <c r="N258" s="24" t="n"/>
      <c r="O258" s="24">
        <f>V258-M258</f>
        <v/>
      </c>
      <c r="P258" s="25">
        <f>N258/L258</f>
        <v/>
      </c>
      <c r="Q258" s="23" t="n">
        <v>37459</v>
      </c>
      <c r="R258" s="23" t="n"/>
      <c r="S258" s="26" t="n">
        <v>2.4691744</v>
      </c>
      <c r="T258" s="24" t="n">
        <v>48.99</v>
      </c>
      <c r="U258" s="24" t="n">
        <v>56.71</v>
      </c>
      <c r="V258" s="24" t="n">
        <v>65.34999999999999</v>
      </c>
      <c r="W258" s="26" t="inlineStr">
        <is>
          <t>PUMA Karmen Ii Idol Sd Womens Sneakers</t>
        </is>
      </c>
      <c r="X258" s="23" t="n">
        <v>7</v>
      </c>
      <c r="Y258" s="18">
        <f>AC258-AB258</f>
        <v/>
      </c>
      <c r="Z258" s="27" t="n">
        <v>13</v>
      </c>
      <c r="AA258" s="27" t="n">
        <v>51</v>
      </c>
      <c r="AB258" s="27" t="n">
        <v>0</v>
      </c>
      <c r="AC258" s="27" t="n">
        <v>54</v>
      </c>
      <c r="AD258" s="1" t="inlineStr">
        <is>
          <t>39746201</t>
        </is>
      </c>
      <c r="AE258" s="1" t="inlineStr">
        <is>
          <t>Suede-toasted Almond-toasted Almond</t>
        </is>
      </c>
      <c r="AF258" s="4" t="n">
        <v>7.35</v>
      </c>
      <c r="AG258" s="4" t="n">
        <v>7.86</v>
      </c>
    </row>
    <row r="259" ht="47.25" customHeight="1">
      <c r="A259" s="18" t="inlineStr">
        <is>
          <t>197670553957</t>
        </is>
      </c>
      <c r="B259" s="19" t="inlineStr">
        <is>
          <t>https://www.amazon.com/dp/</t>
        </is>
      </c>
      <c r="C259" s="20" t="inlineStr">
        <is>
          <t>B0D32C47YC</t>
        </is>
      </c>
      <c r="D259" s="44" t="n"/>
      <c r="E259" s="23" t="inlineStr">
        <is>
          <t>?th=1&amp;psc=1&amp;tag=sdcdeals03-20</t>
        </is>
      </c>
      <c r="F259" s="19">
        <f>HYPERLINK("https://redirect.sdcdeals.com/redirect?destination=https%3A%2F%2Fwww.amazon.com%2Fdp%2FB0D32C47YC%3Fth%3D1%26psc%3D1%26tag%3Dsdcdeals03-20", "Amazon Link")</f>
        <v/>
      </c>
      <c r="G259" s="19" t="inlineStr">
        <is>
          <t>https://www.jcpenney.com/s?searchTerm={search_term}</t>
        </is>
      </c>
      <c r="H259" s="23" t="inlineStr">
        <is>
          <t>197670553957</t>
        </is>
      </c>
      <c r="I259" s="19">
        <f>HYPERLINK("https://www.jcpenney.com/s?searchTerm=197670553957", "Retail Link")</f>
        <v/>
      </c>
      <c r="J259" s="23" t="inlineStr">
        <is>
          <t>n/a</t>
        </is>
      </c>
      <c r="K259" s="21" t="inlineStr">
        <is>
          <t>PUMA Women's Karmen II Idol Sneaker, Suede-Toasted Almond-Toasted Almond, 10</t>
        </is>
      </c>
      <c r="L259" s="24" t="n"/>
      <c r="M259" s="24" t="n">
        <v>48.99</v>
      </c>
      <c r="N259" s="24" t="n"/>
      <c r="O259" s="24">
        <f>V259-M259</f>
        <v/>
      </c>
      <c r="P259" s="25">
        <f>N259/L259</f>
        <v/>
      </c>
      <c r="Q259" s="23" t="n">
        <v>37459</v>
      </c>
      <c r="R259" s="23" t="n"/>
      <c r="S259" s="26" t="n">
        <v>2.48901598</v>
      </c>
      <c r="T259" s="24" t="n">
        <v>48.99</v>
      </c>
      <c r="U259" s="24" t="n">
        <v>60.56</v>
      </c>
      <c r="V259" s="24" t="n">
        <v>67.38</v>
      </c>
      <c r="W259" s="26" t="inlineStr">
        <is>
          <t>PUMA Karmen Ii Idol Sd Womens Sneakers</t>
        </is>
      </c>
      <c r="X259" s="23" t="n">
        <v>7</v>
      </c>
      <c r="Y259" s="18">
        <f>AC259-AB259</f>
        <v/>
      </c>
      <c r="Z259" s="27" t="n">
        <v>22</v>
      </c>
      <c r="AA259" s="27" t="n">
        <v>53</v>
      </c>
      <c r="AB259" s="27" t="n">
        <v>0</v>
      </c>
      <c r="AC259" s="27" t="n">
        <v>51</v>
      </c>
      <c r="AD259" s="1" t="inlineStr">
        <is>
          <t>39746201</t>
        </is>
      </c>
      <c r="AE259" s="1" t="inlineStr">
        <is>
          <t>Suede-toasted Almond-toasted Almond</t>
        </is>
      </c>
      <c r="AF259" s="4" t="n">
        <v>7.35</v>
      </c>
      <c r="AG259" s="4" t="n">
        <v>7.86</v>
      </c>
    </row>
    <row r="260" ht="47.25" customHeight="1">
      <c r="A260" s="18" t="inlineStr">
        <is>
          <t>197670553995</t>
        </is>
      </c>
      <c r="B260" s="19" t="inlineStr">
        <is>
          <t>https://www.amazon.com/dp/</t>
        </is>
      </c>
      <c r="C260" s="20" t="inlineStr">
        <is>
          <t>B0D326SMQY</t>
        </is>
      </c>
      <c r="D260" s="44" t="n"/>
      <c r="E260" s="23" t="inlineStr">
        <is>
          <t>?th=1&amp;psc=1&amp;tag=sdcdeals03-20</t>
        </is>
      </c>
      <c r="F260" s="19">
        <f>HYPERLINK("https://redirect.sdcdeals.com/redirect?destination=https%3A%2F%2Fwww.amazon.com%2Fdp%2FB0D326SMQY%3Fth%3D1%26psc%3D1%26tag%3Dsdcdeals03-20", "Amazon Link")</f>
        <v/>
      </c>
      <c r="G260" s="19" t="inlineStr">
        <is>
          <t>https://www.jcpenney.com/s?searchTerm={search_term}</t>
        </is>
      </c>
      <c r="H260" s="23" t="inlineStr">
        <is>
          <t>197670553995</t>
        </is>
      </c>
      <c r="I260" s="19">
        <f>HYPERLINK("https://www.jcpenney.com/s?searchTerm=197670553995", "Retail Link")</f>
        <v/>
      </c>
      <c r="J260" s="23" t="inlineStr">
        <is>
          <t>n/a</t>
        </is>
      </c>
      <c r="K260" s="21" t="inlineStr">
        <is>
          <t>PUMA Women's Karmen II Idol Sneaker, Suede-Toasted Almond-Toasted Almond, 11</t>
        </is>
      </c>
      <c r="L260" s="24" t="n"/>
      <c r="M260" s="24" t="n">
        <v>75</v>
      </c>
      <c r="N260" s="24" t="n"/>
      <c r="O260" s="24">
        <f>V260-M260</f>
        <v/>
      </c>
      <c r="P260" s="25">
        <f>N260/L260</f>
        <v/>
      </c>
      <c r="Q260" s="23" t="n">
        <v>37459</v>
      </c>
      <c r="R260" s="23" t="n"/>
      <c r="S260" s="26" t="n">
        <v>2.44933282</v>
      </c>
      <c r="T260" s="24" t="n">
        <v>75</v>
      </c>
      <c r="U260" s="24" t="n">
        <v>58.88</v>
      </c>
      <c r="V260" s="24" t="n">
        <v>66.79000000000001</v>
      </c>
      <c r="W260" s="26" t="inlineStr">
        <is>
          <t>PUMA Karmen Ii Idol Sd Womens Sneakers</t>
        </is>
      </c>
      <c r="X260" s="23" t="n">
        <v>7</v>
      </c>
      <c r="Y260" s="18">
        <f>AC260-AB260</f>
        <v/>
      </c>
      <c r="Z260" s="27" t="n">
        <v>25</v>
      </c>
      <c r="AA260" s="27" t="n">
        <v>58</v>
      </c>
      <c r="AB260" s="27" t="n">
        <v>0</v>
      </c>
      <c r="AC260" s="27" t="n">
        <v>51</v>
      </c>
      <c r="AD260" s="1" t="inlineStr">
        <is>
          <t>39746201</t>
        </is>
      </c>
      <c r="AE260" s="1" t="inlineStr">
        <is>
          <t>Suede-toasted Almond-toasted Almond</t>
        </is>
      </c>
      <c r="AF260" s="4" t="n">
        <v>11.25</v>
      </c>
      <c r="AG260" s="4" t="n">
        <v>7.86</v>
      </c>
    </row>
    <row r="261" ht="47.25" customHeight="1">
      <c r="A261" s="18" t="inlineStr">
        <is>
          <t>197672009711</t>
        </is>
      </c>
      <c r="B261" s="19" t="inlineStr">
        <is>
          <t>https://www.amazon.com/dp/</t>
        </is>
      </c>
      <c r="C261" s="20" t="inlineStr">
        <is>
          <t>B0D32BTZ59</t>
        </is>
      </c>
      <c r="D261" s="44" t="n"/>
      <c r="E261" s="23" t="inlineStr">
        <is>
          <t>?th=1&amp;psc=1&amp;tag=sdcdeals03-20</t>
        </is>
      </c>
      <c r="F261" s="19">
        <f>HYPERLINK("https://redirect.sdcdeals.com/redirect?destination=https%3A%2F%2Fwww.amazon.com%2Fdp%2FB0D32BTZ59%3Fth%3D1%26psc%3D1%26tag%3Dsdcdeals03-20", "Amazon Link")</f>
        <v/>
      </c>
      <c r="G261" s="19" t="inlineStr">
        <is>
          <t>https://www.jcpenney.com/s?searchTerm={search_term}</t>
        </is>
      </c>
      <c r="H261" s="23" t="inlineStr">
        <is>
          <t>197672009711</t>
        </is>
      </c>
      <c r="I261" s="19">
        <f>HYPERLINK("https://www.jcpenney.com/s?searchTerm=197672009711", "Retail Link")</f>
        <v/>
      </c>
      <c r="J261" s="23" t="inlineStr">
        <is>
          <t>n/a</t>
        </is>
      </c>
      <c r="K261" s="21" t="inlineStr">
        <is>
          <t>PUMA Women's Karmen II Idol Sneaker, Suede Black Black, 5.5</t>
        </is>
      </c>
      <c r="L261" s="24" t="n"/>
      <c r="M261" s="24" t="n">
        <v>56.6</v>
      </c>
      <c r="N261" s="24" t="n"/>
      <c r="O261" s="24">
        <f>V261-M261</f>
        <v/>
      </c>
      <c r="P261" s="25">
        <f>N261/L261</f>
        <v/>
      </c>
      <c r="Q261" s="23" t="n">
        <v>37459</v>
      </c>
      <c r="R261" s="23" t="n"/>
      <c r="S261" s="26" t="n">
        <v>1.9400656</v>
      </c>
      <c r="T261" s="24" t="inlineStr"/>
      <c r="U261" s="24" t="n">
        <v>56.6</v>
      </c>
      <c r="V261" s="24" t="n">
        <v>61.97</v>
      </c>
      <c r="W261" s="26" t="inlineStr">
        <is>
          <t>PUMA Karmen Ii Idol Sd Womens Sneakers</t>
        </is>
      </c>
      <c r="X261" s="23" t="n">
        <v>1</v>
      </c>
      <c r="Y261" s="18">
        <f>AC261-AB261</f>
        <v/>
      </c>
      <c r="Z261" s="27" t="n">
        <v>34</v>
      </c>
      <c r="AA261" s="27" t="n">
        <v>56</v>
      </c>
      <c r="AB261" s="27" t="n">
        <v>0</v>
      </c>
      <c r="AC261" s="27" t="n">
        <v>48</v>
      </c>
      <c r="AD261" s="1" t="inlineStr">
        <is>
          <t>39746206</t>
        </is>
      </c>
      <c r="AE261" s="1" t="inlineStr">
        <is>
          <t>Suede-puma Black-puma Black</t>
        </is>
      </c>
      <c r="AF261" s="4" t="inlineStr"/>
      <c r="AG261" s="4" t="n">
        <v>7.7</v>
      </c>
    </row>
    <row r="262" ht="47.25" customHeight="1">
      <c r="A262" s="18" t="inlineStr">
        <is>
          <t>197672009780</t>
        </is>
      </c>
      <c r="B262" s="19" t="inlineStr">
        <is>
          <t>https://www.amazon.com/dp/</t>
        </is>
      </c>
      <c r="C262" s="20" t="inlineStr">
        <is>
          <t>B0D3291C49</t>
        </is>
      </c>
      <c r="D262" s="44" t="n"/>
      <c r="E262" s="23" t="inlineStr">
        <is>
          <t>?th=1&amp;psc=1&amp;tag=sdcdeals03-20</t>
        </is>
      </c>
      <c r="F262" s="19">
        <f>HYPERLINK("https://redirect.sdcdeals.com/redirect?destination=https%3A%2F%2Fwww.amazon.com%2Fdp%2FB0D3291C49%3Fth%3D1%26psc%3D1%26tag%3Dsdcdeals03-20", "Amazon Link")</f>
        <v/>
      </c>
      <c r="G262" s="19" t="inlineStr">
        <is>
          <t>https://www.jcpenney.com/s?searchTerm={search_term}</t>
        </is>
      </c>
      <c r="H262" s="23" t="inlineStr">
        <is>
          <t>197672009780</t>
        </is>
      </c>
      <c r="I262" s="19">
        <f>HYPERLINK("https://www.jcpenney.com/s?searchTerm=197672009780", "Retail Link")</f>
        <v/>
      </c>
      <c r="J262" s="23" t="inlineStr">
        <is>
          <t>n/a</t>
        </is>
      </c>
      <c r="K262" s="21" t="inlineStr">
        <is>
          <t>PUMA Women's Karmen II Idol Sneaker, Suede Black Black, 6</t>
        </is>
      </c>
      <c r="L262" s="24" t="n"/>
      <c r="M262" s="24" t="n">
        <v>52.15</v>
      </c>
      <c r="N262" s="24" t="n"/>
      <c r="O262" s="24">
        <f>V262-M262</f>
        <v/>
      </c>
      <c r="P262" s="25">
        <f>N262/L262</f>
        <v/>
      </c>
      <c r="Q262" s="23" t="n">
        <v>37459</v>
      </c>
      <c r="R262" s="23" t="n"/>
      <c r="S262" s="26" t="n">
        <v>1.86951776</v>
      </c>
      <c r="T262" s="24" t="n">
        <v>52.15</v>
      </c>
      <c r="U262" s="24" t="n">
        <v>60.26</v>
      </c>
      <c r="V262" s="24" t="n">
        <v>64.08</v>
      </c>
      <c r="W262" s="26" t="inlineStr">
        <is>
          <t>PUMA Karmen Ii Idol Sd Womens Sneakers</t>
        </is>
      </c>
      <c r="X262" s="23" t="n">
        <v>5</v>
      </c>
      <c r="Y262" s="18">
        <f>AC262-AB262</f>
        <v/>
      </c>
      <c r="Z262" s="27" t="n">
        <v>36</v>
      </c>
      <c r="AA262" s="27" t="n">
        <v>59</v>
      </c>
      <c r="AB262" s="27" t="n">
        <v>0</v>
      </c>
      <c r="AC262" s="27" t="n">
        <v>51</v>
      </c>
      <c r="AD262" s="1" t="inlineStr">
        <is>
          <t>39746206</t>
        </is>
      </c>
      <c r="AE262" s="1" t="inlineStr">
        <is>
          <t>Suede-puma Black-puma Black</t>
        </is>
      </c>
      <c r="AF262" s="4" t="n">
        <v>7.82</v>
      </c>
      <c r="AG262" s="4" t="n">
        <v>7.62</v>
      </c>
    </row>
    <row r="263" ht="47.25" customHeight="1">
      <c r="A263" s="18" t="inlineStr">
        <is>
          <t>197672009728</t>
        </is>
      </c>
      <c r="B263" s="19" t="inlineStr">
        <is>
          <t>https://www.amazon.com/dp/</t>
        </is>
      </c>
      <c r="C263" s="20" t="inlineStr">
        <is>
          <t>B0D32C1Y7J</t>
        </is>
      </c>
      <c r="D263" s="44" t="n"/>
      <c r="E263" s="23" t="inlineStr">
        <is>
          <t>?th=1&amp;psc=1&amp;tag=sdcdeals03-20</t>
        </is>
      </c>
      <c r="F263" s="19">
        <f>HYPERLINK("https://redirect.sdcdeals.com/redirect?destination=https%3A%2F%2Fwww.amazon.com%2Fdp%2FB0D32C1Y7J%3Fth%3D1%26psc%3D1%26tag%3Dsdcdeals03-20", "Amazon Link")</f>
        <v/>
      </c>
      <c r="G263" s="19" t="inlineStr">
        <is>
          <t>https://www.jcpenney.com/s?searchTerm={search_term}</t>
        </is>
      </c>
      <c r="H263" s="23" t="inlineStr">
        <is>
          <t>197672009728</t>
        </is>
      </c>
      <c r="I263" s="19">
        <f>HYPERLINK("https://www.jcpenney.com/s?searchTerm=197672009728", "Retail Link")</f>
        <v/>
      </c>
      <c r="J263" s="23" t="inlineStr">
        <is>
          <t>n/a</t>
        </is>
      </c>
      <c r="K263" s="21" t="inlineStr">
        <is>
          <t>PUMA Women's Karmen II Idol Sneaker, Suede Black Black, 6.5</t>
        </is>
      </c>
      <c r="L263" s="24" t="n"/>
      <c r="M263" s="24" t="n">
        <v>52.33</v>
      </c>
      <c r="N263" s="24" t="n"/>
      <c r="O263" s="24">
        <f>V263-M263</f>
        <v/>
      </c>
      <c r="P263" s="25">
        <f>N263/L263</f>
        <v/>
      </c>
      <c r="Q263" s="23" t="n">
        <v>37459</v>
      </c>
      <c r="R263" s="23" t="n"/>
      <c r="S263" s="26" t="n">
        <v>1.95990718</v>
      </c>
      <c r="T263" s="24" t="n">
        <v>52.33</v>
      </c>
      <c r="U263" s="24" t="n">
        <v>56.28</v>
      </c>
      <c r="V263" s="24" t="n">
        <v>61.66</v>
      </c>
      <c r="W263" s="26" t="inlineStr">
        <is>
          <t>PUMA Karmen Ii Idol Sd Womens Sneakers</t>
        </is>
      </c>
      <c r="X263" s="23" t="n">
        <v>4</v>
      </c>
      <c r="Y263" s="18">
        <f>AC263-AB263</f>
        <v/>
      </c>
      <c r="Z263" s="27" t="n">
        <v>40</v>
      </c>
      <c r="AA263" s="27" t="n">
        <v>63</v>
      </c>
      <c r="AB263" s="27" t="n">
        <v>1</v>
      </c>
      <c r="AC263" s="27" t="n">
        <v>51</v>
      </c>
      <c r="AD263" s="1" t="inlineStr">
        <is>
          <t>39746206</t>
        </is>
      </c>
      <c r="AE263" s="1" t="inlineStr">
        <is>
          <t>Suede-puma Black-puma Black</t>
        </is>
      </c>
      <c r="AF263" s="4" t="n">
        <v>7.85</v>
      </c>
      <c r="AG263" s="4" t="n">
        <v>7.62</v>
      </c>
    </row>
    <row r="264" ht="47.25" customHeight="1">
      <c r="A264" s="18" t="inlineStr">
        <is>
          <t>197672009797</t>
        </is>
      </c>
      <c r="B264" s="19" t="inlineStr">
        <is>
          <t>https://www.amazon.com/dp/</t>
        </is>
      </c>
      <c r="C264" s="20" t="inlineStr">
        <is>
          <t>B0D32C15DW</t>
        </is>
      </c>
      <c r="D264" s="44" t="n"/>
      <c r="E264" s="23" t="inlineStr">
        <is>
          <t>?th=1&amp;psc=1&amp;tag=sdcdeals03-20</t>
        </is>
      </c>
      <c r="F264" s="19">
        <f>HYPERLINK("https://redirect.sdcdeals.com/redirect?destination=https%3A%2F%2Fwww.amazon.com%2Fdp%2FB0D32C15DW%3Fth%3D1%26psc%3D1%26tag%3Dsdcdeals03-20", "Amazon Link")</f>
        <v/>
      </c>
      <c r="G264" s="19" t="inlineStr">
        <is>
          <t>https://www.jcpenney.com/s?searchTerm={search_term}</t>
        </is>
      </c>
      <c r="H264" s="23" t="inlineStr">
        <is>
          <t>197672009797</t>
        </is>
      </c>
      <c r="I264" s="19">
        <f>HYPERLINK("https://www.jcpenney.com/s?searchTerm=197672009797", "Retail Link")</f>
        <v/>
      </c>
      <c r="J264" s="23" t="inlineStr">
        <is>
          <t>n/a</t>
        </is>
      </c>
      <c r="K264" s="21" t="inlineStr">
        <is>
          <t>PUMA Women's Karmen II Idol Sneaker, Suede Black Black, 7</t>
        </is>
      </c>
      <c r="L264" s="24" t="n"/>
      <c r="M264" s="24" t="n">
        <v>48.99</v>
      </c>
      <c r="N264" s="24" t="n"/>
      <c r="O264" s="24">
        <f>V264-M264</f>
        <v/>
      </c>
      <c r="P264" s="25">
        <f>N264/L264</f>
        <v/>
      </c>
      <c r="Q264" s="23" t="n">
        <v>38510</v>
      </c>
      <c r="R264" s="23" t="n"/>
      <c r="S264" s="26" t="n">
        <v>2.14068602</v>
      </c>
      <c r="T264" s="24" t="n">
        <v>48.99</v>
      </c>
      <c r="U264" s="24" t="n">
        <v>55.21</v>
      </c>
      <c r="V264" s="24" t="n">
        <v>61.98</v>
      </c>
      <c r="W264" s="26" t="inlineStr">
        <is>
          <t>PUMA Karmen Ii Idol Sd Womens Sneakers</t>
        </is>
      </c>
      <c r="X264" s="23" t="n">
        <v>4</v>
      </c>
      <c r="Y264" s="18">
        <f>AC264-AB264</f>
        <v/>
      </c>
      <c r="Z264" s="27" t="n">
        <v>43</v>
      </c>
      <c r="AA264" s="27" t="n">
        <v>65</v>
      </c>
      <c r="AB264" s="27" t="n">
        <v>0</v>
      </c>
      <c r="AC264" s="27" t="n">
        <v>51</v>
      </c>
      <c r="AD264" s="1" t="inlineStr">
        <is>
          <t>39746206</t>
        </is>
      </c>
      <c r="AE264" s="1" t="inlineStr">
        <is>
          <t>Suede-puma Black-puma Black</t>
        </is>
      </c>
      <c r="AF264" s="4" t="n">
        <v>7.35</v>
      </c>
      <c r="AG264" s="4" t="n">
        <v>7.62</v>
      </c>
    </row>
    <row r="265" ht="47.25" customHeight="1">
      <c r="A265" s="18" t="inlineStr">
        <is>
          <t>197672009735</t>
        </is>
      </c>
      <c r="B265" s="19" t="inlineStr">
        <is>
          <t>https://www.amazon.com/dp/</t>
        </is>
      </c>
      <c r="C265" s="20" t="inlineStr">
        <is>
          <t>B0D32BHHQM</t>
        </is>
      </c>
      <c r="D265" s="44" t="n"/>
      <c r="E265" s="23" t="inlineStr">
        <is>
          <t>?th=1&amp;psc=1&amp;tag=sdcdeals03-20</t>
        </is>
      </c>
      <c r="F265" s="19">
        <f>HYPERLINK("https://redirect.sdcdeals.com/redirect?destination=https%3A%2F%2Fwww.amazon.com%2Fdp%2FB0D32BHHQM%3Fth%3D1%26psc%3D1%26tag%3Dsdcdeals03-20", "Amazon Link")</f>
        <v/>
      </c>
      <c r="G265" s="19" t="inlineStr">
        <is>
          <t>https://www.jcpenney.com/s?searchTerm={search_term}</t>
        </is>
      </c>
      <c r="H265" s="23" t="inlineStr">
        <is>
          <t>197672009735</t>
        </is>
      </c>
      <c r="I265" s="19">
        <f>HYPERLINK("https://www.jcpenney.com/s?searchTerm=197672009735", "Retail Link")</f>
        <v/>
      </c>
      <c r="J265" s="23" t="inlineStr">
        <is>
          <t>n/a</t>
        </is>
      </c>
      <c r="K265" s="21" t="inlineStr">
        <is>
          <t>PUMA Women's Karmen II Idol Sneaker, Suede Black Black, 7.5</t>
        </is>
      </c>
      <c r="L265" s="24" t="n"/>
      <c r="M265" s="24" t="n">
        <v>48.99</v>
      </c>
      <c r="N265" s="24" t="n"/>
      <c r="O265" s="24">
        <f>V265-M265</f>
        <v/>
      </c>
      <c r="P265" s="25">
        <f>N265/L265</f>
        <v/>
      </c>
      <c r="Q265" s="23" t="n">
        <v>37459</v>
      </c>
      <c r="R265" s="23" t="n"/>
      <c r="S265" s="26" t="n">
        <v>2.20021076</v>
      </c>
      <c r="T265" s="24" t="n">
        <v>48.99</v>
      </c>
      <c r="U265" s="24" t="n">
        <v>60.98</v>
      </c>
      <c r="V265" s="24" t="n">
        <v>64.56999999999999</v>
      </c>
      <c r="W265" s="26" t="inlineStr">
        <is>
          <t>PUMA Karmen Ii Idol Sd Womens Sneakers</t>
        </is>
      </c>
      <c r="X265" s="23" t="n">
        <v>5</v>
      </c>
      <c r="Y265" s="18">
        <f>AC265-AB265</f>
        <v/>
      </c>
      <c r="Z265" s="27" t="n">
        <v>34</v>
      </c>
      <c r="AA265" s="27" t="n">
        <v>55</v>
      </c>
      <c r="AB265" s="27" t="n">
        <v>0</v>
      </c>
      <c r="AC265" s="27" t="n">
        <v>51</v>
      </c>
      <c r="AD265" s="1" t="inlineStr">
        <is>
          <t>39746206</t>
        </is>
      </c>
      <c r="AE265" s="1" t="inlineStr">
        <is>
          <t>Suede-puma Black-puma Black</t>
        </is>
      </c>
      <c r="AF265" s="4" t="n">
        <v>7.35</v>
      </c>
      <c r="AG265" s="4" t="n">
        <v>7.62</v>
      </c>
    </row>
    <row r="266" ht="47.25" customHeight="1">
      <c r="A266" s="18" t="inlineStr">
        <is>
          <t>197672009803</t>
        </is>
      </c>
      <c r="B266" s="19" t="inlineStr">
        <is>
          <t>https://www.amazon.com/dp/</t>
        </is>
      </c>
      <c r="C266" s="20" t="inlineStr">
        <is>
          <t>B0D32B77HM</t>
        </is>
      </c>
      <c r="D266" s="44" t="n"/>
      <c r="E266" s="23" t="inlineStr">
        <is>
          <t>?th=1&amp;psc=1&amp;tag=sdcdeals03-20</t>
        </is>
      </c>
      <c r="F266" s="19">
        <f>HYPERLINK("https://redirect.sdcdeals.com/redirect?destination=https%3A%2F%2Fwww.amazon.com%2Fdp%2FB0D32B77HM%3Fth%3D1%26psc%3D1%26tag%3Dsdcdeals03-20", "Amazon Link")</f>
        <v/>
      </c>
      <c r="G266" s="19" t="inlineStr">
        <is>
          <t>https://www.jcpenney.com/s?searchTerm={search_term}</t>
        </is>
      </c>
      <c r="H266" s="23" t="inlineStr">
        <is>
          <t>197672009803</t>
        </is>
      </c>
      <c r="I266" s="19">
        <f>HYPERLINK("https://www.jcpenney.com/s?searchTerm=197672009803", "Retail Link")</f>
        <v/>
      </c>
      <c r="J266" s="23" t="inlineStr">
        <is>
          <t>n/a</t>
        </is>
      </c>
      <c r="K266" s="21" t="inlineStr">
        <is>
          <t>PUMA Women's Karmen II Idol Sneaker, Suede Black Black, 8</t>
        </is>
      </c>
      <c r="L266" s="24" t="n"/>
      <c r="M266" s="24" t="n">
        <v>48.99</v>
      </c>
      <c r="N266" s="24" t="n"/>
      <c r="O266" s="24">
        <f>V266-M266</f>
        <v/>
      </c>
      <c r="P266" s="25">
        <f>N266/L266</f>
        <v/>
      </c>
      <c r="Q266" s="23" t="n">
        <v>37459</v>
      </c>
      <c r="R266" s="23" t="n"/>
      <c r="S266" s="26" t="n">
        <v>2.25091702</v>
      </c>
      <c r="T266" s="24" t="n">
        <v>48.99</v>
      </c>
      <c r="U266" s="24" t="n">
        <v>58.24</v>
      </c>
      <c r="V266" s="24" t="n">
        <v>62.54</v>
      </c>
      <c r="W266" s="26" t="inlineStr">
        <is>
          <t>PUMA Karmen Ii Idol Sd Womens Sneakers</t>
        </is>
      </c>
      <c r="X266" s="23" t="n">
        <v>7</v>
      </c>
      <c r="Y266" s="18">
        <f>AC266-AB266</f>
        <v/>
      </c>
      <c r="Z266" s="27" t="n">
        <v>42</v>
      </c>
      <c r="AA266" s="27" t="n">
        <v>62</v>
      </c>
      <c r="AB266" s="27" t="n">
        <v>2</v>
      </c>
      <c r="AC266" s="27" t="n">
        <v>54</v>
      </c>
      <c r="AD266" s="1" t="inlineStr">
        <is>
          <t>39746206</t>
        </is>
      </c>
      <c r="AE266" s="1" t="inlineStr">
        <is>
          <t>Suede-puma Black-puma Black</t>
        </is>
      </c>
      <c r="AF266" s="4" t="n">
        <v>7.35</v>
      </c>
      <c r="AG266" s="4" t="n">
        <v>7.62</v>
      </c>
    </row>
    <row r="267" ht="47.25" customHeight="1">
      <c r="A267" s="18" t="inlineStr">
        <is>
          <t>197672009742</t>
        </is>
      </c>
      <c r="B267" s="19" t="inlineStr">
        <is>
          <t>https://www.amazon.com/dp/</t>
        </is>
      </c>
      <c r="C267" s="20" t="inlineStr">
        <is>
          <t>B0D32C681G</t>
        </is>
      </c>
      <c r="D267" s="44" t="n"/>
      <c r="E267" s="23" t="inlineStr">
        <is>
          <t>?th=1&amp;psc=1&amp;tag=sdcdeals03-20</t>
        </is>
      </c>
      <c r="F267" s="19">
        <f>HYPERLINK("https://redirect.sdcdeals.com/redirect?destination=https%3A%2F%2Fwww.amazon.com%2Fdp%2FB0D32C681G%3Fth%3D1%26psc%3D1%26tag%3Dsdcdeals03-20", "Amazon Link")</f>
        <v/>
      </c>
      <c r="G267" s="19" t="inlineStr">
        <is>
          <t>https://www.jcpenney.com/s?searchTerm={search_term}</t>
        </is>
      </c>
      <c r="H267" s="23" t="inlineStr">
        <is>
          <t>197672009742</t>
        </is>
      </c>
      <c r="I267" s="19">
        <f>HYPERLINK("https://www.jcpenney.com/s?searchTerm=197672009742", "Retail Link")</f>
        <v/>
      </c>
      <c r="J267" s="23" t="inlineStr">
        <is>
          <t>n/a</t>
        </is>
      </c>
      <c r="K267" s="21" t="inlineStr">
        <is>
          <t>PUMA Women's Karmen II Idol Sneaker, Suede Black Black, 8.5</t>
        </is>
      </c>
      <c r="L267" s="24" t="n"/>
      <c r="M267" s="24" t="n">
        <v>48.99</v>
      </c>
      <c r="N267" s="24" t="n"/>
      <c r="O267" s="24">
        <f>V267-M267</f>
        <v/>
      </c>
      <c r="P267" s="25">
        <f>N267/L267</f>
        <v/>
      </c>
      <c r="Q267" s="23" t="n">
        <v>39909</v>
      </c>
      <c r="R267" s="23" t="n"/>
      <c r="S267" s="26" t="n">
        <v>0.110231</v>
      </c>
      <c r="T267" s="24" t="n">
        <v>48.99</v>
      </c>
      <c r="U267" s="24" t="n">
        <v>59.17</v>
      </c>
      <c r="V267" s="24" t="n">
        <v>64.03</v>
      </c>
      <c r="W267" s="26" t="inlineStr">
        <is>
          <t>PUMA Karmen Ii Idol Sd Womens Sneakers</t>
        </is>
      </c>
      <c r="X267" s="23" t="n">
        <v>7</v>
      </c>
      <c r="Y267" s="18">
        <f>AC267-AB267</f>
        <v/>
      </c>
      <c r="Z267" s="27" t="n">
        <v>42</v>
      </c>
      <c r="AA267" s="27" t="n">
        <v>65</v>
      </c>
      <c r="AB267" s="27" t="n">
        <v>1</v>
      </c>
      <c r="AC267" s="27" t="n">
        <v>52</v>
      </c>
      <c r="AD267" s="1" t="inlineStr">
        <is>
          <t>39746206</t>
        </is>
      </c>
      <c r="AE267" s="1" t="inlineStr">
        <is>
          <t>Suede-puma Black-puma Black</t>
        </is>
      </c>
      <c r="AF267" s="4" t="n">
        <v>7.35</v>
      </c>
      <c r="AG267" s="4" t="n">
        <v>7.86</v>
      </c>
    </row>
    <row r="268" ht="47.25" customHeight="1">
      <c r="A268" s="18" t="inlineStr">
        <is>
          <t>197672009810</t>
        </is>
      </c>
      <c r="B268" s="19" t="inlineStr">
        <is>
          <t>https://www.amazon.com/dp/</t>
        </is>
      </c>
      <c r="C268" s="20" t="inlineStr">
        <is>
          <t>B0D32C5JT4</t>
        </is>
      </c>
      <c r="D268" s="44" t="n"/>
      <c r="E268" s="23" t="inlineStr">
        <is>
          <t>?th=1&amp;psc=1&amp;tag=sdcdeals03-20</t>
        </is>
      </c>
      <c r="F268" s="19">
        <f>HYPERLINK("https://redirect.sdcdeals.com/redirect?destination=https%3A%2F%2Fwww.amazon.com%2Fdp%2FB0D32C5JT4%3Fth%3D1%26psc%3D1%26tag%3Dsdcdeals03-20", "Amazon Link")</f>
        <v/>
      </c>
      <c r="G268" s="19" t="inlineStr">
        <is>
          <t>https://www.jcpenney.com/s?searchTerm={search_term}</t>
        </is>
      </c>
      <c r="H268" s="23" t="inlineStr">
        <is>
          <t>197672009810</t>
        </is>
      </c>
      <c r="I268" s="19">
        <f>HYPERLINK("https://www.jcpenney.com/s?searchTerm=197672009810", "Retail Link")</f>
        <v/>
      </c>
      <c r="J268" s="23" t="inlineStr">
        <is>
          <t>n/a</t>
        </is>
      </c>
      <c r="K268" s="21" t="inlineStr">
        <is>
          <t>PUMA Women's Karmen II Idol Sneaker, Suede Black Black, 9</t>
        </is>
      </c>
      <c r="L268" s="24" t="n"/>
      <c r="M268" s="24" t="n">
        <v>48.99</v>
      </c>
      <c r="N268" s="24" t="n"/>
      <c r="O268" s="24">
        <f>V268-M268</f>
        <v/>
      </c>
      <c r="P268" s="25">
        <f>N268/L268</f>
        <v/>
      </c>
      <c r="Q268" s="23" t="n">
        <v>38465</v>
      </c>
      <c r="R268" s="23" t="n"/>
      <c r="S268" s="26" t="n">
        <v>2.40083118</v>
      </c>
      <c r="T268" s="24" t="n">
        <v>48.99</v>
      </c>
      <c r="U268" s="24" t="n">
        <v>59.59</v>
      </c>
      <c r="V268" s="24" t="n">
        <v>63.52</v>
      </c>
      <c r="W268" s="26" t="inlineStr">
        <is>
          <t>PUMA Karmen Ii Idol Sd Womens Sneakers</t>
        </is>
      </c>
      <c r="X268" s="23" t="n">
        <v>5</v>
      </c>
      <c r="Y268" s="18">
        <f>AC268-AB268</f>
        <v/>
      </c>
      <c r="Z268" s="27" t="n">
        <v>36</v>
      </c>
      <c r="AA268" s="27" t="n">
        <v>58</v>
      </c>
      <c r="AB268" s="27" t="n">
        <v>0</v>
      </c>
      <c r="AC268" s="27" t="n">
        <v>54</v>
      </c>
      <c r="AD268" s="1" t="inlineStr">
        <is>
          <t>39746206</t>
        </is>
      </c>
      <c r="AE268" s="1" t="inlineStr">
        <is>
          <t>Suede-puma Black-puma Black</t>
        </is>
      </c>
      <c r="AF268" s="4" t="n">
        <v>7.35</v>
      </c>
      <c r="AG268" s="4" t="n">
        <v>8.1</v>
      </c>
    </row>
    <row r="269" ht="47.25" customHeight="1">
      <c r="A269" s="18" t="inlineStr">
        <is>
          <t>197672009759</t>
        </is>
      </c>
      <c r="B269" s="19" t="inlineStr">
        <is>
          <t>https://www.amazon.com/dp/</t>
        </is>
      </c>
      <c r="C269" s="20" t="inlineStr">
        <is>
          <t>B0D32CTBRJ</t>
        </is>
      </c>
      <c r="D269" s="44" t="n"/>
      <c r="E269" s="23" t="inlineStr">
        <is>
          <t>?th=1&amp;psc=1&amp;tag=sdcdeals03-20</t>
        </is>
      </c>
      <c r="F269" s="19">
        <f>HYPERLINK("https://redirect.sdcdeals.com/redirect?destination=https%3A%2F%2Fwww.amazon.com%2Fdp%2FB0D32CTBRJ%3Fth%3D1%26psc%3D1%26tag%3Dsdcdeals03-20", "Amazon Link")</f>
        <v/>
      </c>
      <c r="G269" s="19" t="inlineStr">
        <is>
          <t>https://www.jcpenney.com/s?searchTerm={search_term}</t>
        </is>
      </c>
      <c r="H269" s="23" t="inlineStr">
        <is>
          <t>197672009759</t>
        </is>
      </c>
      <c r="I269" s="19">
        <f>HYPERLINK("https://www.jcpenney.com/s?searchTerm=197672009759", "Retail Link")</f>
        <v/>
      </c>
      <c r="J269" s="23" t="inlineStr">
        <is>
          <t>n/a</t>
        </is>
      </c>
      <c r="K269" s="21" t="inlineStr">
        <is>
          <t>PUMA Women's Karmen II Idol Sneaker, Suede Black Black, 9.5</t>
        </is>
      </c>
      <c r="L269" s="24" t="n"/>
      <c r="M269" s="24" t="n">
        <v>48.99</v>
      </c>
      <c r="N269" s="24" t="n"/>
      <c r="O269" s="24">
        <f>V269-M269</f>
        <v/>
      </c>
      <c r="P269" s="25">
        <f>N269/L269</f>
        <v/>
      </c>
      <c r="Q269" s="23" t="n">
        <v>38465</v>
      </c>
      <c r="R269" s="23" t="n"/>
      <c r="S269" s="26" t="n">
        <v>2.4691744</v>
      </c>
      <c r="T269" s="24" t="n">
        <v>48.99</v>
      </c>
      <c r="U269" s="24" t="n">
        <v>57.09</v>
      </c>
      <c r="V269" s="24" t="n">
        <v>61.65</v>
      </c>
      <c r="W269" s="26" t="inlineStr">
        <is>
          <t>PUMA Karmen Ii Idol Sd Womens Sneakers</t>
        </is>
      </c>
      <c r="X269" s="23" t="n">
        <v>6</v>
      </c>
      <c r="Y269" s="18">
        <f>AC269-AB269</f>
        <v/>
      </c>
      <c r="Z269" s="27" t="n">
        <v>31</v>
      </c>
      <c r="AA269" s="27" t="n">
        <v>61</v>
      </c>
      <c r="AB269" s="27" t="n">
        <v>0</v>
      </c>
      <c r="AC269" s="27" t="n">
        <v>51</v>
      </c>
      <c r="AD269" s="1" t="inlineStr">
        <is>
          <t>39746206</t>
        </is>
      </c>
      <c r="AE269" s="1" t="inlineStr">
        <is>
          <t>Suede-puma Black-puma Black</t>
        </is>
      </c>
      <c r="AF269" s="4" t="n">
        <v>7.35</v>
      </c>
      <c r="AG269" s="4" t="n">
        <v>7.86</v>
      </c>
    </row>
    <row r="270" ht="47.25" customHeight="1">
      <c r="A270" s="18" t="inlineStr">
        <is>
          <t>197672009827</t>
        </is>
      </c>
      <c r="B270" s="19" t="inlineStr">
        <is>
          <t>https://www.amazon.com/dp/</t>
        </is>
      </c>
      <c r="C270" s="20" t="inlineStr">
        <is>
          <t>B0D329N494</t>
        </is>
      </c>
      <c r="D270" s="44" t="n"/>
      <c r="E270" s="23" t="inlineStr">
        <is>
          <t>?th=1&amp;psc=1&amp;tag=sdcdeals03-20</t>
        </is>
      </c>
      <c r="F270" s="19">
        <f>HYPERLINK("https://redirect.sdcdeals.com/redirect?destination=https%3A%2F%2Fwww.amazon.com%2Fdp%2FB0D329N494%3Fth%3D1%26psc%3D1%26tag%3Dsdcdeals03-20", "Amazon Link")</f>
        <v/>
      </c>
      <c r="G270" s="19" t="inlineStr">
        <is>
          <t>https://www.jcpenney.com/s?searchTerm={search_term}</t>
        </is>
      </c>
      <c r="H270" s="23" t="inlineStr">
        <is>
          <t>197672009827</t>
        </is>
      </c>
      <c r="I270" s="19">
        <f>HYPERLINK("https://www.jcpenney.com/s?searchTerm=197672009827", "Retail Link")</f>
        <v/>
      </c>
      <c r="J270" s="23" t="inlineStr">
        <is>
          <t>n/a</t>
        </is>
      </c>
      <c r="K270" s="21" t="inlineStr">
        <is>
          <t>PUMA Women's Karmen II Idol Sneaker, Suede Black Black, 10</t>
        </is>
      </c>
      <c r="L270" s="24" t="n"/>
      <c r="M270" s="24" t="n">
        <v>48.99</v>
      </c>
      <c r="N270" s="24" t="n"/>
      <c r="O270" s="24">
        <f>V270-M270</f>
        <v/>
      </c>
      <c r="P270" s="25">
        <f>N270/L270</f>
        <v/>
      </c>
      <c r="Q270" s="23" t="n">
        <v>37459</v>
      </c>
      <c r="R270" s="23" t="n"/>
      <c r="S270" s="26" t="n">
        <v>2.48901598</v>
      </c>
      <c r="T270" s="24" t="n">
        <v>48.99</v>
      </c>
      <c r="U270" s="24" t="n">
        <v>59.28</v>
      </c>
      <c r="V270" s="24" t="n">
        <v>63.32</v>
      </c>
      <c r="W270" s="26" t="inlineStr">
        <is>
          <t>PUMA Karmen Ii Idol Sd Womens Sneakers</t>
        </is>
      </c>
      <c r="X270" s="23" t="n">
        <v>7</v>
      </c>
      <c r="Y270" s="18">
        <f>AC270-AB270</f>
        <v/>
      </c>
      <c r="Z270" s="27" t="n">
        <v>31</v>
      </c>
      <c r="AA270" s="27" t="n">
        <v>56</v>
      </c>
      <c r="AB270" s="27" t="n">
        <v>0</v>
      </c>
      <c r="AC270" s="27" t="n">
        <v>52</v>
      </c>
      <c r="AD270" s="1" t="inlineStr">
        <is>
          <t>39746206</t>
        </is>
      </c>
      <c r="AE270" s="1" t="inlineStr">
        <is>
          <t>Suede-puma Black-puma Black</t>
        </is>
      </c>
      <c r="AF270" s="4" t="n">
        <v>7.35</v>
      </c>
      <c r="AG270" s="4" t="n">
        <v>7.86</v>
      </c>
    </row>
    <row r="271" ht="47.25" customHeight="1">
      <c r="A271" s="18" t="inlineStr">
        <is>
          <t>197672009834</t>
        </is>
      </c>
      <c r="B271" s="19" t="inlineStr">
        <is>
          <t>https://www.amazon.com/dp/</t>
        </is>
      </c>
      <c r="C271" s="20" t="inlineStr">
        <is>
          <t>B0D32C3F1Y</t>
        </is>
      </c>
      <c r="D271" s="44" t="n"/>
      <c r="E271" s="23" t="inlineStr">
        <is>
          <t>?th=1&amp;psc=1&amp;tag=sdcdeals03-20</t>
        </is>
      </c>
      <c r="F271" s="19">
        <f>HYPERLINK("https://redirect.sdcdeals.com/redirect?destination=https%3A%2F%2Fwww.amazon.com%2Fdp%2FB0D32C3F1Y%3Fth%3D1%26psc%3D1%26tag%3Dsdcdeals03-20", "Amazon Link")</f>
        <v/>
      </c>
      <c r="G271" s="19" t="inlineStr">
        <is>
          <t>https://www.jcpenney.com/s?searchTerm={search_term}</t>
        </is>
      </c>
      <c r="H271" s="23" t="inlineStr">
        <is>
          <t>197672009834</t>
        </is>
      </c>
      <c r="I271" s="19">
        <f>HYPERLINK("https://www.jcpenney.com/s?searchTerm=197672009834", "Retail Link")</f>
        <v/>
      </c>
      <c r="J271" s="23" t="inlineStr">
        <is>
          <t>n/a</t>
        </is>
      </c>
      <c r="K271" s="21" t="inlineStr">
        <is>
          <t>PUMA Women's Karmen II Idol Sneaker, Suede Black Black, 11</t>
        </is>
      </c>
      <c r="L271" s="24" t="n"/>
      <c r="M271" s="24" t="n">
        <v>70.2</v>
      </c>
      <c r="N271" s="24" t="n"/>
      <c r="O271" s="24">
        <f>V271-M271</f>
        <v/>
      </c>
      <c r="P271" s="25">
        <f>N271/L271</f>
        <v/>
      </c>
      <c r="Q271" s="23" t="n">
        <v>39909</v>
      </c>
      <c r="R271" s="23" t="n"/>
      <c r="S271" s="26" t="n">
        <v>2.44933282</v>
      </c>
      <c r="T271" s="24" t="n">
        <v>70.18000000000001</v>
      </c>
      <c r="U271" s="24" t="n">
        <v>62.45</v>
      </c>
      <c r="V271" s="24" t="n">
        <v>65.81</v>
      </c>
      <c r="W271" s="26" t="inlineStr">
        <is>
          <t>PUMA Karmen Ii Idol Sd Womens Sneakers</t>
        </is>
      </c>
      <c r="X271" s="23" t="n">
        <v>7</v>
      </c>
      <c r="Y271" s="18">
        <f>AC271-AB271</f>
        <v/>
      </c>
      <c r="Z271" s="27" t="n">
        <v>39</v>
      </c>
      <c r="AA271" s="27" t="n">
        <v>55</v>
      </c>
      <c r="AB271" s="27" t="n">
        <v>0</v>
      </c>
      <c r="AC271" s="27" t="n">
        <v>49</v>
      </c>
      <c r="AD271" s="1" t="inlineStr">
        <is>
          <t>39746206</t>
        </is>
      </c>
      <c r="AE271" s="1" t="inlineStr">
        <is>
          <t>Suede-puma Black-puma Black</t>
        </is>
      </c>
      <c r="AF271" s="4" t="n">
        <v>10.53</v>
      </c>
      <c r="AG271" s="4" t="n">
        <v>7.86</v>
      </c>
    </row>
    <row r="272" ht="47.25" customHeight="1">
      <c r="A272" s="18" t="inlineStr">
        <is>
          <t>197672019000</t>
        </is>
      </c>
      <c r="B272" s="19" t="inlineStr">
        <is>
          <t>https://www.amazon.com/dp/</t>
        </is>
      </c>
      <c r="C272" s="20" t="inlineStr">
        <is>
          <t>B0DJ651RSZ</t>
        </is>
      </c>
      <c r="D272" s="44" t="n"/>
      <c r="E272" s="23" t="inlineStr">
        <is>
          <t>?th=1&amp;psc=1&amp;tag=sdcdeals03-20</t>
        </is>
      </c>
      <c r="F272" s="19">
        <f>HYPERLINK("https://redirect.sdcdeals.com/redirect?destination=https%3A%2F%2Fwww.amazon.com%2Fdp%2FB0DJ651RSZ%3Fth%3D1%26psc%3D1%26tag%3Dsdcdeals03-20", "Amazon Link")</f>
        <v/>
      </c>
      <c r="G272" s="19" t="inlineStr">
        <is>
          <t>https://www.jcpenney.com/s?searchTerm={search_term}</t>
        </is>
      </c>
      <c r="H272" s="23" t="inlineStr">
        <is>
          <t>197672019000</t>
        </is>
      </c>
      <c r="I272" s="19">
        <f>HYPERLINK("https://www.jcpenney.com/s?searchTerm=197672019000", "Retail Link")</f>
        <v/>
      </c>
      <c r="J272" s="23" t="inlineStr">
        <is>
          <t>n/a</t>
        </is>
      </c>
      <c r="K272" s="21" t="inlineStr">
        <is>
          <t>Puma - Womens Club Pearl Shoes, Color Alpine Snow/Cold Green/Caramel Latte, Size: 5.5 M US</t>
        </is>
      </c>
      <c r="L272" s="24" t="n">
        <v>66.5</v>
      </c>
      <c r="M272" s="24" t="n">
        <v>74.98999999999999</v>
      </c>
      <c r="N272" s="24" t="n"/>
      <c r="O272" s="24">
        <f>V272-M272</f>
        <v/>
      </c>
      <c r="P272" s="25">
        <f>N272/L272</f>
        <v/>
      </c>
      <c r="Q272" s="23" t="n"/>
      <c r="R272" s="23" t="n"/>
      <c r="S272" s="26" t="n"/>
      <c r="T272" s="24" t="n">
        <v>70</v>
      </c>
      <c r="U272" s="24" t="n">
        <v>74.98999999999999</v>
      </c>
      <c r="V272" s="24" t="n">
        <v>74.98999999999999</v>
      </c>
      <c r="W272" s="26" t="inlineStr">
        <is>
          <t>PUMA Club Pearl Womens Sneakers</t>
        </is>
      </c>
      <c r="X272" s="23" t="n">
        <v>1</v>
      </c>
      <c r="Y272" s="18">
        <f>AC272-AB272</f>
        <v/>
      </c>
      <c r="Z272" s="27" t="n">
        <v>-1</v>
      </c>
      <c r="AA272" s="27" t="n">
        <v>-1</v>
      </c>
      <c r="AB272" s="27" t="n"/>
      <c r="AC272" s="27" t="n"/>
      <c r="AD272" s="1" t="inlineStr"/>
      <c r="AE272" s="1" t="inlineStr">
        <is>
          <t>Alpine Snow/Cold Green/Caramel Latte</t>
        </is>
      </c>
      <c r="AF272" s="4" t="inlineStr"/>
      <c r="AG272" s="4" t="inlineStr"/>
    </row>
    <row r="273" ht="47.25" customHeight="1">
      <c r="A273" s="18" t="inlineStr">
        <is>
          <t>197672019062</t>
        </is>
      </c>
      <c r="B273" s="19" t="inlineStr">
        <is>
          <t>https://www.amazon.com/dp/</t>
        </is>
      </c>
      <c r="C273" s="20" t="inlineStr">
        <is>
          <t>B0DJ63LTJR</t>
        </is>
      </c>
      <c r="D273" s="44" t="n"/>
      <c r="E273" s="23" t="inlineStr">
        <is>
          <t>?th=1&amp;psc=1&amp;tag=sdcdeals03-20</t>
        </is>
      </c>
      <c r="F273" s="19">
        <f>HYPERLINK("https://redirect.sdcdeals.com/redirect?destination=https%3A%2F%2Fwww.amazon.com%2Fdp%2FB0DJ63LTJR%3Fth%3D1%26psc%3D1%26tag%3Dsdcdeals03-20", "Amazon Link")</f>
        <v/>
      </c>
      <c r="G273" s="19" t="inlineStr">
        <is>
          <t>https://www.jcpenney.com/s?searchTerm={search_term}</t>
        </is>
      </c>
      <c r="H273" s="23" t="inlineStr">
        <is>
          <t>197672019062</t>
        </is>
      </c>
      <c r="I273" s="19">
        <f>HYPERLINK("https://www.jcpenney.com/s?searchTerm=197672019062", "Retail Link")</f>
        <v/>
      </c>
      <c r="J273" s="23" t="inlineStr">
        <is>
          <t>n/a</t>
        </is>
      </c>
      <c r="K273" s="21" t="inlineStr">
        <is>
          <t>Puma - Womens Club Pearl Shoes, Color Alpine Snow/Cold Green/Caramel Latte, Size: 6 M US</t>
        </is>
      </c>
      <c r="L273" s="24" t="n">
        <v>66.5</v>
      </c>
      <c r="M273" s="24" t="n">
        <v>95.48999999999999</v>
      </c>
      <c r="N273" s="24" t="n"/>
      <c r="O273" s="24">
        <f>V273-M273</f>
        <v/>
      </c>
      <c r="P273" s="25">
        <f>N273/L273</f>
        <v/>
      </c>
      <c r="Q273" s="23" t="n"/>
      <c r="R273" s="23" t="n"/>
      <c r="S273" s="26" t="n"/>
      <c r="T273" s="24" t="n">
        <v>80.54000000000001</v>
      </c>
      <c r="U273" s="24" t="n">
        <v>95.92</v>
      </c>
      <c r="V273" s="24" t="n">
        <v>95.92</v>
      </c>
      <c r="W273" s="26" t="inlineStr">
        <is>
          <t>PUMA Club Pearl Womens Sneakers</t>
        </is>
      </c>
      <c r="X273" s="23" t="n">
        <v>4</v>
      </c>
      <c r="Y273" s="18">
        <f>AC273-AB273</f>
        <v/>
      </c>
      <c r="Z273" s="27" t="n">
        <v>-1</v>
      </c>
      <c r="AA273" s="27" t="n">
        <v>-1</v>
      </c>
      <c r="AB273" s="27" t="n"/>
      <c r="AC273" s="27" t="n"/>
      <c r="AD273" s="1" t="inlineStr"/>
      <c r="AE273" s="1" t="inlineStr">
        <is>
          <t>Alpine Snow/Cold Green/Caramel Latte</t>
        </is>
      </c>
      <c r="AF273" s="4" t="inlineStr"/>
      <c r="AG273" s="4" t="inlineStr"/>
    </row>
    <row r="274" ht="47.25" customHeight="1">
      <c r="A274" s="18" t="inlineStr">
        <is>
          <t>197672019017</t>
        </is>
      </c>
      <c r="B274" s="19" t="inlineStr">
        <is>
          <t>https://www.amazon.com/dp/</t>
        </is>
      </c>
      <c r="C274" s="20" t="inlineStr">
        <is>
          <t>B0DJ63J9XJ</t>
        </is>
      </c>
      <c r="D274" s="44" t="n"/>
      <c r="E274" s="23" t="inlineStr">
        <is>
          <t>?th=1&amp;psc=1&amp;tag=sdcdeals03-20</t>
        </is>
      </c>
      <c r="F274" s="19">
        <f>HYPERLINK("https://redirect.sdcdeals.com/redirect?destination=https%3A%2F%2Fwww.amazon.com%2Fdp%2FB0DJ63J9XJ%3Fth%3D1%26psc%3D1%26tag%3Dsdcdeals03-20", "Amazon Link")</f>
        <v/>
      </c>
      <c r="G274" s="19" t="inlineStr">
        <is>
          <t>https://www.jcpenney.com/s?searchTerm={search_term}</t>
        </is>
      </c>
      <c r="H274" s="23" t="inlineStr">
        <is>
          <t>197672019017</t>
        </is>
      </c>
      <c r="I274" s="19">
        <f>HYPERLINK("https://www.jcpenney.com/s?searchTerm=197672019017", "Retail Link")</f>
        <v/>
      </c>
      <c r="J274" s="23" t="inlineStr">
        <is>
          <t>n/a</t>
        </is>
      </c>
      <c r="K274" s="21" t="inlineStr">
        <is>
          <t>Puma - Womens Club Pearl Shoes, Color Alpine Snow/Cold Green/Caramel Latte, Size: 6.5 M US</t>
        </is>
      </c>
      <c r="L274" s="24" t="n">
        <v>66.5</v>
      </c>
      <c r="M274" s="24" t="n">
        <v>95.48999999999999</v>
      </c>
      <c r="N274" s="24" t="n"/>
      <c r="O274" s="24">
        <f>V274-M274</f>
        <v/>
      </c>
      <c r="P274" s="25">
        <f>N274/L274</f>
        <v/>
      </c>
      <c r="Q274" s="23" t="n"/>
      <c r="R274" s="23" t="n"/>
      <c r="S274" s="26" t="n"/>
      <c r="T274" s="24" t="n">
        <v>80.54000000000001</v>
      </c>
      <c r="U274" s="24" t="n">
        <v>97.54000000000001</v>
      </c>
      <c r="V274" s="24" t="n">
        <v>97.54000000000001</v>
      </c>
      <c r="W274" s="26" t="inlineStr">
        <is>
          <t>PUMA Club Pearl Womens Sneakers</t>
        </is>
      </c>
      <c r="X274" s="23" t="n">
        <v>5</v>
      </c>
      <c r="Y274" s="18">
        <f>AC274-AB274</f>
        <v/>
      </c>
      <c r="Z274" s="27" t="n">
        <v>-1</v>
      </c>
      <c r="AA274" s="27" t="n">
        <v>-1</v>
      </c>
      <c r="AB274" s="27" t="n"/>
      <c r="AC274" s="27" t="n"/>
      <c r="AD274" s="1" t="inlineStr"/>
      <c r="AE274" s="1" t="inlineStr">
        <is>
          <t>Alpine Snow/Cold Green/Caramel Latte</t>
        </is>
      </c>
      <c r="AF274" s="4" t="inlineStr"/>
      <c r="AG274" s="4" t="inlineStr"/>
    </row>
    <row r="275" ht="47.25" customHeight="1">
      <c r="A275" s="18" t="inlineStr">
        <is>
          <t>197672019079</t>
        </is>
      </c>
      <c r="B275" s="19" t="inlineStr">
        <is>
          <t>https://www.amazon.com/dp/</t>
        </is>
      </c>
      <c r="C275" s="20" t="inlineStr">
        <is>
          <t>B0DJ63XQPB</t>
        </is>
      </c>
      <c r="D275" s="44" t="n"/>
      <c r="E275" s="23" t="inlineStr">
        <is>
          <t>?th=1&amp;psc=1&amp;tag=sdcdeals03-20</t>
        </is>
      </c>
      <c r="F275" s="19">
        <f>HYPERLINK("https://redirect.sdcdeals.com/redirect?destination=https%3A%2F%2Fwww.amazon.com%2Fdp%2FB0DJ63XQPB%3Fth%3D1%26psc%3D1%26tag%3Dsdcdeals03-20", "Amazon Link")</f>
        <v/>
      </c>
      <c r="G275" s="19" t="inlineStr">
        <is>
          <t>https://www.jcpenney.com/s?searchTerm={search_term}</t>
        </is>
      </c>
      <c r="H275" s="23" t="inlineStr">
        <is>
          <t>197672019079</t>
        </is>
      </c>
      <c r="I275" s="19">
        <f>HYPERLINK("https://www.jcpenney.com/s?searchTerm=197672019079", "Retail Link")</f>
        <v/>
      </c>
      <c r="J275" s="23" t="inlineStr">
        <is>
          <t>n/a</t>
        </is>
      </c>
      <c r="K275" s="21" t="inlineStr">
        <is>
          <t>Puma - Womens Club Pearl Shoes, Color Alpine Snow/Cold Green/Caramel Latte, Size: 7 M US</t>
        </is>
      </c>
      <c r="L275" s="24" t="n">
        <v>66.5</v>
      </c>
      <c r="M275" s="24" t="n">
        <v>104</v>
      </c>
      <c r="N275" s="24" t="n"/>
      <c r="O275" s="24">
        <f>V275-M275</f>
        <v/>
      </c>
      <c r="P275" s="25">
        <f>N275/L275</f>
        <v/>
      </c>
      <c r="Q275" s="23" t="n"/>
      <c r="R275" s="23" t="n"/>
      <c r="S275" s="26" t="n"/>
      <c r="T275" s="24" t="n">
        <v>82.55</v>
      </c>
      <c r="U275" s="24" t="n">
        <v>104</v>
      </c>
      <c r="V275" s="24" t="n">
        <v>104</v>
      </c>
      <c r="W275" s="26" t="inlineStr">
        <is>
          <t>PUMA Club Pearl Womens Sneakers</t>
        </is>
      </c>
      <c r="X275" s="23" t="n">
        <v>4</v>
      </c>
      <c r="Y275" s="18">
        <f>AC275-AB275</f>
        <v/>
      </c>
      <c r="Z275" s="27" t="n">
        <v>-1</v>
      </c>
      <c r="AA275" s="27" t="n">
        <v>-1</v>
      </c>
      <c r="AB275" s="27" t="n"/>
      <c r="AC275" s="27" t="n"/>
      <c r="AD275" s="1" t="inlineStr"/>
      <c r="AE275" s="1" t="inlineStr">
        <is>
          <t>Alpine Snow/Cold Green/Caramel Latte</t>
        </is>
      </c>
      <c r="AF275" s="4" t="inlineStr"/>
      <c r="AG275" s="4" t="inlineStr"/>
    </row>
    <row r="276" ht="47.25" customHeight="1">
      <c r="A276" s="18" t="inlineStr">
        <is>
          <t>197672019024</t>
        </is>
      </c>
      <c r="B276" s="19" t="inlineStr">
        <is>
          <t>https://www.amazon.com/dp/</t>
        </is>
      </c>
      <c r="C276" s="20" t="inlineStr">
        <is>
          <t>B0DJ6519ZD</t>
        </is>
      </c>
      <c r="D276" s="44" t="n"/>
      <c r="E276" s="23" t="inlineStr">
        <is>
          <t>?th=1&amp;psc=1&amp;tag=sdcdeals03-20</t>
        </is>
      </c>
      <c r="F276" s="19">
        <f>HYPERLINK("https://redirect.sdcdeals.com/redirect?destination=https%3A%2F%2Fwww.amazon.com%2Fdp%2FB0DJ6519ZD%3Fth%3D1%26psc%3D1%26tag%3Dsdcdeals03-20", "Amazon Link")</f>
        <v/>
      </c>
      <c r="G276" s="19" t="inlineStr">
        <is>
          <t>https://www.jcpenney.com/s?searchTerm={search_term}</t>
        </is>
      </c>
      <c r="H276" s="23" t="inlineStr">
        <is>
          <t>197672019024</t>
        </is>
      </c>
      <c r="I276" s="19">
        <f>HYPERLINK("https://www.jcpenney.com/s?searchTerm=197672019024", "Retail Link")</f>
        <v/>
      </c>
      <c r="J276" s="23" t="inlineStr">
        <is>
          <t>n/a</t>
        </is>
      </c>
      <c r="K276" s="21" t="inlineStr">
        <is>
          <t>Puma - Womens Club Pearl Shoes, Color Alpine Snow/Cold Green/Caramel Latte, Size: 7.5 M US</t>
        </is>
      </c>
      <c r="L276" s="24" t="n">
        <v>66.5</v>
      </c>
      <c r="M276" s="24" t="n">
        <v>84.51000000000001</v>
      </c>
      <c r="N276" s="24" t="n"/>
      <c r="O276" s="24">
        <f>V276-M276</f>
        <v/>
      </c>
      <c r="P276" s="25">
        <f>N276/L276</f>
        <v/>
      </c>
      <c r="Q276" s="23" t="n"/>
      <c r="R276" s="23" t="n"/>
      <c r="S276" s="26" t="n"/>
      <c r="T276" s="24" t="n">
        <v>76.56</v>
      </c>
      <c r="U276" s="24" t="n">
        <v>84.95</v>
      </c>
      <c r="V276" s="24" t="n">
        <v>84.95</v>
      </c>
      <c r="W276" s="26" t="inlineStr">
        <is>
          <t>PUMA Club Pearl Womens Sneakers</t>
        </is>
      </c>
      <c r="X276" s="23" t="n">
        <v>6</v>
      </c>
      <c r="Y276" s="18">
        <f>AC276-AB276</f>
        <v/>
      </c>
      <c r="Z276" s="27" t="n">
        <v>-1</v>
      </c>
      <c r="AA276" s="27" t="n">
        <v>-1</v>
      </c>
      <c r="AB276" s="27" t="n"/>
      <c r="AC276" s="27" t="n"/>
      <c r="AD276" s="1" t="inlineStr"/>
      <c r="AE276" s="1" t="inlineStr">
        <is>
          <t>Alpine Snow/Cold Green/Caramel Latte</t>
        </is>
      </c>
      <c r="AF276" s="4" t="inlineStr"/>
      <c r="AG276" s="4" t="inlineStr"/>
    </row>
    <row r="277" ht="47.25" customHeight="1">
      <c r="A277" s="18" t="inlineStr">
        <is>
          <t>197672019086</t>
        </is>
      </c>
      <c r="B277" s="19" t="inlineStr">
        <is>
          <t>https://www.amazon.com/dp/</t>
        </is>
      </c>
      <c r="C277" s="20" t="inlineStr">
        <is>
          <t>B0DJ64YJHX</t>
        </is>
      </c>
      <c r="D277" s="44" t="n"/>
      <c r="E277" s="23" t="inlineStr">
        <is>
          <t>?th=1&amp;psc=1&amp;tag=sdcdeals03-20</t>
        </is>
      </c>
      <c r="F277" s="19">
        <f>HYPERLINK("https://redirect.sdcdeals.com/redirect?destination=https%3A%2F%2Fwww.amazon.com%2Fdp%2FB0DJ64YJHX%3Fth%3D1%26psc%3D1%26tag%3Dsdcdeals03-20", "Amazon Link")</f>
        <v/>
      </c>
      <c r="G277" s="19" t="inlineStr">
        <is>
          <t>https://www.jcpenney.com/s?searchTerm={search_term}</t>
        </is>
      </c>
      <c r="H277" s="23" t="inlineStr">
        <is>
          <t>197672019086</t>
        </is>
      </c>
      <c r="I277" s="19">
        <f>HYPERLINK("https://www.jcpenney.com/s?searchTerm=197672019086", "Retail Link")</f>
        <v/>
      </c>
      <c r="J277" s="23" t="inlineStr">
        <is>
          <t>n/a</t>
        </is>
      </c>
      <c r="K277" s="21" t="inlineStr">
        <is>
          <t>Puma - Womens Club Pearl Shoes, Color Alpine Snow/Cold Green/Caramel Latte, Size: 8 M US</t>
        </is>
      </c>
      <c r="L277" s="24" t="n">
        <v>66.5</v>
      </c>
      <c r="M277" s="24" t="n">
        <v>99</v>
      </c>
      <c r="N277" s="24" t="n"/>
      <c r="O277" s="24">
        <f>V277-M277</f>
        <v/>
      </c>
      <c r="P277" s="25">
        <f>N277/L277</f>
        <v/>
      </c>
      <c r="Q277" s="23" t="n"/>
      <c r="R277" s="23" t="n"/>
      <c r="S277" s="26" t="n"/>
      <c r="T277" s="24" t="n">
        <v>80.51000000000001</v>
      </c>
      <c r="U277" s="24" t="n">
        <v>99</v>
      </c>
      <c r="V277" s="24" t="n">
        <v>99</v>
      </c>
      <c r="W277" s="26" t="inlineStr">
        <is>
          <t>PUMA Club Pearl Womens Sneakers</t>
        </is>
      </c>
      <c r="X277" s="23" t="n">
        <v>5</v>
      </c>
      <c r="Y277" s="18">
        <f>AC277-AB277</f>
        <v/>
      </c>
      <c r="Z277" s="27" t="n">
        <v>-1</v>
      </c>
      <c r="AA277" s="27" t="n">
        <v>-1</v>
      </c>
      <c r="AB277" s="27" t="n"/>
      <c r="AC277" s="27" t="n"/>
      <c r="AD277" s="1" t="inlineStr"/>
      <c r="AE277" s="1" t="inlineStr">
        <is>
          <t>Alpine Snow/Cold Green/Caramel Latte</t>
        </is>
      </c>
      <c r="AF277" s="4" t="inlineStr"/>
      <c r="AG277" s="4" t="inlineStr"/>
    </row>
    <row r="278" ht="47.25" customHeight="1">
      <c r="A278" s="18" t="inlineStr">
        <is>
          <t>197672019031</t>
        </is>
      </c>
      <c r="B278" s="19" t="inlineStr">
        <is>
          <t>https://www.amazon.com/dp/</t>
        </is>
      </c>
      <c r="C278" s="20" t="inlineStr">
        <is>
          <t>B0DJ63WVH7</t>
        </is>
      </c>
      <c r="D278" s="44" t="n"/>
      <c r="E278" s="23" t="inlineStr">
        <is>
          <t>?th=1&amp;psc=1&amp;tag=sdcdeals03-20</t>
        </is>
      </c>
      <c r="F278" s="19">
        <f>HYPERLINK("https://redirect.sdcdeals.com/redirect?destination=https%3A%2F%2Fwww.amazon.com%2Fdp%2FB0DJ63WVH7%3Fth%3D1%26psc%3D1%26tag%3Dsdcdeals03-20", "Amazon Link")</f>
        <v/>
      </c>
      <c r="G278" s="19" t="inlineStr">
        <is>
          <t>https://www.jcpenney.com/s?searchTerm={search_term}</t>
        </is>
      </c>
      <c r="H278" s="23" t="inlineStr">
        <is>
          <t>197672019031</t>
        </is>
      </c>
      <c r="I278" s="19">
        <f>HYPERLINK("https://www.jcpenney.com/s?searchTerm=197672019031", "Retail Link")</f>
        <v/>
      </c>
      <c r="J278" s="23" t="inlineStr">
        <is>
          <t>n/a</t>
        </is>
      </c>
      <c r="K278" s="21" t="inlineStr">
        <is>
          <t>Puma - Womens Club Pearl Shoes, Color Alpine Snow/Cold Green/Caramel Latte, Size: 8.5 M US</t>
        </is>
      </c>
      <c r="L278" s="24" t="n">
        <v>66.5</v>
      </c>
      <c r="M278" s="24" t="n">
        <v>84.51000000000001</v>
      </c>
      <c r="N278" s="24" t="n"/>
      <c r="O278" s="24">
        <f>V278-M278</f>
        <v/>
      </c>
      <c r="P278" s="25">
        <f>N278/L278</f>
        <v/>
      </c>
      <c r="Q278" s="23" t="n"/>
      <c r="R278" s="23" t="n"/>
      <c r="S278" s="26" t="n"/>
      <c r="T278" s="24" t="n">
        <v>76.56</v>
      </c>
      <c r="U278" s="24" t="n">
        <v>84.41</v>
      </c>
      <c r="V278" s="24" t="n">
        <v>84.41</v>
      </c>
      <c r="W278" s="26" t="inlineStr">
        <is>
          <t>PUMA Club Pearl Womens Sneakers</t>
        </is>
      </c>
      <c r="X278" s="23" t="n">
        <v>6</v>
      </c>
      <c r="Y278" s="18">
        <f>AC278-AB278</f>
        <v/>
      </c>
      <c r="Z278" s="27" t="n">
        <v>-1</v>
      </c>
      <c r="AA278" s="27" t="n">
        <v>-1</v>
      </c>
      <c r="AB278" s="27" t="n"/>
      <c r="AC278" s="27" t="n"/>
      <c r="AD278" s="1" t="inlineStr"/>
      <c r="AE278" s="1" t="inlineStr">
        <is>
          <t>Alpine Snow/Cold Green/Caramel Latte</t>
        </is>
      </c>
      <c r="AF278" s="4" t="inlineStr"/>
      <c r="AG278" s="4" t="inlineStr"/>
    </row>
    <row r="279" ht="47.25" customHeight="1">
      <c r="A279" s="18" t="inlineStr">
        <is>
          <t>197672019093</t>
        </is>
      </c>
      <c r="B279" s="19" t="inlineStr">
        <is>
          <t>https://www.amazon.com/dp/</t>
        </is>
      </c>
      <c r="C279" s="20" t="inlineStr">
        <is>
          <t>B0DJ65F64R</t>
        </is>
      </c>
      <c r="D279" s="44" t="n"/>
      <c r="E279" s="23" t="inlineStr">
        <is>
          <t>?th=1&amp;psc=1&amp;tag=sdcdeals03-20</t>
        </is>
      </c>
      <c r="F279" s="19">
        <f>HYPERLINK("https://redirect.sdcdeals.com/redirect?destination=https%3A%2F%2Fwww.amazon.com%2Fdp%2FB0DJ65F64R%3Fth%3D1%26psc%3D1%26tag%3Dsdcdeals03-20", "Amazon Link")</f>
        <v/>
      </c>
      <c r="G279" s="19" t="inlineStr">
        <is>
          <t>https://www.jcpenney.com/s?searchTerm={search_term}</t>
        </is>
      </c>
      <c r="H279" s="23" t="inlineStr">
        <is>
          <t>197672019093</t>
        </is>
      </c>
      <c r="I279" s="19">
        <f>HYPERLINK("https://www.jcpenney.com/s?searchTerm=197672019093", "Retail Link")</f>
        <v/>
      </c>
      <c r="J279" s="23" t="inlineStr">
        <is>
          <t>n/a</t>
        </is>
      </c>
      <c r="K279" s="21" t="inlineStr">
        <is>
          <t>Puma - Womens Club Pearl Shoes, Color Alpine Snow/Cold Green/Caramel Latte, Size: 9 M US</t>
        </is>
      </c>
      <c r="L279" s="24" t="n">
        <v>66.5</v>
      </c>
      <c r="M279" s="24" t="n">
        <v>95.48999999999999</v>
      </c>
      <c r="N279" s="24" t="n"/>
      <c r="O279" s="24">
        <f>V279-M279</f>
        <v/>
      </c>
      <c r="P279" s="25">
        <f>N279/L279</f>
        <v/>
      </c>
      <c r="Q279" s="23" t="n"/>
      <c r="R279" s="23" t="n"/>
      <c r="S279" s="26" t="n"/>
      <c r="T279" s="24" t="n">
        <v>80.54000000000001</v>
      </c>
      <c r="U279" s="24" t="n">
        <v>102.94</v>
      </c>
      <c r="V279" s="24" t="n">
        <v>102.94</v>
      </c>
      <c r="W279" s="26" t="inlineStr">
        <is>
          <t>PUMA Club Pearl Womens Sneakers</t>
        </is>
      </c>
      <c r="X279" s="23" t="n">
        <v>5</v>
      </c>
      <c r="Y279" s="18">
        <f>AC279-AB279</f>
        <v/>
      </c>
      <c r="Z279" s="27" t="n">
        <v>-1</v>
      </c>
      <c r="AA279" s="27" t="n">
        <v>-1</v>
      </c>
      <c r="AB279" s="27" t="n"/>
      <c r="AC279" s="27" t="n"/>
      <c r="AD279" s="1" t="inlineStr"/>
      <c r="AE279" s="1" t="inlineStr">
        <is>
          <t>Alpine Snow/Cold Green/Caramel Latte</t>
        </is>
      </c>
      <c r="AF279" s="4" t="inlineStr"/>
      <c r="AG279" s="4" t="inlineStr"/>
    </row>
    <row r="280" ht="47.25" customHeight="1">
      <c r="A280" s="18" t="inlineStr">
        <is>
          <t>197672019048</t>
        </is>
      </c>
      <c r="B280" s="19" t="inlineStr">
        <is>
          <t>https://www.amazon.com/dp/</t>
        </is>
      </c>
      <c r="C280" s="20" t="inlineStr">
        <is>
          <t>B0DJ63TX2X</t>
        </is>
      </c>
      <c r="D280" s="44" t="n"/>
      <c r="E280" s="23" t="inlineStr">
        <is>
          <t>?th=1&amp;psc=1&amp;tag=sdcdeals03-20</t>
        </is>
      </c>
      <c r="F280" s="19">
        <f>HYPERLINK("https://redirect.sdcdeals.com/redirect?destination=https%3A%2F%2Fwww.amazon.com%2Fdp%2FB0DJ63TX2X%3Fth%3D1%26psc%3D1%26tag%3Dsdcdeals03-20", "Amazon Link")</f>
        <v/>
      </c>
      <c r="G280" s="19" t="inlineStr">
        <is>
          <t>https://www.jcpenney.com/s?searchTerm={search_term}</t>
        </is>
      </c>
      <c r="H280" s="23" t="inlineStr">
        <is>
          <t>197672019048</t>
        </is>
      </c>
      <c r="I280" s="19">
        <f>HYPERLINK("https://www.jcpenney.com/s?searchTerm=197672019048", "Retail Link")</f>
        <v/>
      </c>
      <c r="J280" s="23" t="inlineStr">
        <is>
          <t>n/a</t>
        </is>
      </c>
      <c r="K280" s="21" t="inlineStr">
        <is>
          <t>Puma - Womens Club Pearl Shoes, Color Alpine Snow/Cold Green/Caramel Latte, Size: 9.5 M US</t>
        </is>
      </c>
      <c r="L280" s="24" t="n">
        <v>66.5</v>
      </c>
      <c r="M280" s="24" t="n">
        <v>96.98</v>
      </c>
      <c r="N280" s="24" t="n"/>
      <c r="O280" s="24">
        <f>V280-M280</f>
        <v/>
      </c>
      <c r="P280" s="25">
        <f>N280/L280</f>
        <v/>
      </c>
      <c r="Q280" s="23" t="n"/>
      <c r="R280" s="23" t="n"/>
      <c r="S280" s="26" t="n"/>
      <c r="T280" s="24" t="n">
        <v>96.98</v>
      </c>
      <c r="U280" s="24" t="n">
        <v>100.55</v>
      </c>
      <c r="V280" s="24" t="n">
        <v>100.55</v>
      </c>
      <c r="W280" s="26" t="inlineStr">
        <is>
          <t>PUMA Club Pearl Womens Sneakers</t>
        </is>
      </c>
      <c r="X280" s="23" t="n">
        <v>5</v>
      </c>
      <c r="Y280" s="18">
        <f>AC280-AB280</f>
        <v/>
      </c>
      <c r="Z280" s="27" t="n">
        <v>-1</v>
      </c>
      <c r="AA280" s="27" t="n">
        <v>-1</v>
      </c>
      <c r="AB280" s="27" t="n"/>
      <c r="AC280" s="27" t="n"/>
      <c r="AD280" s="1" t="inlineStr"/>
      <c r="AE280" s="1" t="inlineStr">
        <is>
          <t>Alpine Snow/Cold Green/Caramel Latte</t>
        </is>
      </c>
      <c r="AF280" s="4" t="inlineStr"/>
      <c r="AG280" s="4" t="inlineStr"/>
    </row>
    <row r="281" ht="47.25" customHeight="1">
      <c r="A281" s="18" t="inlineStr">
        <is>
          <t>197672019109</t>
        </is>
      </c>
      <c r="B281" s="19" t="inlineStr">
        <is>
          <t>https://www.amazon.com/dp/</t>
        </is>
      </c>
      <c r="C281" s="20" t="inlineStr">
        <is>
          <t>B0DJ654C62</t>
        </is>
      </c>
      <c r="D281" s="44" t="n"/>
      <c r="E281" s="23" t="inlineStr">
        <is>
          <t>?th=1&amp;psc=1&amp;tag=sdcdeals03-20</t>
        </is>
      </c>
      <c r="F281" s="19">
        <f>HYPERLINK("https://redirect.sdcdeals.com/redirect?destination=https%3A%2F%2Fwww.amazon.com%2Fdp%2FB0DJ654C62%3Fth%3D1%26psc%3D1%26tag%3Dsdcdeals03-20", "Amazon Link")</f>
        <v/>
      </c>
      <c r="G281" s="19" t="inlineStr">
        <is>
          <t>https://www.jcpenney.com/s?searchTerm={search_term}</t>
        </is>
      </c>
      <c r="H281" s="23" t="inlineStr">
        <is>
          <t>197672019109</t>
        </is>
      </c>
      <c r="I281" s="19">
        <f>HYPERLINK("https://www.jcpenney.com/s?searchTerm=197672019109", "Retail Link")</f>
        <v/>
      </c>
      <c r="J281" s="23" t="inlineStr">
        <is>
          <t>n/a</t>
        </is>
      </c>
      <c r="K281" s="21" t="inlineStr">
        <is>
          <t>Puma - Womens Club Pearl Shoes, Color Alpine Snow/Cold Green/Caramel Latte, Size: 10 M US</t>
        </is>
      </c>
      <c r="L281" s="24" t="n">
        <v>66.5</v>
      </c>
      <c r="M281" s="24" t="n">
        <v>96.95</v>
      </c>
      <c r="N281" s="24" t="n"/>
      <c r="O281" s="24">
        <f>V281-M281</f>
        <v/>
      </c>
      <c r="P281" s="25">
        <f>N281/L281</f>
        <v/>
      </c>
      <c r="Q281" s="23" t="n"/>
      <c r="R281" s="23" t="n"/>
      <c r="S281" s="26" t="n"/>
      <c r="T281" s="24" t="n">
        <v>96.95</v>
      </c>
      <c r="U281" s="24" t="n">
        <v>97</v>
      </c>
      <c r="V281" s="24" t="n">
        <v>97</v>
      </c>
      <c r="W281" s="26" t="inlineStr">
        <is>
          <t>PUMA Club Pearl Womens Sneakers</t>
        </is>
      </c>
      <c r="X281" s="23" t="n">
        <v>4</v>
      </c>
      <c r="Y281" s="18">
        <f>AC281-AB281</f>
        <v/>
      </c>
      <c r="Z281" s="27" t="n">
        <v>-1</v>
      </c>
      <c r="AA281" s="27" t="n">
        <v>-1</v>
      </c>
      <c r="AB281" s="27" t="n"/>
      <c r="AC281" s="27" t="n"/>
      <c r="AD281" s="1" t="inlineStr"/>
      <c r="AE281" s="1" t="inlineStr">
        <is>
          <t>Alpine Snow/Cold Green/Caramel Latte</t>
        </is>
      </c>
      <c r="AF281" s="4" t="inlineStr"/>
      <c r="AG281" s="4" t="inlineStr"/>
    </row>
    <row r="282" ht="47.25" customHeight="1">
      <c r="A282" s="18" t="inlineStr">
        <is>
          <t>197672019116</t>
        </is>
      </c>
      <c r="B282" s="19" t="inlineStr">
        <is>
          <t>https://www.amazon.com/dp/</t>
        </is>
      </c>
      <c r="C282" s="20" t="inlineStr">
        <is>
          <t>B0DJ65FK13</t>
        </is>
      </c>
      <c r="D282" s="44" t="n"/>
      <c r="E282" s="23" t="inlineStr">
        <is>
          <t>?th=1&amp;psc=1&amp;tag=sdcdeals03-20</t>
        </is>
      </c>
      <c r="F282" s="19">
        <f>HYPERLINK("https://redirect.sdcdeals.com/redirect?destination=https%3A%2F%2Fwww.amazon.com%2Fdp%2FB0DJ65FK13%3Fth%3D1%26psc%3D1%26tag%3Dsdcdeals03-20", "Amazon Link")</f>
        <v/>
      </c>
      <c r="G282" s="19" t="inlineStr">
        <is>
          <t>https://www.jcpenney.com/s?searchTerm={search_term}</t>
        </is>
      </c>
      <c r="H282" s="23" t="inlineStr">
        <is>
          <t>197672019116</t>
        </is>
      </c>
      <c r="I282" s="19">
        <f>HYPERLINK("https://www.jcpenney.com/s?searchTerm=197672019116", "Retail Link")</f>
        <v/>
      </c>
      <c r="J282" s="23" t="inlineStr">
        <is>
          <t>n/a</t>
        </is>
      </c>
      <c r="K282" s="21" t="inlineStr">
        <is>
          <t>Puma - Womens Club Pearl Shoes, Color Alpine Snow/Cold Green/Caramel Latte, Size: 11 M US</t>
        </is>
      </c>
      <c r="L282" s="24" t="n">
        <v>66.5</v>
      </c>
      <c r="M282" s="24" t="n">
        <v>96.97</v>
      </c>
      <c r="N282" s="24" t="n"/>
      <c r="O282" s="24">
        <f>V282-M282</f>
        <v/>
      </c>
      <c r="P282" s="25">
        <f>N282/L282</f>
        <v/>
      </c>
      <c r="Q282" s="23" t="n"/>
      <c r="R282" s="23" t="n"/>
      <c r="S282" s="26" t="n"/>
      <c r="T282" s="24" t="n">
        <v>96.97</v>
      </c>
      <c r="U282" s="24" t="n">
        <v>97.78</v>
      </c>
      <c r="V282" s="24" t="n">
        <v>97.78</v>
      </c>
      <c r="W282" s="26" t="inlineStr">
        <is>
          <t>PUMA Club Pearl Womens Sneakers</t>
        </is>
      </c>
      <c r="X282" s="23" t="n">
        <v>3</v>
      </c>
      <c r="Y282" s="18">
        <f>AC282-AB282</f>
        <v/>
      </c>
      <c r="Z282" s="27" t="n">
        <v>-1</v>
      </c>
      <c r="AA282" s="27" t="n">
        <v>-1</v>
      </c>
      <c r="AB282" s="27" t="n"/>
      <c r="AC282" s="27" t="n"/>
      <c r="AD282" s="1" t="inlineStr"/>
      <c r="AE282" s="1" t="inlineStr">
        <is>
          <t>Alpine Snow/Cold Green/Caramel Latte</t>
        </is>
      </c>
      <c r="AF282" s="4" t="inlineStr"/>
      <c r="AG282" s="4" t="inlineStr"/>
    </row>
    <row r="283" ht="47.25" customHeight="1">
      <c r="A283" s="18" t="inlineStr">
        <is>
          <t>197613957149</t>
        </is>
      </c>
      <c r="B283" s="19" t="inlineStr">
        <is>
          <t>https://www.amazon.com/dp/</t>
        </is>
      </c>
      <c r="C283" s="20" t="inlineStr">
        <is>
          <t>B0CTS2SRQM</t>
        </is>
      </c>
      <c r="D283" s="44" t="n"/>
      <c r="E283" s="23" t="inlineStr">
        <is>
          <t>?th=1&amp;psc=1&amp;tag=sdcdeals03-20</t>
        </is>
      </c>
      <c r="F283" s="19">
        <f>HYPERLINK("https://redirect.sdcdeals.com/redirect?destination=https%3A%2F%2Fwww.amazon.com%2Fdp%2FB0CTS2SRQM%3Fth%3D1%26psc%3D1%26tag%3Dsdcdeals03-20", "Amazon Link")</f>
        <v/>
      </c>
      <c r="G283" s="19" t="inlineStr">
        <is>
          <t>https://www.jcpenney.com/s?searchTerm={search_term}</t>
        </is>
      </c>
      <c r="H283" s="23" t="inlineStr">
        <is>
          <t>197613957149</t>
        </is>
      </c>
      <c r="I283" s="19">
        <f>HYPERLINK("https://www.jcpenney.com/s?searchTerm=197613957149", "Retail Link")</f>
        <v/>
      </c>
      <c r="J283" s="23" t="inlineStr">
        <is>
          <t>n/a</t>
        </is>
      </c>
      <c r="K283" s="21" t="inlineStr">
        <is>
          <t>adidas Women's Vl Court 3.0 Sneaker, Off White/Black/Off White, 5</t>
        </is>
      </c>
      <c r="L283" s="24" t="n"/>
      <c r="M283" s="24" t="n">
        <v>74.95</v>
      </c>
      <c r="N283" s="24" t="n"/>
      <c r="O283" s="24">
        <f>V283-M283</f>
        <v/>
      </c>
      <c r="P283" s="25">
        <f>N283/L283</f>
        <v/>
      </c>
      <c r="Q283" s="23" t="n">
        <v>815</v>
      </c>
      <c r="R283" s="23" t="n"/>
      <c r="S283" s="26" t="n">
        <v>1.3889106</v>
      </c>
      <c r="T283" s="24" t="n">
        <v>74.95</v>
      </c>
      <c r="U283" s="24" t="n">
        <v>74.95</v>
      </c>
      <c r="V283" s="24" t="n">
        <v>74.95</v>
      </c>
      <c r="W283" s="26" t="inlineStr">
        <is>
          <t>New!adidas Vl Court 3.0 Womens Sneakers</t>
        </is>
      </c>
      <c r="X283" s="23" t="n">
        <v>1</v>
      </c>
      <c r="Y283" s="18">
        <f>AC283-AB283</f>
        <v/>
      </c>
      <c r="Z283" s="27" t="n">
        <v>27</v>
      </c>
      <c r="AA283" s="27" t="n">
        <v>27</v>
      </c>
      <c r="AB283" s="27" t="n">
        <v>0</v>
      </c>
      <c r="AC283" s="27" t="n">
        <v>1562</v>
      </c>
      <c r="AD283" s="1" t="inlineStr">
        <is>
          <t>NNO46</t>
        </is>
      </c>
      <c r="AE283" s="1" t="inlineStr">
        <is>
          <t>Off White/Black/Off White</t>
        </is>
      </c>
      <c r="AF283" s="4" t="n">
        <v>11.24</v>
      </c>
      <c r="AG283" s="4" t="n">
        <v>6.61</v>
      </c>
    </row>
    <row r="284" ht="47.25" customHeight="1">
      <c r="A284" s="18" t="inlineStr">
        <is>
          <t>197613957163</t>
        </is>
      </c>
      <c r="B284" s="19" t="inlineStr">
        <is>
          <t>https://www.amazon.com/dp/</t>
        </is>
      </c>
      <c r="C284" s="20" t="inlineStr">
        <is>
          <t>B0CTS8VSBF</t>
        </is>
      </c>
      <c r="D284" s="44" t="n"/>
      <c r="E284" s="23" t="inlineStr">
        <is>
          <t>?th=1&amp;psc=1&amp;tag=sdcdeals03-20</t>
        </is>
      </c>
      <c r="F284" s="19">
        <f>HYPERLINK("https://redirect.sdcdeals.com/redirect?destination=https%3A%2F%2Fwww.amazon.com%2Fdp%2FB0CTS8VSBF%3Fth%3D1%26psc%3D1%26tag%3Dsdcdeals03-20", "Amazon Link")</f>
        <v/>
      </c>
      <c r="G284" s="19" t="inlineStr">
        <is>
          <t>https://www.jcpenney.com/s?searchTerm={search_term}</t>
        </is>
      </c>
      <c r="H284" s="23" t="inlineStr">
        <is>
          <t>197613957163</t>
        </is>
      </c>
      <c r="I284" s="19">
        <f>HYPERLINK("https://www.jcpenney.com/s?searchTerm=197613957163", "Retail Link")</f>
        <v/>
      </c>
      <c r="J284" s="23" t="inlineStr">
        <is>
          <t>n/a</t>
        </is>
      </c>
      <c r="K284" s="21" t="inlineStr">
        <is>
          <t>adidas Women's Vl Court 3.0 Sneaker, Off White/Black/Off White, 5.5</t>
        </is>
      </c>
      <c r="L284" s="24" t="n"/>
      <c r="M284" s="24" t="n">
        <v>141.09</v>
      </c>
      <c r="N284" s="24" t="n"/>
      <c r="O284" s="24">
        <f>V284-M284</f>
        <v/>
      </c>
      <c r="P284" s="25">
        <f>N284/L284</f>
        <v/>
      </c>
      <c r="Q284" s="23" t="n">
        <v>815</v>
      </c>
      <c r="R284" s="23" t="n"/>
      <c r="S284" s="26" t="n">
        <v>1.4109568</v>
      </c>
      <c r="T284" s="24" t="n">
        <v>141.09</v>
      </c>
      <c r="U284" s="24" t="n">
        <v>74.95</v>
      </c>
      <c r="V284" s="24" t="n">
        <v>74.95</v>
      </c>
      <c r="W284" s="26" t="inlineStr">
        <is>
          <t>New!adidas Vl Court 3.0 Womens Sneakers</t>
        </is>
      </c>
      <c r="X284" s="23" t="n">
        <v>2</v>
      </c>
      <c r="Y284" s="18">
        <f>AC284-AB284</f>
        <v/>
      </c>
      <c r="Z284" s="27" t="n">
        <v>43</v>
      </c>
      <c r="AA284" s="27" t="n">
        <v>43</v>
      </c>
      <c r="AB284" s="27" t="n">
        <v>0</v>
      </c>
      <c r="AC284" s="27" t="n">
        <v>1562</v>
      </c>
      <c r="AD284" s="1" t="inlineStr">
        <is>
          <t>NNO46</t>
        </is>
      </c>
      <c r="AE284" s="1" t="inlineStr">
        <is>
          <t>Off White/Black/Off White</t>
        </is>
      </c>
      <c r="AF284" s="4" t="inlineStr"/>
      <c r="AG284" s="4" t="n">
        <v>6.61</v>
      </c>
    </row>
    <row r="285" ht="47.25" customHeight="1">
      <c r="A285" s="18" t="inlineStr">
        <is>
          <t>197613957101</t>
        </is>
      </c>
      <c r="B285" s="19" t="inlineStr">
        <is>
          <t>https://www.amazon.com/dp/</t>
        </is>
      </c>
      <c r="C285" s="20" t="inlineStr">
        <is>
          <t>B0CTSDFMVY</t>
        </is>
      </c>
      <c r="D285" s="44" t="n"/>
      <c r="E285" s="23" t="inlineStr">
        <is>
          <t>?th=1&amp;psc=1&amp;tag=sdcdeals03-20</t>
        </is>
      </c>
      <c r="F285" s="19">
        <f>HYPERLINK("https://redirect.sdcdeals.com/redirect?destination=https%3A%2F%2Fwww.amazon.com%2Fdp%2FB0CTSDFMVY%3Fth%3D1%26psc%3D1%26tag%3Dsdcdeals03-20", "Amazon Link")</f>
        <v/>
      </c>
      <c r="G285" s="19" t="inlineStr">
        <is>
          <t>https://www.jcpenney.com/s?searchTerm={search_term}</t>
        </is>
      </c>
      <c r="H285" s="23" t="inlineStr">
        <is>
          <t>197613957101</t>
        </is>
      </c>
      <c r="I285" s="19">
        <f>HYPERLINK("https://www.jcpenney.com/s?searchTerm=197613957101", "Retail Link")</f>
        <v/>
      </c>
      <c r="J285" s="23" t="inlineStr">
        <is>
          <t>n/a</t>
        </is>
      </c>
      <c r="K285" s="21" t="inlineStr">
        <is>
          <t>adidas Women's Vl Court 3.0 Sneaker, Off White/Black/Off White, 6</t>
        </is>
      </c>
      <c r="L285" s="24" t="n"/>
      <c r="M285" s="24" t="n">
        <v>74.95</v>
      </c>
      <c r="N285" s="24" t="n"/>
      <c r="O285" s="24">
        <f>V285-M285</f>
        <v/>
      </c>
      <c r="P285" s="25">
        <f>N285/L285</f>
        <v/>
      </c>
      <c r="Q285" s="23" t="n">
        <v>815</v>
      </c>
      <c r="R285" s="23" t="n"/>
      <c r="S285" s="26" t="n">
        <v>1.43079838</v>
      </c>
      <c r="T285" s="24" t="n">
        <v>74.95</v>
      </c>
      <c r="U285" s="24" t="n">
        <v>74.95</v>
      </c>
      <c r="V285" s="24" t="n">
        <v>74.95</v>
      </c>
      <c r="W285" s="26" t="inlineStr">
        <is>
          <t>New!adidas Vl Court 3.0 Womens Sneakers</t>
        </is>
      </c>
      <c r="X285" s="23" t="n">
        <v>3</v>
      </c>
      <c r="Y285" s="18">
        <f>AC285-AB285</f>
        <v/>
      </c>
      <c r="Z285" s="27" t="n">
        <v>39</v>
      </c>
      <c r="AA285" s="27" t="n">
        <v>39</v>
      </c>
      <c r="AB285" s="27" t="n">
        <v>0</v>
      </c>
      <c r="AC285" s="27" t="n">
        <v>1562</v>
      </c>
      <c r="AD285" s="1" t="inlineStr">
        <is>
          <t>NNO46</t>
        </is>
      </c>
      <c r="AE285" s="1" t="inlineStr">
        <is>
          <t>Off White/Black/Off White</t>
        </is>
      </c>
      <c r="AF285" s="4" t="n">
        <v>11.24</v>
      </c>
      <c r="AG285" s="4" t="n">
        <v>7.03</v>
      </c>
    </row>
    <row r="286" ht="47.25" customHeight="1">
      <c r="A286" s="18" t="inlineStr">
        <is>
          <t>197613957132</t>
        </is>
      </c>
      <c r="B286" s="19" t="inlineStr">
        <is>
          <t>https://www.amazon.com/dp/</t>
        </is>
      </c>
      <c r="C286" s="20" t="inlineStr">
        <is>
          <t>B0CTRS46FT</t>
        </is>
      </c>
      <c r="D286" s="44" t="n"/>
      <c r="E286" s="23" t="inlineStr">
        <is>
          <t>?th=1&amp;psc=1&amp;tag=sdcdeals03-20</t>
        </is>
      </c>
      <c r="F286" s="19">
        <f>HYPERLINK("https://redirect.sdcdeals.com/redirect?destination=https%3A%2F%2Fwww.amazon.com%2Fdp%2FB0CTRS46FT%3Fth%3D1%26psc%3D1%26tag%3Dsdcdeals03-20", "Amazon Link")</f>
        <v/>
      </c>
      <c r="G286" s="19" t="inlineStr">
        <is>
          <t>https://www.jcpenney.com/s?searchTerm={search_term}</t>
        </is>
      </c>
      <c r="H286" s="23" t="inlineStr">
        <is>
          <t>197613957132</t>
        </is>
      </c>
      <c r="I286" s="19">
        <f>HYPERLINK("https://www.jcpenney.com/s?searchTerm=197613957132", "Retail Link")</f>
        <v/>
      </c>
      <c r="J286" s="23" t="inlineStr">
        <is>
          <t>n/a</t>
        </is>
      </c>
      <c r="K286" s="21" t="inlineStr">
        <is>
          <t>adidas Women's Vl Court 3.0 Sneaker, Off White/Black/Off White, 6.5</t>
        </is>
      </c>
      <c r="L286" s="24" t="n"/>
      <c r="M286" s="24" t="n">
        <v>74.95</v>
      </c>
      <c r="N286" s="24" t="n"/>
      <c r="O286" s="24">
        <f>V286-M286</f>
        <v/>
      </c>
      <c r="P286" s="25">
        <f>N286/L286</f>
        <v/>
      </c>
      <c r="Q286" s="23" t="n">
        <v>815</v>
      </c>
      <c r="R286" s="23" t="n"/>
      <c r="S286" s="26" t="n">
        <v>1.51898318</v>
      </c>
      <c r="T286" s="24" t="n">
        <v>74.95</v>
      </c>
      <c r="U286" s="24" t="n">
        <v>74.95</v>
      </c>
      <c r="V286" s="24" t="n">
        <v>74.95</v>
      </c>
      <c r="W286" s="26" t="inlineStr">
        <is>
          <t>New!adidas Vl Court 3.0 Womens Sneakers</t>
        </is>
      </c>
      <c r="X286" s="23" t="n">
        <v>3</v>
      </c>
      <c r="Y286" s="18">
        <f>AC286-AB286</f>
        <v/>
      </c>
      <c r="Z286" s="27" t="n">
        <v>37</v>
      </c>
      <c r="AA286" s="27" t="n">
        <v>37</v>
      </c>
      <c r="AB286" s="27" t="n">
        <v>0</v>
      </c>
      <c r="AC286" s="27" t="n">
        <v>1562</v>
      </c>
      <c r="AD286" s="1" t="inlineStr">
        <is>
          <t>NNO46</t>
        </is>
      </c>
      <c r="AE286" s="1" t="inlineStr">
        <is>
          <t>Off White/Black/Off White</t>
        </is>
      </c>
      <c r="AF286" s="4" t="n">
        <v>11.24</v>
      </c>
      <c r="AG286" s="4" t="n">
        <v>6.61</v>
      </c>
    </row>
    <row r="287" ht="47.25" customHeight="1">
      <c r="A287" s="18" t="inlineStr">
        <is>
          <t>197613957200</t>
        </is>
      </c>
      <c r="B287" s="19" t="inlineStr">
        <is>
          <t>https://www.amazon.com/dp/</t>
        </is>
      </c>
      <c r="C287" s="20" t="inlineStr">
        <is>
          <t>B0CTRZSGGP</t>
        </is>
      </c>
      <c r="D287" s="44" t="n"/>
      <c r="E287" s="23" t="inlineStr">
        <is>
          <t>?th=1&amp;psc=1&amp;tag=sdcdeals03-20</t>
        </is>
      </c>
      <c r="F287" s="19">
        <f>HYPERLINK("https://redirect.sdcdeals.com/redirect?destination=https%3A%2F%2Fwww.amazon.com%2Fdp%2FB0CTRZSGGP%3Fth%3D1%26psc%3D1%26tag%3Dsdcdeals03-20", "Amazon Link")</f>
        <v/>
      </c>
      <c r="G287" s="19" t="inlineStr">
        <is>
          <t>https://www.jcpenney.com/s?searchTerm={search_term}</t>
        </is>
      </c>
      <c r="H287" s="23" t="inlineStr">
        <is>
          <t>197613957200</t>
        </is>
      </c>
      <c r="I287" s="19">
        <f>HYPERLINK("https://www.jcpenney.com/s?searchTerm=197613957200", "Retail Link")</f>
        <v/>
      </c>
      <c r="J287" s="23" t="inlineStr">
        <is>
          <t>n/a</t>
        </is>
      </c>
      <c r="K287" s="21" t="inlineStr">
        <is>
          <t>adidas Women's Vl Court 3.0 Sneaker, Off White/Black/Off White, 7</t>
        </is>
      </c>
      <c r="L287" s="24" t="n"/>
      <c r="M287" s="24" t="n">
        <v>74.95</v>
      </c>
      <c r="N287" s="24" t="n"/>
      <c r="O287" s="24">
        <f>V287-M287</f>
        <v/>
      </c>
      <c r="P287" s="25">
        <f>N287/L287</f>
        <v/>
      </c>
      <c r="Q287" s="23" t="n">
        <v>815</v>
      </c>
      <c r="R287" s="23" t="n"/>
      <c r="S287" s="26" t="n">
        <v>1.58953102</v>
      </c>
      <c r="T287" s="24" t="n">
        <v>74.95</v>
      </c>
      <c r="U287" s="24" t="n">
        <v>74.95</v>
      </c>
      <c r="V287" s="24" t="n">
        <v>74.95</v>
      </c>
      <c r="W287" s="26" t="inlineStr">
        <is>
          <t>New!adidas Vl Court 3.0 Womens Sneakers</t>
        </is>
      </c>
      <c r="X287" s="23" t="n">
        <v>2</v>
      </c>
      <c r="Y287" s="18">
        <f>AC287-AB287</f>
        <v/>
      </c>
      <c r="Z287" s="27" t="n">
        <v>39</v>
      </c>
      <c r="AA287" s="27" t="n">
        <v>39</v>
      </c>
      <c r="AB287" s="27" t="n">
        <v>0</v>
      </c>
      <c r="AC287" s="27" t="n">
        <v>1562</v>
      </c>
      <c r="AD287" s="1" t="inlineStr">
        <is>
          <t>NNO46</t>
        </is>
      </c>
      <c r="AE287" s="1" t="inlineStr">
        <is>
          <t>Off White/Black/Off White</t>
        </is>
      </c>
      <c r="AF287" s="4" t="n">
        <v>11.24</v>
      </c>
      <c r="AG287" s="4" t="n">
        <v>6.61</v>
      </c>
    </row>
    <row r="288" ht="47.25" customHeight="1">
      <c r="A288" s="18" t="inlineStr">
        <is>
          <t>197613957187</t>
        </is>
      </c>
      <c r="B288" s="19" t="inlineStr">
        <is>
          <t>https://www.amazon.com/dp/</t>
        </is>
      </c>
      <c r="C288" s="20" t="inlineStr">
        <is>
          <t>B0CTS4MD5R</t>
        </is>
      </c>
      <c r="D288" s="44" t="n"/>
      <c r="E288" s="23" t="inlineStr">
        <is>
          <t>?th=1&amp;psc=1&amp;tag=sdcdeals03-20</t>
        </is>
      </c>
      <c r="F288" s="19">
        <f>HYPERLINK("https://redirect.sdcdeals.com/redirect?destination=https%3A%2F%2Fwww.amazon.com%2Fdp%2FB0CTS4MD5R%3Fth%3D1%26psc%3D1%26tag%3Dsdcdeals03-20", "Amazon Link")</f>
        <v/>
      </c>
      <c r="G288" s="19" t="inlineStr">
        <is>
          <t>https://www.jcpenney.com/s?searchTerm={search_term}</t>
        </is>
      </c>
      <c r="H288" s="23" t="inlineStr">
        <is>
          <t>197613957187</t>
        </is>
      </c>
      <c r="I288" s="19">
        <f>HYPERLINK("https://www.jcpenney.com/s?searchTerm=197613957187", "Retail Link")</f>
        <v/>
      </c>
      <c r="J288" s="23" t="inlineStr">
        <is>
          <t>n/a</t>
        </is>
      </c>
      <c r="K288" s="21" t="inlineStr">
        <is>
          <t>adidas Women's Vl Court 3.0 Sneaker, Off White/Black/Off White, 7.5</t>
        </is>
      </c>
      <c r="L288" s="24" t="n"/>
      <c r="M288" s="24" t="n">
        <v>74.95</v>
      </c>
      <c r="N288" s="24" t="n"/>
      <c r="O288" s="24">
        <f>V288-M288</f>
        <v/>
      </c>
      <c r="P288" s="25">
        <f>N288/L288</f>
        <v/>
      </c>
      <c r="Q288" s="23" t="n">
        <v>815</v>
      </c>
      <c r="R288" s="23" t="n"/>
      <c r="S288" s="26" t="n">
        <v>1.6093726</v>
      </c>
      <c r="T288" s="24" t="n">
        <v>74.95</v>
      </c>
      <c r="U288" s="24" t="n">
        <v>74.95</v>
      </c>
      <c r="V288" s="24" t="n">
        <v>74.95</v>
      </c>
      <c r="W288" s="26" t="inlineStr">
        <is>
          <t>New!adidas Vl Court 3.0 Womens Sneakers</t>
        </is>
      </c>
      <c r="X288" s="23" t="n">
        <v>3</v>
      </c>
      <c r="Y288" s="18">
        <f>AC288-AB288</f>
        <v/>
      </c>
      <c r="Z288" s="27" t="n">
        <v>34</v>
      </c>
      <c r="AA288" s="27" t="n">
        <v>34</v>
      </c>
      <c r="AB288" s="27" t="n">
        <v>1</v>
      </c>
      <c r="AC288" s="27" t="n">
        <v>1562</v>
      </c>
      <c r="AD288" s="1" t="inlineStr">
        <is>
          <t>NNO46</t>
        </is>
      </c>
      <c r="AE288" s="1" t="inlineStr">
        <is>
          <t>Off White/Black/Off White</t>
        </is>
      </c>
      <c r="AF288" s="4" t="n">
        <v>11.24</v>
      </c>
      <c r="AG288" s="4" t="n">
        <v>7.7</v>
      </c>
    </row>
    <row r="289" ht="47.25" customHeight="1">
      <c r="A289" s="18" t="inlineStr">
        <is>
          <t>197613957118</t>
        </is>
      </c>
      <c r="B289" s="19" t="inlineStr">
        <is>
          <t>https://www.amazon.com/dp/</t>
        </is>
      </c>
      <c r="C289" s="20" t="inlineStr">
        <is>
          <t>B0CTRVCQMC</t>
        </is>
      </c>
      <c r="D289" s="44" t="n"/>
      <c r="E289" s="23" t="inlineStr">
        <is>
          <t>?th=1&amp;psc=1&amp;tag=sdcdeals03-20</t>
        </is>
      </c>
      <c r="F289" s="19">
        <f>HYPERLINK("https://redirect.sdcdeals.com/redirect?destination=https%3A%2F%2Fwww.amazon.com%2Fdp%2FB0CTRVCQMC%3Fth%3D1%26psc%3D1%26tag%3Dsdcdeals03-20", "Amazon Link")</f>
        <v/>
      </c>
      <c r="G289" s="19" t="inlineStr">
        <is>
          <t>https://www.jcpenney.com/s?searchTerm={search_term}</t>
        </is>
      </c>
      <c r="H289" s="23" t="inlineStr">
        <is>
          <t>197613957118</t>
        </is>
      </c>
      <c r="I289" s="19">
        <f>HYPERLINK("https://www.jcpenney.com/s?searchTerm=197613957118", "Retail Link")</f>
        <v/>
      </c>
      <c r="J289" s="23" t="inlineStr">
        <is>
          <t>n/a</t>
        </is>
      </c>
      <c r="K289" s="21" t="inlineStr">
        <is>
          <t>adidas Women's Vl Court 3.0 Sneaker, Off White/Black/Off White, 8</t>
        </is>
      </c>
      <c r="L289" s="24" t="n"/>
      <c r="M289" s="24" t="n">
        <v>74.95</v>
      </c>
      <c r="N289" s="24" t="n"/>
      <c r="O289" s="24">
        <f>V289-M289</f>
        <v/>
      </c>
      <c r="P289" s="25">
        <f>N289/L289</f>
        <v/>
      </c>
      <c r="Q289" s="23" t="n">
        <v>815</v>
      </c>
      <c r="R289" s="23" t="n"/>
      <c r="S289" s="26" t="n">
        <v>1.62921418</v>
      </c>
      <c r="T289" s="24" t="n">
        <v>74.95</v>
      </c>
      <c r="U289" s="24" t="n">
        <v>74.95</v>
      </c>
      <c r="V289" s="24" t="n">
        <v>74.95</v>
      </c>
      <c r="W289" s="26" t="inlineStr">
        <is>
          <t>New!adidas Vl Court 3.0 Womens Sneakers</t>
        </is>
      </c>
      <c r="X289" s="23" t="n">
        <v>3</v>
      </c>
      <c r="Y289" s="18">
        <f>AC289-AB289</f>
        <v/>
      </c>
      <c r="Z289" s="27" t="n">
        <v>33</v>
      </c>
      <c r="AA289" s="27" t="n">
        <v>33</v>
      </c>
      <c r="AB289" s="27" t="n">
        <v>0</v>
      </c>
      <c r="AC289" s="27" t="n">
        <v>1562</v>
      </c>
      <c r="AD289" s="1" t="inlineStr">
        <is>
          <t>NNO46</t>
        </is>
      </c>
      <c r="AE289" s="1" t="inlineStr">
        <is>
          <t>Off White/Black/Off White</t>
        </is>
      </c>
      <c r="AF289" s="4" t="n">
        <v>11.24</v>
      </c>
      <c r="AG289" s="4" t="n">
        <v>7.7</v>
      </c>
    </row>
    <row r="290" ht="47.25" customHeight="1">
      <c r="A290" s="18" t="inlineStr">
        <is>
          <t>197613957125</t>
        </is>
      </c>
      <c r="B290" s="19" t="inlineStr">
        <is>
          <t>https://www.amazon.com/dp/</t>
        </is>
      </c>
      <c r="C290" s="20" t="inlineStr">
        <is>
          <t>B0CTSSS29G</t>
        </is>
      </c>
      <c r="D290" s="44" t="n"/>
      <c r="E290" s="23" t="inlineStr">
        <is>
          <t>?th=1&amp;psc=1&amp;tag=sdcdeals03-20</t>
        </is>
      </c>
      <c r="F290" s="19">
        <f>HYPERLINK("https://redirect.sdcdeals.com/redirect?destination=https%3A%2F%2Fwww.amazon.com%2Fdp%2FB0CTSSS29G%3Fth%3D1%26psc%3D1%26tag%3Dsdcdeals03-20", "Amazon Link")</f>
        <v/>
      </c>
      <c r="G290" s="19" t="inlineStr">
        <is>
          <t>https://www.jcpenney.com/s?searchTerm={search_term}</t>
        </is>
      </c>
      <c r="H290" s="23" t="inlineStr">
        <is>
          <t>197613957125</t>
        </is>
      </c>
      <c r="I290" s="19">
        <f>HYPERLINK("https://www.jcpenney.com/s?searchTerm=197613957125", "Retail Link")</f>
        <v/>
      </c>
      <c r="J290" s="23" t="inlineStr">
        <is>
          <t>n/a</t>
        </is>
      </c>
      <c r="K290" s="21" t="inlineStr">
        <is>
          <t>adidas Women's Vl Court 3.0 Sneaker, Off White/Black/Off White, 8.5</t>
        </is>
      </c>
      <c r="L290" s="24" t="n"/>
      <c r="M290" s="24" t="n">
        <v>74.95</v>
      </c>
      <c r="N290" s="24" t="n"/>
      <c r="O290" s="24">
        <f>V290-M290</f>
        <v/>
      </c>
      <c r="P290" s="25">
        <f>N290/L290</f>
        <v/>
      </c>
      <c r="Q290" s="23" t="n">
        <v>815</v>
      </c>
      <c r="R290" s="23" t="n"/>
      <c r="S290" s="26" t="n">
        <v>1.67992044</v>
      </c>
      <c r="T290" s="24" t="n">
        <v>74.95</v>
      </c>
      <c r="U290" s="24" t="n">
        <v>74.95</v>
      </c>
      <c r="V290" s="24" t="n">
        <v>74.95</v>
      </c>
      <c r="W290" s="26" t="inlineStr">
        <is>
          <t>New!adidas Vl Court 3.0 Womens Sneakers</t>
        </is>
      </c>
      <c r="X290" s="23" t="n">
        <v>2</v>
      </c>
      <c r="Y290" s="18">
        <f>AC290-AB290</f>
        <v/>
      </c>
      <c r="Z290" s="27" t="n">
        <v>42</v>
      </c>
      <c r="AA290" s="27" t="n">
        <v>42</v>
      </c>
      <c r="AB290" s="27" t="n">
        <v>0</v>
      </c>
      <c r="AC290" s="27" t="n">
        <v>1566</v>
      </c>
      <c r="AD290" s="1" t="inlineStr">
        <is>
          <t>NNO46</t>
        </is>
      </c>
      <c r="AE290" s="1" t="inlineStr">
        <is>
          <t>Off White/Black/Off White</t>
        </is>
      </c>
      <c r="AF290" s="4" t="n">
        <v>11.24</v>
      </c>
      <c r="AG290" s="4" t="n">
        <v>7.7</v>
      </c>
    </row>
    <row r="291" ht="47.25" customHeight="1">
      <c r="A291" s="18" t="inlineStr">
        <is>
          <t>197613957194</t>
        </is>
      </c>
      <c r="B291" s="19" t="inlineStr">
        <is>
          <t>https://www.amazon.com/dp/</t>
        </is>
      </c>
      <c r="C291" s="20" t="inlineStr">
        <is>
          <t>B0CTS47TW3</t>
        </is>
      </c>
      <c r="D291" s="44" t="n"/>
      <c r="E291" s="23" t="inlineStr">
        <is>
          <t>?th=1&amp;psc=1&amp;tag=sdcdeals03-20</t>
        </is>
      </c>
      <c r="F291" s="19">
        <f>HYPERLINK("https://redirect.sdcdeals.com/redirect?destination=https%3A%2F%2Fwww.amazon.com%2Fdp%2FB0CTS47TW3%3Fth%3D1%26psc%3D1%26tag%3Dsdcdeals03-20", "Amazon Link")</f>
        <v/>
      </c>
      <c r="G291" s="19" t="inlineStr">
        <is>
          <t>https://www.jcpenney.com/s?searchTerm={search_term}</t>
        </is>
      </c>
      <c r="H291" s="23" t="inlineStr">
        <is>
          <t>197613957194</t>
        </is>
      </c>
      <c r="I291" s="19">
        <f>HYPERLINK("https://www.jcpenney.com/s?searchTerm=197613957194", "Retail Link")</f>
        <v/>
      </c>
      <c r="J291" s="23" t="inlineStr">
        <is>
          <t>n/a</t>
        </is>
      </c>
      <c r="K291" s="21" t="inlineStr">
        <is>
          <t>adidas Women's Vl Court 3.0 Sneaker, Off White/Black/Off White, 9</t>
        </is>
      </c>
      <c r="L291" s="24" t="n"/>
      <c r="M291" s="24" t="n">
        <v>74.95</v>
      </c>
      <c r="N291" s="24" t="n"/>
      <c r="O291" s="24">
        <f>V291-M291</f>
        <v/>
      </c>
      <c r="P291" s="25">
        <f>N291/L291</f>
        <v/>
      </c>
      <c r="Q291" s="23" t="n">
        <v>815</v>
      </c>
      <c r="R291" s="23" t="n"/>
      <c r="S291" s="26" t="n">
        <v>0.83996022</v>
      </c>
      <c r="T291" s="24" t="n">
        <v>74.95</v>
      </c>
      <c r="U291" s="24" t="n">
        <v>74.95</v>
      </c>
      <c r="V291" s="24" t="n">
        <v>74.95</v>
      </c>
      <c r="W291" s="26" t="inlineStr">
        <is>
          <t>New!adidas Vl Court 3.0 Womens Sneakers</t>
        </is>
      </c>
      <c r="X291" s="23" t="n">
        <v>3</v>
      </c>
      <c r="Y291" s="18">
        <f>AC291-AB291</f>
        <v/>
      </c>
      <c r="Z291" s="27" t="n">
        <v>40</v>
      </c>
      <c r="AA291" s="27" t="n">
        <v>40</v>
      </c>
      <c r="AB291" s="27" t="n">
        <v>0</v>
      </c>
      <c r="AC291" s="27" t="n">
        <v>1570</v>
      </c>
      <c r="AD291" s="1" t="inlineStr">
        <is>
          <t>NNO46</t>
        </is>
      </c>
      <c r="AE291" s="1" t="inlineStr">
        <is>
          <t>Off White/Black/Off White</t>
        </is>
      </c>
      <c r="AF291" s="4" t="n">
        <v>11.24</v>
      </c>
      <c r="AG291" s="4" t="n">
        <v>7.7</v>
      </c>
    </row>
    <row r="292" ht="47.25" customHeight="1">
      <c r="A292" s="18" t="inlineStr">
        <is>
          <t>197613957217</t>
        </is>
      </c>
      <c r="B292" s="19" t="inlineStr">
        <is>
          <t>https://www.amazon.com/dp/</t>
        </is>
      </c>
      <c r="C292" s="20" t="inlineStr">
        <is>
          <t>B0CTRVCQM6</t>
        </is>
      </c>
      <c r="D292" s="44" t="n"/>
      <c r="E292" s="23" t="inlineStr">
        <is>
          <t>?th=1&amp;psc=1&amp;tag=sdcdeals03-20</t>
        </is>
      </c>
      <c r="F292" s="19">
        <f>HYPERLINK("https://redirect.sdcdeals.com/redirect?destination=https%3A%2F%2Fwww.amazon.com%2Fdp%2FB0CTRVCQM6%3Fth%3D1%26psc%3D1%26tag%3Dsdcdeals03-20", "Amazon Link")</f>
        <v/>
      </c>
      <c r="G292" s="19" t="inlineStr">
        <is>
          <t>https://www.jcpenney.com/s?searchTerm={search_term}</t>
        </is>
      </c>
      <c r="H292" s="23" t="inlineStr">
        <is>
          <t>197613957217</t>
        </is>
      </c>
      <c r="I292" s="19">
        <f>HYPERLINK("https://www.jcpenney.com/s?searchTerm=197613957217", "Retail Link")</f>
        <v/>
      </c>
      <c r="J292" s="23" t="inlineStr">
        <is>
          <t>n/a</t>
        </is>
      </c>
      <c r="K292" s="21" t="inlineStr">
        <is>
          <t>adidas Women's Vl Court 3.0 Sneaker, Off White/Black/Off White, 9.5</t>
        </is>
      </c>
      <c r="L292" s="24" t="n"/>
      <c r="M292" s="24" t="n">
        <v>74.95</v>
      </c>
      <c r="N292" s="24" t="n"/>
      <c r="O292" s="24">
        <f>V292-M292</f>
        <v/>
      </c>
      <c r="P292" s="25">
        <f>N292/L292</f>
        <v/>
      </c>
      <c r="Q292" s="23" t="n">
        <v>815</v>
      </c>
      <c r="R292" s="23" t="n"/>
      <c r="S292" s="26" t="n">
        <v>1.80999302</v>
      </c>
      <c r="T292" s="24" t="n">
        <v>74.95</v>
      </c>
      <c r="U292" s="24" t="n">
        <v>74.95</v>
      </c>
      <c r="V292" s="24" t="n">
        <v>74.95</v>
      </c>
      <c r="W292" s="26" t="inlineStr">
        <is>
          <t>New!adidas Vl Court 3.0 Womens Sneakers</t>
        </is>
      </c>
      <c r="X292" s="23" t="n">
        <v>3</v>
      </c>
      <c r="Y292" s="18">
        <f>AC292-AB292</f>
        <v/>
      </c>
      <c r="Z292" s="27" t="n">
        <v>40</v>
      </c>
      <c r="AA292" s="27" t="n">
        <v>40</v>
      </c>
      <c r="AB292" s="27" t="n">
        <v>0</v>
      </c>
      <c r="AC292" s="27" t="n">
        <v>1562</v>
      </c>
      <c r="AD292" s="1" t="inlineStr">
        <is>
          <t>NNO46</t>
        </is>
      </c>
      <c r="AE292" s="1" t="inlineStr">
        <is>
          <t>Off White/Black/Off White</t>
        </is>
      </c>
      <c r="AF292" s="4" t="n">
        <v>11.24</v>
      </c>
      <c r="AG292" s="4" t="n">
        <v>7.7</v>
      </c>
    </row>
    <row r="293" ht="47.25" customHeight="1">
      <c r="A293" s="18" t="inlineStr">
        <is>
          <t>197613957170</t>
        </is>
      </c>
      <c r="B293" s="19" t="inlineStr">
        <is>
          <t>https://www.amazon.com/dp/</t>
        </is>
      </c>
      <c r="C293" s="20" t="inlineStr">
        <is>
          <t>B0CTSFJSGR</t>
        </is>
      </c>
      <c r="D293" s="44" t="n"/>
      <c r="E293" s="23" t="inlineStr">
        <is>
          <t>?th=1&amp;psc=1&amp;tag=sdcdeals03-20</t>
        </is>
      </c>
      <c r="F293" s="19">
        <f>HYPERLINK("https://redirect.sdcdeals.com/redirect?destination=https%3A%2F%2Fwww.amazon.com%2Fdp%2FB0CTSFJSGR%3Fth%3D1%26psc%3D1%26tag%3Dsdcdeals03-20", "Amazon Link")</f>
        <v/>
      </c>
      <c r="G293" s="19" t="inlineStr">
        <is>
          <t>https://www.jcpenney.com/s?searchTerm={search_term}</t>
        </is>
      </c>
      <c r="H293" s="23" t="inlineStr">
        <is>
          <t>197613957170</t>
        </is>
      </c>
      <c r="I293" s="19">
        <f>HYPERLINK("https://www.jcpenney.com/s?searchTerm=197613957170", "Retail Link")</f>
        <v/>
      </c>
      <c r="J293" s="23" t="inlineStr">
        <is>
          <t>n/a</t>
        </is>
      </c>
      <c r="K293" s="21" t="inlineStr">
        <is>
          <t>adidas Women's Vl Court 3.0 Sneaker, Off White/Black/Off White, 10</t>
        </is>
      </c>
      <c r="L293" s="24" t="n"/>
      <c r="M293" s="24" t="n">
        <v>74.95</v>
      </c>
      <c r="N293" s="24" t="n"/>
      <c r="O293" s="24">
        <f>V293-M293</f>
        <v/>
      </c>
      <c r="P293" s="25">
        <f>N293/L293</f>
        <v/>
      </c>
      <c r="Q293" s="23" t="n">
        <v>815</v>
      </c>
      <c r="R293" s="23" t="n"/>
      <c r="S293" s="26" t="n">
        <v>1.8298346</v>
      </c>
      <c r="T293" s="24" t="n">
        <v>74.95</v>
      </c>
      <c r="U293" s="24" t="n">
        <v>74.95</v>
      </c>
      <c r="V293" s="24" t="n">
        <v>74.95</v>
      </c>
      <c r="W293" s="26" t="inlineStr">
        <is>
          <t>New!adidas Vl Court 3.0 Womens Sneakers</t>
        </is>
      </c>
      <c r="X293" s="23" t="n">
        <v>3</v>
      </c>
      <c r="Y293" s="18">
        <f>AC293-AB293</f>
        <v/>
      </c>
      <c r="Z293" s="27" t="n">
        <v>35</v>
      </c>
      <c r="AA293" s="27" t="n">
        <v>35</v>
      </c>
      <c r="AB293" s="27" t="n">
        <v>0</v>
      </c>
      <c r="AC293" s="27" t="n">
        <v>1562</v>
      </c>
      <c r="AD293" s="1" t="inlineStr">
        <is>
          <t>NNO46</t>
        </is>
      </c>
      <c r="AE293" s="1" t="inlineStr">
        <is>
          <t>Off White/Black/Off White</t>
        </is>
      </c>
      <c r="AF293" s="4" t="n">
        <v>11.24</v>
      </c>
      <c r="AG293" s="4" t="n">
        <v>7.7</v>
      </c>
    </row>
    <row r="294" ht="47.25" customHeight="1">
      <c r="A294" s="18" t="inlineStr">
        <is>
          <t>197613957095</t>
        </is>
      </c>
      <c r="B294" s="19" t="inlineStr">
        <is>
          <t>https://www.amazon.com/dp/</t>
        </is>
      </c>
      <c r="C294" s="20" t="inlineStr">
        <is>
          <t>B0CTS1SCJ7</t>
        </is>
      </c>
      <c r="D294" s="44" t="n"/>
      <c r="E294" s="23" t="inlineStr">
        <is>
          <t>?th=1&amp;psc=1&amp;tag=sdcdeals03-20</t>
        </is>
      </c>
      <c r="F294" s="19">
        <f>HYPERLINK("https://redirect.sdcdeals.com/redirect?destination=https%3A%2F%2Fwww.amazon.com%2Fdp%2FB0CTS1SCJ7%3Fth%3D1%26psc%3D1%26tag%3Dsdcdeals03-20", "Amazon Link")</f>
        <v/>
      </c>
      <c r="G294" s="19" t="inlineStr">
        <is>
          <t>https://www.jcpenney.com/s?searchTerm={search_term}</t>
        </is>
      </c>
      <c r="H294" s="23" t="inlineStr">
        <is>
          <t>197613957095</t>
        </is>
      </c>
      <c r="I294" s="19">
        <f>HYPERLINK("https://www.jcpenney.com/s?searchTerm=197613957095", "Retail Link")</f>
        <v/>
      </c>
      <c r="J294" s="23" t="inlineStr">
        <is>
          <t>n/a</t>
        </is>
      </c>
      <c r="K294" s="21" t="inlineStr">
        <is>
          <t>adidas Women's Vl Court 3.0 Sneaker, Off White/Black/Off White, 11</t>
        </is>
      </c>
      <c r="L294" s="24" t="n"/>
      <c r="M294" s="24" t="n">
        <v>74.95</v>
      </c>
      <c r="N294" s="24" t="n"/>
      <c r="O294" s="24">
        <f>V294-M294</f>
        <v/>
      </c>
      <c r="P294" s="25">
        <f>N294/L294</f>
        <v/>
      </c>
      <c r="Q294" s="23" t="n">
        <v>815</v>
      </c>
      <c r="R294" s="23" t="n"/>
      <c r="S294" s="26" t="n">
        <v>1.8849501</v>
      </c>
      <c r="T294" s="24" t="n">
        <v>74.95</v>
      </c>
      <c r="U294" s="24" t="n">
        <v>74.95</v>
      </c>
      <c r="V294" s="24" t="n">
        <v>74.95</v>
      </c>
      <c r="W294" s="26" t="inlineStr">
        <is>
          <t>New!adidas Vl Court 3.0 Womens Sneakers</t>
        </is>
      </c>
      <c r="X294" s="23" t="n">
        <v>2</v>
      </c>
      <c r="Y294" s="18">
        <f>AC294-AB294</f>
        <v/>
      </c>
      <c r="Z294" s="27" t="n">
        <v>33</v>
      </c>
      <c r="AA294" s="27" t="n">
        <v>33</v>
      </c>
      <c r="AB294" s="27" t="n">
        <v>0</v>
      </c>
      <c r="AC294" s="27" t="n">
        <v>1562</v>
      </c>
      <c r="AD294" s="1" t="inlineStr">
        <is>
          <t>NNO46</t>
        </is>
      </c>
      <c r="AE294" s="1" t="inlineStr">
        <is>
          <t>Off White/Black/Off White</t>
        </is>
      </c>
      <c r="AF294" s="4" t="n">
        <v>11.24</v>
      </c>
      <c r="AG294" s="4" t="n">
        <v>7.86</v>
      </c>
    </row>
    <row r="295" ht="47.25" customHeight="1">
      <c r="A295" s="18" t="inlineStr">
        <is>
          <t>195552638518</t>
        </is>
      </c>
      <c r="B295" s="19" t="inlineStr">
        <is>
          <t>https://www.amazon.com/dp/</t>
        </is>
      </c>
      <c r="C295" s="20" t="inlineStr">
        <is>
          <t>B0BXTGR18R</t>
        </is>
      </c>
      <c r="D295" s="44" t="n"/>
      <c r="E295" s="23" t="inlineStr">
        <is>
          <t>?th=1&amp;psc=1&amp;tag=sdcdeals03-20</t>
        </is>
      </c>
      <c r="F295" s="19">
        <f>HYPERLINK("https://redirect.sdcdeals.com/redirect?destination=https%3A%2F%2Fwww.amazon.com%2Fdp%2FB0BXTGR18R%3Fth%3D1%26psc%3D1%26tag%3Dsdcdeals03-20", "Amazon Link")</f>
        <v/>
      </c>
      <c r="G295" s="19" t="inlineStr">
        <is>
          <t>https://www.jcpenney.com/s?searchTerm={search_term}</t>
        </is>
      </c>
      <c r="H295" s="23" t="inlineStr">
        <is>
          <t>195552638518</t>
        </is>
      </c>
      <c r="I295" s="19">
        <f>HYPERLINK("https://www.jcpenney.com/s?searchTerm=195552638518", "Retail Link")</f>
        <v/>
      </c>
      <c r="J295" s="23" t="inlineStr">
        <is>
          <t>n/a</t>
        </is>
      </c>
      <c r="K295" s="21" t="inlineStr">
        <is>
          <t>PUMA Women's CARINA STREET Sneaker, PUMA White-Rose Dust-Feather Gray, 5.5</t>
        </is>
      </c>
      <c r="L295" s="24" t="n">
        <v>42.7405</v>
      </c>
      <c r="M295" s="24" t="inlineStr"/>
      <c r="N295" s="24" t="n"/>
      <c r="O295" s="24">
        <f>V295-M295</f>
        <v/>
      </c>
      <c r="P295" s="25">
        <f>N295/L295</f>
        <v/>
      </c>
      <c r="Q295" s="23" t="n"/>
      <c r="R295" s="23" t="n"/>
      <c r="S295" s="26" t="n">
        <v>1.6644881</v>
      </c>
      <c r="T295" s="24" t="inlineStr"/>
      <c r="U295" s="24" t="inlineStr"/>
      <c r="V295" s="24" t="inlineStr"/>
      <c r="W295" s="26" t="inlineStr">
        <is>
          <t>New!PUMA Carina Street Womens Sneakers</t>
        </is>
      </c>
      <c r="X295" s="23" t="n"/>
      <c r="Y295" s="18">
        <f>AC295-AB295</f>
        <v/>
      </c>
      <c r="Z295" s="27" t="n">
        <v>0</v>
      </c>
      <c r="AA295" s="27" t="n">
        <v>0</v>
      </c>
      <c r="AB295" s="27" t="n">
        <v>0</v>
      </c>
      <c r="AC295" s="27" t="n"/>
      <c r="AD295" s="1" t="inlineStr">
        <is>
          <t>38939005</t>
        </is>
      </c>
      <c r="AE295" s="1" t="inlineStr"/>
      <c r="AF295" s="4" t="inlineStr"/>
      <c r="AG295" s="4" t="n">
        <v>6.89</v>
      </c>
    </row>
    <row r="296" ht="47.25" customHeight="1">
      <c r="A296" s="18" t="inlineStr">
        <is>
          <t>195552638556</t>
        </is>
      </c>
      <c r="B296" s="19" t="inlineStr">
        <is>
          <t>https://www.amazon.com/dp/</t>
        </is>
      </c>
      <c r="C296" s="20" t="inlineStr">
        <is>
          <t>B0BXTF7WP8</t>
        </is>
      </c>
      <c r="D296" s="44" t="n"/>
      <c r="E296" s="23" t="inlineStr">
        <is>
          <t>?th=1&amp;psc=1&amp;tag=sdcdeals03-20</t>
        </is>
      </c>
      <c r="F296" s="19">
        <f>HYPERLINK("https://redirect.sdcdeals.com/redirect?destination=https%3A%2F%2Fwww.amazon.com%2Fdp%2FB0BXTF7WP8%3Fth%3D1%26psc%3D1%26tag%3Dsdcdeals03-20", "Amazon Link")</f>
        <v/>
      </c>
      <c r="G296" s="19" t="inlineStr">
        <is>
          <t>https://www.jcpenney.com/s?searchTerm={search_term}</t>
        </is>
      </c>
      <c r="H296" s="23" t="inlineStr">
        <is>
          <t>195552638556</t>
        </is>
      </c>
      <c r="I296" s="19">
        <f>HYPERLINK("https://www.jcpenney.com/s?searchTerm=195552638556", "Retail Link")</f>
        <v/>
      </c>
      <c r="J296" s="23" t="inlineStr">
        <is>
          <t>n/a</t>
        </is>
      </c>
      <c r="K296" s="21" t="inlineStr">
        <is>
          <t>PUMA Women's CARINA STREET Sneaker, PUMA White-Rose Dust-Feather Gray, 6</t>
        </is>
      </c>
      <c r="L296" s="24" t="n">
        <v>42.7405</v>
      </c>
      <c r="M296" s="24" t="n">
        <v>52.3</v>
      </c>
      <c r="N296" s="24" t="n">
        <v>-5.3155</v>
      </c>
      <c r="O296" s="24">
        <f>V296-M296</f>
        <v/>
      </c>
      <c r="P296" s="25">
        <f>N296/L296</f>
        <v/>
      </c>
      <c r="Q296" s="23" t="n">
        <v>251465</v>
      </c>
      <c r="R296" s="23" t="n"/>
      <c r="S296" s="26" t="n">
        <v>1.59394026</v>
      </c>
      <c r="T296" s="24" t="inlineStr"/>
      <c r="U296" s="24" t="n">
        <v>52.3</v>
      </c>
      <c r="V296" s="24" t="n">
        <v>57.68</v>
      </c>
      <c r="W296" s="26" t="inlineStr">
        <is>
          <t>New!PUMA Carina Street Womens Sneakers</t>
        </is>
      </c>
      <c r="X296" s="23" t="n">
        <v>1</v>
      </c>
      <c r="Y296" s="18">
        <f>AC296-AB296</f>
        <v/>
      </c>
      <c r="Z296" s="27" t="n">
        <v>21</v>
      </c>
      <c r="AA296" s="27" t="n">
        <v>60</v>
      </c>
      <c r="AB296" s="27" t="n">
        <v>1</v>
      </c>
      <c r="AC296" s="27" t="n">
        <v>15030</v>
      </c>
      <c r="AD296" s="1" t="inlineStr">
        <is>
          <t>38939005</t>
        </is>
      </c>
      <c r="AE296" s="1" t="inlineStr">
        <is>
          <t>Puma White-rose Dust-feather Gray</t>
        </is>
      </c>
      <c r="AF296" s="4" t="inlineStr"/>
      <c r="AG296" s="4" t="n">
        <v>7.03</v>
      </c>
    </row>
    <row r="297" ht="47.25" customHeight="1">
      <c r="A297" s="18" t="inlineStr">
        <is>
          <t>195552638594</t>
        </is>
      </c>
      <c r="B297" s="19" t="inlineStr">
        <is>
          <t>https://www.amazon.com/dp/</t>
        </is>
      </c>
      <c r="C297" s="20" t="inlineStr">
        <is>
          <t>B0BXTTNJGG</t>
        </is>
      </c>
      <c r="D297" s="44" t="n"/>
      <c r="E297" s="23" t="inlineStr">
        <is>
          <t>?th=1&amp;psc=1&amp;tag=sdcdeals03-20</t>
        </is>
      </c>
      <c r="F297" s="19">
        <f>HYPERLINK("https://redirect.sdcdeals.com/redirect?destination=https%3A%2F%2Fwww.amazon.com%2Fdp%2FB0BXTTNJGG%3Fth%3D1%26psc%3D1%26tag%3Dsdcdeals03-20", "Amazon Link")</f>
        <v/>
      </c>
      <c r="G297" s="19" t="inlineStr">
        <is>
          <t>https://www.jcpenney.com/s?searchTerm={search_term}</t>
        </is>
      </c>
      <c r="H297" s="23" t="inlineStr">
        <is>
          <t>195552638594</t>
        </is>
      </c>
      <c r="I297" s="19">
        <f>HYPERLINK("https://www.jcpenney.com/s?searchTerm=195552638594", "Retail Link")</f>
        <v/>
      </c>
      <c r="J297" s="23" t="inlineStr">
        <is>
          <t>n/a</t>
        </is>
      </c>
      <c r="K297" s="21" t="inlineStr">
        <is>
          <t>PUMA Women's CARINA STREET Sneaker, PUMA White-Rose Dust-Feather Gray, 6.5</t>
        </is>
      </c>
      <c r="L297" s="24" t="n">
        <v>42.7405</v>
      </c>
      <c r="M297" s="24" t="n">
        <v>49</v>
      </c>
      <c r="N297" s="24" t="n">
        <v>-8.1205</v>
      </c>
      <c r="O297" s="24">
        <f>V297-M297</f>
        <v/>
      </c>
      <c r="P297" s="25">
        <f>N297/L297</f>
        <v/>
      </c>
      <c r="Q297" s="23" t="n">
        <v>2430653</v>
      </c>
      <c r="R297" s="23" t="n"/>
      <c r="S297" s="26" t="n">
        <v>1.67992044</v>
      </c>
      <c r="T297" s="24" t="n">
        <v>49</v>
      </c>
      <c r="U297" s="24" t="n">
        <v>55.8</v>
      </c>
      <c r="V297" s="24" t="n">
        <v>59.93</v>
      </c>
      <c r="W297" s="26" t="inlineStr">
        <is>
          <t>New!PUMA Carina Street Womens Sneakers</t>
        </is>
      </c>
      <c r="X297" s="23" t="n">
        <v>4</v>
      </c>
      <c r="Y297" s="18">
        <f>AC297-AB297</f>
        <v/>
      </c>
      <c r="Z297" s="27" t="n">
        <v>2</v>
      </c>
      <c r="AA297" s="27" t="n">
        <v>5</v>
      </c>
      <c r="AB297" s="27" t="n">
        <v>2</v>
      </c>
      <c r="AC297" s="27" t="n">
        <v>4</v>
      </c>
      <c r="AD297" s="1" t="inlineStr">
        <is>
          <t>38939005</t>
        </is>
      </c>
      <c r="AE297" s="1" t="inlineStr">
        <is>
          <t>White</t>
        </is>
      </c>
      <c r="AF297" s="4" t="n">
        <v>7.35</v>
      </c>
      <c r="AG297" s="4" t="n">
        <v>7.03</v>
      </c>
    </row>
    <row r="298" ht="47.25" customHeight="1">
      <c r="A298" s="18" t="inlineStr">
        <is>
          <t>195552638525</t>
        </is>
      </c>
      <c r="B298" s="19" t="inlineStr">
        <is>
          <t>https://www.amazon.com/dp/</t>
        </is>
      </c>
      <c r="C298" s="20" t="inlineStr">
        <is>
          <t>B0BXTMXD45</t>
        </is>
      </c>
      <c r="D298" s="44" t="n"/>
      <c r="E298" s="23" t="inlineStr">
        <is>
          <t>?th=1&amp;psc=1&amp;tag=sdcdeals03-20</t>
        </is>
      </c>
      <c r="F298" s="19">
        <f>HYPERLINK("https://redirect.sdcdeals.com/redirect?destination=https%3A%2F%2Fwww.amazon.com%2Fdp%2FB0BXTMXD45%3Fth%3D1%26psc%3D1%26tag%3Dsdcdeals03-20", "Amazon Link")</f>
        <v/>
      </c>
      <c r="G298" s="19" t="inlineStr">
        <is>
          <t>https://www.jcpenney.com/s?searchTerm={search_term}</t>
        </is>
      </c>
      <c r="H298" s="23" t="inlineStr">
        <is>
          <t>195552638525</t>
        </is>
      </c>
      <c r="I298" s="19">
        <f>HYPERLINK("https://www.jcpenney.com/s?searchTerm=195552638525", "Retail Link")</f>
        <v/>
      </c>
      <c r="J298" s="23" t="inlineStr">
        <is>
          <t>n/a</t>
        </is>
      </c>
      <c r="K298" s="21" t="inlineStr">
        <is>
          <t>PUMA Women's CARINA STREET Sneaker, PUMA White-Rose Dust-Feather Gray, 7</t>
        </is>
      </c>
      <c r="L298" s="24" t="n">
        <v>42.7405</v>
      </c>
      <c r="M298" s="24" t="n">
        <v>49</v>
      </c>
      <c r="N298" s="24" t="n">
        <v>-8.710499999999996</v>
      </c>
      <c r="O298" s="24">
        <f>V298-M298</f>
        <v/>
      </c>
      <c r="P298" s="25">
        <f>N298/L298</f>
        <v/>
      </c>
      <c r="Q298" s="23" t="n">
        <v>251465</v>
      </c>
      <c r="R298" s="23" t="n"/>
      <c r="S298" s="26" t="n">
        <v>1.7196036</v>
      </c>
      <c r="T298" s="24" t="n">
        <v>49</v>
      </c>
      <c r="U298" s="24" t="n">
        <v>60.89</v>
      </c>
      <c r="V298" s="24" t="n">
        <v>65.3</v>
      </c>
      <c r="W298" s="26" t="inlineStr">
        <is>
          <t>New!PUMA Carina Street Womens Sneakers</t>
        </is>
      </c>
      <c r="X298" s="23" t="n">
        <v>2</v>
      </c>
      <c r="Y298" s="18">
        <f>AC298-AB298</f>
        <v/>
      </c>
      <c r="Z298" s="27" t="n">
        <v>38</v>
      </c>
      <c r="AA298" s="27" t="n">
        <v>68</v>
      </c>
      <c r="AB298" s="27" t="n">
        <v>7</v>
      </c>
      <c r="AC298" s="27" t="n">
        <v>15030</v>
      </c>
      <c r="AD298" s="1" t="inlineStr">
        <is>
          <t>38939005</t>
        </is>
      </c>
      <c r="AE298" s="1" t="inlineStr">
        <is>
          <t>Puma White-rose Dust-feather Gray</t>
        </is>
      </c>
      <c r="AF298" s="4" t="inlineStr"/>
      <c r="AG298" s="4" t="n">
        <v>7.62</v>
      </c>
    </row>
    <row r="299" ht="47.25" customHeight="1">
      <c r="A299" s="18" t="inlineStr">
        <is>
          <t>195552638600</t>
        </is>
      </c>
      <c r="B299" s="19" t="inlineStr">
        <is>
          <t>https://www.amazon.com/dp/</t>
        </is>
      </c>
      <c r="C299" s="20" t="inlineStr">
        <is>
          <t>B0BXTPHB1H</t>
        </is>
      </c>
      <c r="D299" s="44" t="n"/>
      <c r="E299" s="23" t="inlineStr">
        <is>
          <t>?th=1&amp;psc=1&amp;tag=sdcdeals03-20</t>
        </is>
      </c>
      <c r="F299" s="19">
        <f>HYPERLINK("https://redirect.sdcdeals.com/redirect?destination=https%3A%2F%2Fwww.amazon.com%2Fdp%2FB0BXTPHB1H%3Fth%3D1%26psc%3D1%26tag%3Dsdcdeals03-20", "Amazon Link")</f>
        <v/>
      </c>
      <c r="G299" s="19" t="inlineStr">
        <is>
          <t>https://www.jcpenney.com/s?searchTerm={search_term}</t>
        </is>
      </c>
      <c r="H299" s="23" t="inlineStr">
        <is>
          <t>195552638600</t>
        </is>
      </c>
      <c r="I299" s="19">
        <f>HYPERLINK("https://www.jcpenney.com/s?searchTerm=195552638600", "Retail Link")</f>
        <v/>
      </c>
      <c r="J299" s="23" t="inlineStr">
        <is>
          <t>n/a</t>
        </is>
      </c>
      <c r="K299" s="21" t="inlineStr">
        <is>
          <t>PUMA Womens Carina Street Sneaker, PUMA Womens White-Rose Dust-Feather Gray, 7.5</t>
        </is>
      </c>
      <c r="L299" s="24" t="n">
        <v>42.7405</v>
      </c>
      <c r="M299" s="24" t="n">
        <v>49</v>
      </c>
      <c r="N299" s="24" t="n">
        <v>-8.710499999999996</v>
      </c>
      <c r="O299" s="24">
        <f>V299-M299</f>
        <v/>
      </c>
      <c r="P299" s="25">
        <f>N299/L299</f>
        <v/>
      </c>
      <c r="Q299" s="23" t="n">
        <v>45846</v>
      </c>
      <c r="R299" s="23" t="n"/>
      <c r="S299" s="26" t="n">
        <v>1.80117454</v>
      </c>
      <c r="T299" s="24" t="n">
        <v>49</v>
      </c>
      <c r="U299" s="24" t="n">
        <v>61.08</v>
      </c>
      <c r="V299" s="24" t="n">
        <v>64.84</v>
      </c>
      <c r="W299" s="26" t="inlineStr">
        <is>
          <t>New!PUMA Carina Street Womens Sneakers</t>
        </is>
      </c>
      <c r="X299" s="23" t="n">
        <v>3</v>
      </c>
      <c r="Y299" s="18">
        <f>AC299-AB299</f>
        <v/>
      </c>
      <c r="Z299" s="27" t="n">
        <v>21</v>
      </c>
      <c r="AA299" s="27" t="n">
        <v>65</v>
      </c>
      <c r="AB299" s="27" t="n">
        <v>4</v>
      </c>
      <c r="AC299" s="27" t="n">
        <v>327</v>
      </c>
      <c r="AD299" s="1" t="inlineStr">
        <is>
          <t>38939005</t>
        </is>
      </c>
      <c r="AE299" s="1" t="inlineStr">
        <is>
          <t>Puma White-rose Dust-feather Gray</t>
        </is>
      </c>
      <c r="AF299" s="4" t="inlineStr"/>
      <c r="AG299" s="4" t="n">
        <v>7.62</v>
      </c>
    </row>
    <row r="300" ht="47.25" customHeight="1">
      <c r="A300" s="18" t="inlineStr">
        <is>
          <t>195552638587</t>
        </is>
      </c>
      <c r="B300" s="19" t="inlineStr">
        <is>
          <t>https://www.amazon.com/dp/</t>
        </is>
      </c>
      <c r="C300" s="20" t="inlineStr">
        <is>
          <t>B0BXTKWGRZ</t>
        </is>
      </c>
      <c r="D300" s="44" t="n"/>
      <c r="E300" s="23" t="inlineStr">
        <is>
          <t>?th=1&amp;psc=1&amp;tag=sdcdeals03-20</t>
        </is>
      </c>
      <c r="F300" s="19">
        <f>HYPERLINK("https://redirect.sdcdeals.com/redirect?destination=https%3A%2F%2Fwww.amazon.com%2Fdp%2FB0BXTKWGRZ%3Fth%3D1%26psc%3D1%26tag%3Dsdcdeals03-20", "Amazon Link")</f>
        <v/>
      </c>
      <c r="G300" s="19" t="inlineStr">
        <is>
          <t>https://www.jcpenney.com/s?searchTerm={search_term}</t>
        </is>
      </c>
      <c r="H300" s="23" t="inlineStr">
        <is>
          <t>195552638587</t>
        </is>
      </c>
      <c r="I300" s="19">
        <f>HYPERLINK("https://www.jcpenney.com/s?searchTerm=195552638587", "Retail Link")</f>
        <v/>
      </c>
      <c r="J300" s="23" t="inlineStr">
        <is>
          <t>n/a</t>
        </is>
      </c>
      <c r="K300" s="21" t="inlineStr">
        <is>
          <t>PUMA Women's CARINA STREET Sneaker, PUMA White-Rose Dust-Feather Gray, 8</t>
        </is>
      </c>
      <c r="L300" s="24" t="n">
        <v>42.7405</v>
      </c>
      <c r="M300" s="24" t="n">
        <v>49</v>
      </c>
      <c r="N300" s="24" t="n">
        <v>-8.790500000000002</v>
      </c>
      <c r="O300" s="24">
        <f>V300-M300</f>
        <v/>
      </c>
      <c r="P300" s="25">
        <f>N300/L300</f>
        <v/>
      </c>
      <c r="Q300" s="23" t="n">
        <v>268817</v>
      </c>
      <c r="R300" s="23" t="n"/>
      <c r="S300" s="26" t="n">
        <v>1.83865308</v>
      </c>
      <c r="T300" s="24" t="n">
        <v>49</v>
      </c>
      <c r="U300" s="24" t="n">
        <v>51.25</v>
      </c>
      <c r="V300" s="24" t="n">
        <v>59.35</v>
      </c>
      <c r="W300" s="26" t="inlineStr">
        <is>
          <t>New!PUMA Carina Street Womens Sneakers</t>
        </is>
      </c>
      <c r="X300" s="23" t="n">
        <v>2</v>
      </c>
      <c r="Y300" s="18">
        <f>AC300-AB300</f>
        <v/>
      </c>
      <c r="Z300" s="27" t="n">
        <v>30</v>
      </c>
      <c r="AA300" s="27" t="n">
        <v>80</v>
      </c>
      <c r="AB300" s="27" t="n">
        <v>6</v>
      </c>
      <c r="AC300" s="27" t="n">
        <v>15032</v>
      </c>
      <c r="AD300" s="1" t="inlineStr">
        <is>
          <t>38939005</t>
        </is>
      </c>
      <c r="AE300" s="1" t="inlineStr">
        <is>
          <t>Puma White-rose Dust-feather Gray</t>
        </is>
      </c>
      <c r="AF300" s="4" t="n">
        <v>7.35</v>
      </c>
      <c r="AG300" s="4" t="n">
        <v>7.7</v>
      </c>
    </row>
    <row r="301" ht="47.25" customHeight="1">
      <c r="A301" s="18" t="inlineStr">
        <is>
          <t>195552638563</t>
        </is>
      </c>
      <c r="B301" s="19" t="inlineStr">
        <is>
          <t>https://www.amazon.com/dp/</t>
        </is>
      </c>
      <c r="C301" s="20" t="inlineStr">
        <is>
          <t>B0BXTR6L6K</t>
        </is>
      </c>
      <c r="D301" s="44" t="n"/>
      <c r="E301" s="23" t="inlineStr">
        <is>
          <t>?th=1&amp;psc=1&amp;tag=sdcdeals03-20</t>
        </is>
      </c>
      <c r="F301" s="19">
        <f>HYPERLINK("https://redirect.sdcdeals.com/redirect?destination=https%3A%2F%2Fwww.amazon.com%2Fdp%2FB0BXTR6L6K%3Fth%3D1%26psc%3D1%26tag%3Dsdcdeals03-20", "Amazon Link")</f>
        <v/>
      </c>
      <c r="G301" s="19" t="inlineStr">
        <is>
          <t>https://www.jcpenney.com/s?searchTerm={search_term}</t>
        </is>
      </c>
      <c r="H301" s="23" t="inlineStr">
        <is>
          <t>195552638563</t>
        </is>
      </c>
      <c r="I301" s="19">
        <f>HYPERLINK("https://www.jcpenney.com/s?searchTerm=195552638563", "Retail Link")</f>
        <v/>
      </c>
      <c r="J301" s="23" t="inlineStr">
        <is>
          <t>n/a</t>
        </is>
      </c>
      <c r="K301" s="21" t="inlineStr">
        <is>
          <t>PUMA Women's CARINA STREET Sneaker, PUMA White-Rose Dust-Feather Gray, 8.5</t>
        </is>
      </c>
      <c r="L301" s="24" t="n">
        <v>42.7405</v>
      </c>
      <c r="M301" s="24" t="n">
        <v>55.3</v>
      </c>
      <c r="N301" s="24" t="n">
        <v>-3.435500000000005</v>
      </c>
      <c r="O301" s="24">
        <f>V301-M301</f>
        <v/>
      </c>
      <c r="P301" s="25">
        <f>N301/L301</f>
        <v/>
      </c>
      <c r="Q301" s="23" t="n">
        <v>251465</v>
      </c>
      <c r="R301" s="23" t="n"/>
      <c r="S301" s="26" t="n">
        <v>1.86951776</v>
      </c>
      <c r="T301" s="24" t="n">
        <v>55.3</v>
      </c>
      <c r="U301" s="24" t="n">
        <v>56.08</v>
      </c>
      <c r="V301" s="24" t="n">
        <v>60.89</v>
      </c>
      <c r="W301" s="26" t="inlineStr">
        <is>
          <t>New!PUMA Carina Street Womens Sneakers</t>
        </is>
      </c>
      <c r="X301" s="23" t="n">
        <v>3</v>
      </c>
      <c r="Y301" s="18">
        <f>AC301-AB301</f>
        <v/>
      </c>
      <c r="Z301" s="27" t="n">
        <v>29</v>
      </c>
      <c r="AA301" s="27" t="n">
        <v>96</v>
      </c>
      <c r="AB301" s="27" t="n">
        <v>3</v>
      </c>
      <c r="AC301" s="27" t="n">
        <v>15030</v>
      </c>
      <c r="AD301" s="1" t="inlineStr">
        <is>
          <t>38939005</t>
        </is>
      </c>
      <c r="AE301" s="1" t="inlineStr">
        <is>
          <t>Puma White-rose Dust-feather Gray</t>
        </is>
      </c>
      <c r="AF301" s="4" t="inlineStr"/>
      <c r="AG301" s="4" t="n">
        <v>7.7</v>
      </c>
    </row>
    <row r="302" ht="47.25" customHeight="1">
      <c r="A302" s="18" t="inlineStr">
        <is>
          <t>195552638501</t>
        </is>
      </c>
      <c r="B302" s="19" t="inlineStr">
        <is>
          <t>https://www.amazon.com/dp/</t>
        </is>
      </c>
      <c r="C302" s="20" t="inlineStr">
        <is>
          <t>B0BXTL5VNM</t>
        </is>
      </c>
      <c r="D302" s="44" t="n"/>
      <c r="E302" s="23" t="inlineStr">
        <is>
          <t>?th=1&amp;psc=1&amp;tag=sdcdeals03-20</t>
        </is>
      </c>
      <c r="F302" s="19">
        <f>HYPERLINK("https://redirect.sdcdeals.com/redirect?destination=https%3A%2F%2Fwww.amazon.com%2Fdp%2FB0BXTL5VNM%3Fth%3D1%26psc%3D1%26tag%3Dsdcdeals03-20", "Amazon Link")</f>
        <v/>
      </c>
      <c r="G302" s="19" t="inlineStr">
        <is>
          <t>https://www.jcpenney.com/s?searchTerm={search_term}</t>
        </is>
      </c>
      <c r="H302" s="23" t="inlineStr">
        <is>
          <t>195552638501</t>
        </is>
      </c>
      <c r="I302" s="19">
        <f>HYPERLINK("https://www.jcpenney.com/s?searchTerm=195552638501", "Retail Link")</f>
        <v/>
      </c>
      <c r="J302" s="23" t="inlineStr">
        <is>
          <t>n/a</t>
        </is>
      </c>
      <c r="K302" s="21" t="inlineStr">
        <is>
          <t>PUMA Womens Carina Street Sneaker, PUMA Womens White-Rose Dust-Feather Gray, 9</t>
        </is>
      </c>
      <c r="L302" s="24" t="n">
        <v>42.7405</v>
      </c>
      <c r="M302" s="24" t="n">
        <v>49</v>
      </c>
      <c r="N302" s="24" t="n">
        <v>-8.710499999999996</v>
      </c>
      <c r="O302" s="24">
        <f>V302-M302</f>
        <v/>
      </c>
      <c r="P302" s="25">
        <f>N302/L302</f>
        <v/>
      </c>
      <c r="Q302" s="23" t="n">
        <v>42383</v>
      </c>
      <c r="R302" s="23" t="n"/>
      <c r="S302" s="26" t="n">
        <v>1.89817782</v>
      </c>
      <c r="T302" s="24" t="n">
        <v>49</v>
      </c>
      <c r="U302" s="24" t="n">
        <v>52.15</v>
      </c>
      <c r="V302" s="24" t="n">
        <v>56.79</v>
      </c>
      <c r="W302" s="26" t="inlineStr">
        <is>
          <t>New!PUMA Carina Street Womens Sneakers</t>
        </is>
      </c>
      <c r="X302" s="23" t="n">
        <v>3</v>
      </c>
      <c r="Y302" s="18">
        <f>AC302-AB302</f>
        <v/>
      </c>
      <c r="Z302" s="27" t="n">
        <v>21</v>
      </c>
      <c r="AA302" s="27" t="n">
        <v>66</v>
      </c>
      <c r="AB302" s="27" t="n">
        <v>4</v>
      </c>
      <c r="AC302" s="27" t="n">
        <v>327</v>
      </c>
      <c r="AD302" s="1" t="inlineStr">
        <is>
          <t>38939005</t>
        </is>
      </c>
      <c r="AE302" s="1" t="inlineStr">
        <is>
          <t>Puma White-rose Dust-feather Gray</t>
        </is>
      </c>
      <c r="AF302" s="4" t="inlineStr"/>
      <c r="AG302" s="4" t="n">
        <v>7.62</v>
      </c>
    </row>
    <row r="303" ht="47.25" customHeight="1">
      <c r="A303" s="18" t="inlineStr">
        <is>
          <t>195552638570</t>
        </is>
      </c>
      <c r="B303" s="19" t="inlineStr">
        <is>
          <t>https://www.amazon.com/dp/</t>
        </is>
      </c>
      <c r="C303" s="20" t="inlineStr">
        <is>
          <t>B0BXTD6C7D</t>
        </is>
      </c>
      <c r="D303" s="44" t="n"/>
      <c r="E303" s="23" t="inlineStr">
        <is>
          <t>?th=1&amp;psc=1&amp;tag=sdcdeals03-20</t>
        </is>
      </c>
      <c r="F303" s="19">
        <f>HYPERLINK("https://redirect.sdcdeals.com/redirect?destination=https%3A%2F%2Fwww.amazon.com%2Fdp%2FB0BXTD6C7D%3Fth%3D1%26psc%3D1%26tag%3Dsdcdeals03-20", "Amazon Link")</f>
        <v/>
      </c>
      <c r="G303" s="19" t="inlineStr">
        <is>
          <t>https://www.jcpenney.com/s?searchTerm={search_term}</t>
        </is>
      </c>
      <c r="H303" s="23" t="inlineStr">
        <is>
          <t>195552638570</t>
        </is>
      </c>
      <c r="I303" s="19">
        <f>HYPERLINK("https://www.jcpenney.com/s?searchTerm=195552638570", "Retail Link")</f>
        <v/>
      </c>
      <c r="J303" s="23" t="inlineStr">
        <is>
          <t>n/a</t>
        </is>
      </c>
      <c r="K303" s="21" t="inlineStr">
        <is>
          <t>PUMA Womens Carina Street Sneaker, PUMA Womens White-Rose Dust-Feather Gray, 9.5</t>
        </is>
      </c>
      <c r="L303" s="24" t="n">
        <v>42.7405</v>
      </c>
      <c r="M303" s="24" t="n">
        <v>44.99</v>
      </c>
      <c r="N303" s="24" t="n">
        <v>-12.35899999999999</v>
      </c>
      <c r="O303" s="24">
        <f>V303-M303</f>
        <v/>
      </c>
      <c r="P303" s="25">
        <f>N303/L303</f>
        <v/>
      </c>
      <c r="Q303" s="23" t="n">
        <v>42383</v>
      </c>
      <c r="R303" s="23" t="n"/>
      <c r="S303" s="26" t="n">
        <v>1.98636262</v>
      </c>
      <c r="T303" s="24" t="n">
        <v>44.99</v>
      </c>
      <c r="U303" s="24" t="n">
        <v>48.43</v>
      </c>
      <c r="V303" s="24" t="n">
        <v>51.81</v>
      </c>
      <c r="W303" s="26" t="inlineStr">
        <is>
          <t>New!PUMA Carina Street Womens Sneakers</t>
        </is>
      </c>
      <c r="X303" s="23" t="n">
        <v>4</v>
      </c>
      <c r="Y303" s="18">
        <f>AC303-AB303</f>
        <v/>
      </c>
      <c r="Z303" s="27" t="n">
        <v>23</v>
      </c>
      <c r="AA303" s="27" t="n">
        <v>85</v>
      </c>
      <c r="AB303" s="27" t="n">
        <v>3</v>
      </c>
      <c r="AC303" s="27" t="n">
        <v>327</v>
      </c>
      <c r="AD303" s="1" t="inlineStr">
        <is>
          <t>38939005</t>
        </is>
      </c>
      <c r="AE303" s="1" t="inlineStr">
        <is>
          <t>Puma White-rose Dust-feather Gray</t>
        </is>
      </c>
      <c r="AF303" s="4" t="n">
        <v>6.75</v>
      </c>
      <c r="AG303" s="4" t="n">
        <v>7.86</v>
      </c>
    </row>
    <row r="304" ht="47.25" customHeight="1">
      <c r="A304" s="18" t="inlineStr">
        <is>
          <t>195552638617</t>
        </is>
      </c>
      <c r="B304" s="19" t="inlineStr">
        <is>
          <t>https://www.amazon.com/dp/</t>
        </is>
      </c>
      <c r="C304" s="20" t="inlineStr">
        <is>
          <t>B0BXTGPPGF</t>
        </is>
      </c>
      <c r="D304" s="44" t="n"/>
      <c r="E304" s="23" t="inlineStr">
        <is>
          <t>?th=1&amp;psc=1&amp;tag=sdcdeals03-20</t>
        </is>
      </c>
      <c r="F304" s="19">
        <f>HYPERLINK("https://redirect.sdcdeals.com/redirect?destination=https%3A%2F%2Fwww.amazon.com%2Fdp%2FB0BXTGPPGF%3Fth%3D1%26psc%3D1%26tag%3Dsdcdeals03-20", "Amazon Link")</f>
        <v/>
      </c>
      <c r="G304" s="19" t="inlineStr">
        <is>
          <t>https://www.jcpenney.com/s?searchTerm={search_term}</t>
        </is>
      </c>
      <c r="H304" s="23" t="inlineStr">
        <is>
          <t>195552638617</t>
        </is>
      </c>
      <c r="I304" s="19">
        <f>HYPERLINK("https://www.jcpenney.com/s?searchTerm=195552638617", "Retail Link")</f>
        <v/>
      </c>
      <c r="J304" s="23" t="inlineStr">
        <is>
          <t>n/a</t>
        </is>
      </c>
      <c r="K304" s="21" t="inlineStr">
        <is>
          <t>PUMA Womens Carina Street Sneaker, PUMA Womens White-Rose Dust-Feather Gray, 10</t>
        </is>
      </c>
      <c r="L304" s="24" t="n">
        <v>42.7405</v>
      </c>
      <c r="M304" s="24" t="n">
        <v>44.99</v>
      </c>
      <c r="N304" s="24" t="n">
        <v>-12.35899999999999</v>
      </c>
      <c r="O304" s="24">
        <f>V304-M304</f>
        <v/>
      </c>
      <c r="P304" s="25">
        <f>N304/L304</f>
        <v/>
      </c>
      <c r="Q304" s="23" t="n">
        <v>42383</v>
      </c>
      <c r="R304" s="23" t="n"/>
      <c r="S304" s="26" t="n">
        <v>2.11202596</v>
      </c>
      <c r="T304" s="24" t="n">
        <v>44.99</v>
      </c>
      <c r="U304" s="24" t="n">
        <v>48.21</v>
      </c>
      <c r="V304" s="24" t="n">
        <v>52.15</v>
      </c>
      <c r="W304" s="26" t="inlineStr">
        <is>
          <t>New!PUMA Carina Street Womens Sneakers</t>
        </is>
      </c>
      <c r="X304" s="23" t="n">
        <v>4</v>
      </c>
      <c r="Y304" s="18">
        <f>AC304-AB304</f>
        <v/>
      </c>
      <c r="Z304" s="27" t="n">
        <v>18</v>
      </c>
      <c r="AA304" s="27" t="n">
        <v>59</v>
      </c>
      <c r="AB304" s="27" t="n">
        <v>4</v>
      </c>
      <c r="AC304" s="27" t="n">
        <v>327</v>
      </c>
      <c r="AD304" s="1" t="inlineStr">
        <is>
          <t>38939005</t>
        </is>
      </c>
      <c r="AE304" s="1" t="inlineStr">
        <is>
          <t>Puma White-rose Dust-feather Gray</t>
        </is>
      </c>
      <c r="AF304" s="4" t="n">
        <v>6.75</v>
      </c>
      <c r="AG304" s="4" t="n">
        <v>7.86</v>
      </c>
    </row>
    <row r="305" ht="47.25" customHeight="1">
      <c r="A305" s="18" t="inlineStr">
        <is>
          <t>195552638532</t>
        </is>
      </c>
      <c r="B305" s="19" t="inlineStr">
        <is>
          <t>https://www.amazon.com/dp/</t>
        </is>
      </c>
      <c r="C305" s="20" t="inlineStr">
        <is>
          <t>B0BXTBHVHF</t>
        </is>
      </c>
      <c r="D305" s="44" t="n"/>
      <c r="E305" s="23" t="inlineStr">
        <is>
          <t>?th=1&amp;psc=1&amp;tag=sdcdeals03-20</t>
        </is>
      </c>
      <c r="F305" s="19">
        <f>HYPERLINK("https://redirect.sdcdeals.com/redirect?destination=https%3A%2F%2Fwww.amazon.com%2Fdp%2FB0BXTBHVHF%3Fth%3D1%26psc%3D1%26tag%3Dsdcdeals03-20", "Amazon Link")</f>
        <v/>
      </c>
      <c r="G305" s="19" t="inlineStr">
        <is>
          <t>https://www.jcpenney.com/s?searchTerm={search_term}</t>
        </is>
      </c>
      <c r="H305" s="23" t="inlineStr">
        <is>
          <t>195552638532</t>
        </is>
      </c>
      <c r="I305" s="19">
        <f>HYPERLINK("https://www.jcpenney.com/s?searchTerm=195552638532", "Retail Link")</f>
        <v/>
      </c>
      <c r="J305" s="23" t="inlineStr">
        <is>
          <t>n/a</t>
        </is>
      </c>
      <c r="K305" s="21" t="inlineStr">
        <is>
          <t>PUMA Womens Carina Street Sneaker, PUMA Womens White-Rose Dust-Feather Gray, 11</t>
        </is>
      </c>
      <c r="L305" s="24" t="n">
        <v>42.7405</v>
      </c>
      <c r="M305" s="24" t="n">
        <v>49</v>
      </c>
      <c r="N305" s="24" t="n">
        <v>-9.110500000000002</v>
      </c>
      <c r="O305" s="24">
        <f>V305-M305</f>
        <v/>
      </c>
      <c r="P305" s="25">
        <f>N305/L305</f>
        <v/>
      </c>
      <c r="Q305" s="23" t="n">
        <v>42383</v>
      </c>
      <c r="R305" s="23" t="n"/>
      <c r="S305" s="26" t="n">
        <v>2.24209854</v>
      </c>
      <c r="T305" s="24" t="n">
        <v>49</v>
      </c>
      <c r="U305" s="24" t="n">
        <v>48.12</v>
      </c>
      <c r="V305" s="24" t="n">
        <v>49.54</v>
      </c>
      <c r="W305" s="26" t="inlineStr">
        <is>
          <t>New!PUMA Carina Street Womens Sneakers</t>
        </is>
      </c>
      <c r="X305" s="23" t="n">
        <v>3</v>
      </c>
      <c r="Y305" s="18">
        <f>AC305-AB305</f>
        <v/>
      </c>
      <c r="Z305" s="27" t="n">
        <v>17</v>
      </c>
      <c r="AA305" s="27" t="n">
        <v>45</v>
      </c>
      <c r="AB305" s="27" t="n">
        <v>2</v>
      </c>
      <c r="AC305" s="27" t="n">
        <v>327</v>
      </c>
      <c r="AD305" s="1" t="inlineStr">
        <is>
          <t>38939005</t>
        </is>
      </c>
      <c r="AE305" s="1" t="inlineStr">
        <is>
          <t>Puma White-rose Dust-feather Gray</t>
        </is>
      </c>
      <c r="AF305" s="4" t="n">
        <v>7.35</v>
      </c>
      <c r="AG305" s="4" t="n">
        <v>8.02</v>
      </c>
    </row>
    <row r="306" ht="47.25" customHeight="1">
      <c r="A306" s="18" t="inlineStr">
        <is>
          <t>197672686783</t>
        </is>
      </c>
      <c r="B306" s="19" t="inlineStr">
        <is>
          <t>https://www.amazon.com/dp/</t>
        </is>
      </c>
      <c r="C306" s="20" t="inlineStr">
        <is>
          <t>B0D677C2YL</t>
        </is>
      </c>
      <c r="D306" s="44" t="n"/>
      <c r="E306" s="23" t="inlineStr">
        <is>
          <t>?th=1&amp;psc=1&amp;tag=sdcdeals03-20</t>
        </is>
      </c>
      <c r="F306" s="19">
        <f>HYPERLINK("https://redirect.sdcdeals.com/redirect?destination=https%3A%2F%2Fwww.amazon.com%2Fdp%2FB0D677C2YL%3Fth%3D1%26psc%3D1%26tag%3Dsdcdeals03-20", "Amazon Link")</f>
        <v/>
      </c>
      <c r="G306" s="19" t="inlineStr">
        <is>
          <t>https://www.jcpenney.com/s?searchTerm={search_term}</t>
        </is>
      </c>
      <c r="H306" s="23" t="inlineStr">
        <is>
          <t>197672686783</t>
        </is>
      </c>
      <c r="I306" s="19">
        <f>HYPERLINK("https://www.jcpenney.com/s?searchTerm=197672686783", "Retail Link")</f>
        <v/>
      </c>
      <c r="J306" s="23" t="inlineStr">
        <is>
          <t>n/a</t>
        </is>
      </c>
      <c r="K306" s="21" t="inlineStr">
        <is>
          <t>PUMA Women's Rebound Layup Stone Sneaker, Feather Gray/Marble Team Gold, 5.5</t>
        </is>
      </c>
      <c r="L306" s="24" t="n">
        <v>66.5</v>
      </c>
      <c r="M306" s="24" t="n">
        <v>70</v>
      </c>
      <c r="N306" s="24" t="n">
        <v>-14.03</v>
      </c>
      <c r="O306" s="24">
        <f>V306-M306</f>
        <v/>
      </c>
      <c r="P306" s="25">
        <f>N306/L306</f>
        <v/>
      </c>
      <c r="Q306" s="23" t="n"/>
      <c r="R306" s="23" t="n"/>
      <c r="S306" s="26" t="n">
        <v>1.90038244</v>
      </c>
      <c r="T306" s="24" t="n">
        <v>70</v>
      </c>
      <c r="U306" s="24" t="n">
        <v>70</v>
      </c>
      <c r="V306" s="24" t="n">
        <v>70</v>
      </c>
      <c r="W306" s="26" t="inlineStr">
        <is>
          <t>New!PUMA Rebound Layup Stone Womens Basketball Shoes</t>
        </is>
      </c>
      <c r="X306" s="23" t="n">
        <v>1</v>
      </c>
      <c r="Y306" s="18">
        <f>AC306-AB306</f>
        <v/>
      </c>
      <c r="Z306" s="27" t="n">
        <v>-1</v>
      </c>
      <c r="AA306" s="27" t="n">
        <v>-1</v>
      </c>
      <c r="AB306" s="27" t="n"/>
      <c r="AC306" s="27" t="n"/>
      <c r="AD306" s="1" t="inlineStr">
        <is>
          <t>40187401</t>
        </is>
      </c>
      <c r="AE306" s="1" t="inlineStr">
        <is>
          <t>Feather Gray/Marble/Puma Team Gold</t>
        </is>
      </c>
      <c r="AF306" s="4" t="n">
        <v>10.5</v>
      </c>
      <c r="AG306" s="4" t="n">
        <v>7.03</v>
      </c>
    </row>
    <row r="307" ht="47.25" customHeight="1">
      <c r="A307" s="18" t="inlineStr">
        <is>
          <t>197672686844</t>
        </is>
      </c>
      <c r="B307" s="19" t="inlineStr">
        <is>
          <t>https://www.amazon.com/dp/</t>
        </is>
      </c>
      <c r="C307" s="20" t="inlineStr">
        <is>
          <t>B0D6771J4F</t>
        </is>
      </c>
      <c r="D307" s="44" t="n"/>
      <c r="E307" s="23" t="inlineStr">
        <is>
          <t>?th=1&amp;psc=1&amp;tag=sdcdeals03-20</t>
        </is>
      </c>
      <c r="F307" s="19">
        <f>HYPERLINK("https://redirect.sdcdeals.com/redirect?destination=https%3A%2F%2Fwww.amazon.com%2Fdp%2FB0D6771J4F%3Fth%3D1%26psc%3D1%26tag%3Dsdcdeals03-20", "Amazon Link")</f>
        <v/>
      </c>
      <c r="G307" s="19" t="inlineStr">
        <is>
          <t>https://www.jcpenney.com/s?searchTerm={search_term}</t>
        </is>
      </c>
      <c r="H307" s="23" t="inlineStr">
        <is>
          <t>197672686844</t>
        </is>
      </c>
      <c r="I307" s="19">
        <f>HYPERLINK("https://www.jcpenney.com/s?searchTerm=197672686844", "Retail Link")</f>
        <v/>
      </c>
      <c r="J307" s="23" t="inlineStr">
        <is>
          <t>n/a</t>
        </is>
      </c>
      <c r="K307" s="21" t="inlineStr">
        <is>
          <t>PUMA Women's Rebound Layup Stone Sneaker, Feather Gray/Marble Team Gold, 6</t>
        </is>
      </c>
      <c r="L307" s="24" t="n">
        <v>66.5</v>
      </c>
      <c r="M307" s="24" t="n">
        <v>70</v>
      </c>
      <c r="N307" s="24" t="n">
        <v>-14.03</v>
      </c>
      <c r="O307" s="24">
        <f>V307-M307</f>
        <v/>
      </c>
      <c r="P307" s="25">
        <f>N307/L307</f>
        <v/>
      </c>
      <c r="Q307" s="23" t="n"/>
      <c r="R307" s="23" t="n"/>
      <c r="S307" s="26" t="n">
        <v>1.80999302</v>
      </c>
      <c r="T307" s="24" t="n">
        <v>70</v>
      </c>
      <c r="U307" s="24" t="n">
        <v>70</v>
      </c>
      <c r="V307" s="24" t="n">
        <v>70</v>
      </c>
      <c r="W307" s="26" t="inlineStr">
        <is>
          <t>New!PUMA Rebound Layup Stone Womens Basketball Shoes</t>
        </is>
      </c>
      <c r="X307" s="23" t="n">
        <v>1</v>
      </c>
      <c r="Y307" s="18">
        <f>AC307-AB307</f>
        <v/>
      </c>
      <c r="Z307" s="27" t="n">
        <v>-1</v>
      </c>
      <c r="AA307" s="27" t="n">
        <v>-1</v>
      </c>
      <c r="AB307" s="27" t="n"/>
      <c r="AC307" s="27" t="n"/>
      <c r="AD307" s="1" t="inlineStr">
        <is>
          <t>40187401</t>
        </is>
      </c>
      <c r="AE307" s="1" t="inlineStr">
        <is>
          <t>Feather Gray/Marble/Puma Team Gold</t>
        </is>
      </c>
      <c r="AF307" s="4" t="n">
        <v>10.5</v>
      </c>
      <c r="AG307" s="4" t="n">
        <v>7.03</v>
      </c>
    </row>
    <row r="308" ht="47.25" customHeight="1">
      <c r="A308" s="18" t="inlineStr">
        <is>
          <t>197672686790</t>
        </is>
      </c>
      <c r="B308" s="19" t="inlineStr">
        <is>
          <t>https://www.amazon.com/dp/</t>
        </is>
      </c>
      <c r="C308" s="20" t="inlineStr">
        <is>
          <t>B0D67817XB</t>
        </is>
      </c>
      <c r="D308" s="44" t="n"/>
      <c r="E308" s="23" t="inlineStr">
        <is>
          <t>?th=1&amp;psc=1&amp;tag=sdcdeals03-20</t>
        </is>
      </c>
      <c r="F308" s="19">
        <f>HYPERLINK("https://redirect.sdcdeals.com/redirect?destination=https%3A%2F%2Fwww.amazon.com%2Fdp%2FB0D67817XB%3Fth%3D1%26psc%3D1%26tag%3Dsdcdeals03-20", "Amazon Link")</f>
        <v/>
      </c>
      <c r="G308" s="19" t="inlineStr">
        <is>
          <t>https://www.jcpenney.com/s?searchTerm={search_term}</t>
        </is>
      </c>
      <c r="H308" s="23" t="inlineStr">
        <is>
          <t>197672686790</t>
        </is>
      </c>
      <c r="I308" s="19">
        <f>HYPERLINK("https://www.jcpenney.com/s?searchTerm=197672686790", "Retail Link")</f>
        <v/>
      </c>
      <c r="J308" s="23" t="inlineStr">
        <is>
          <t>n/a</t>
        </is>
      </c>
      <c r="K308" s="21" t="inlineStr">
        <is>
          <t>PUMA Women's Rebound Layup Stone Sneaker, Feather Gray/Marble Team Gold, 6.5</t>
        </is>
      </c>
      <c r="L308" s="24" t="n">
        <v>66.5</v>
      </c>
      <c r="M308" s="24" t="n">
        <v>70</v>
      </c>
      <c r="N308" s="24" t="n">
        <v>-14.03</v>
      </c>
      <c r="O308" s="24">
        <f>V308-M308</f>
        <v/>
      </c>
      <c r="P308" s="25">
        <f>N308/L308</f>
        <v/>
      </c>
      <c r="Q308" s="23" t="n"/>
      <c r="R308" s="23" t="n"/>
      <c r="S308" s="26" t="n">
        <v>1.92022402</v>
      </c>
      <c r="T308" s="24" t="n">
        <v>70</v>
      </c>
      <c r="U308" s="24" t="n">
        <v>70</v>
      </c>
      <c r="V308" s="24" t="n">
        <v>70</v>
      </c>
      <c r="W308" s="26" t="inlineStr">
        <is>
          <t>New!PUMA Rebound Layup Stone Womens Basketball Shoes</t>
        </is>
      </c>
      <c r="X308" s="23" t="n">
        <v>1</v>
      </c>
      <c r="Y308" s="18">
        <f>AC308-AB308</f>
        <v/>
      </c>
      <c r="Z308" s="27" t="n">
        <v>-1</v>
      </c>
      <c r="AA308" s="27" t="n">
        <v>-1</v>
      </c>
      <c r="AB308" s="27" t="n"/>
      <c r="AC308" s="27" t="n"/>
      <c r="AD308" s="1" t="inlineStr">
        <is>
          <t>40187401</t>
        </is>
      </c>
      <c r="AE308" s="1" t="inlineStr">
        <is>
          <t>Feather Gray/Marble/Puma Team Gold</t>
        </is>
      </c>
      <c r="AF308" s="4" t="n">
        <v>10.5</v>
      </c>
      <c r="AG308" s="4" t="n">
        <v>7.03</v>
      </c>
    </row>
    <row r="309" ht="47.25" customHeight="1">
      <c r="A309" s="18" t="inlineStr">
        <is>
          <t>197672686851</t>
        </is>
      </c>
      <c r="B309" s="19" t="inlineStr">
        <is>
          <t>https://www.amazon.com/dp/</t>
        </is>
      </c>
      <c r="C309" s="20" t="inlineStr">
        <is>
          <t>B0D678MMF9</t>
        </is>
      </c>
      <c r="D309" s="44" t="n"/>
      <c r="E309" s="23" t="inlineStr">
        <is>
          <t>?th=1&amp;psc=1&amp;tag=sdcdeals03-20</t>
        </is>
      </c>
      <c r="F309" s="19">
        <f>HYPERLINK("https://redirect.sdcdeals.com/redirect?destination=https%3A%2F%2Fwww.amazon.com%2Fdp%2FB0D678MMF9%3Fth%3D1%26psc%3D1%26tag%3Dsdcdeals03-20", "Amazon Link")</f>
        <v/>
      </c>
      <c r="G309" s="19" t="inlineStr">
        <is>
          <t>https://www.jcpenney.com/s?searchTerm={search_term}</t>
        </is>
      </c>
      <c r="H309" s="23" t="inlineStr">
        <is>
          <t>197672686851</t>
        </is>
      </c>
      <c r="I309" s="19">
        <f>HYPERLINK("https://www.jcpenney.com/s?searchTerm=197672686851", "Retail Link")</f>
        <v/>
      </c>
      <c r="J309" s="23" t="inlineStr">
        <is>
          <t>n/a</t>
        </is>
      </c>
      <c r="K309" s="21" t="inlineStr">
        <is>
          <t>PUMA Women's Rebound Layup Stone Sneaker, Feather Gray/Marble Team Gold, 7</t>
        </is>
      </c>
      <c r="L309" s="24" t="n">
        <v>66.5</v>
      </c>
      <c r="M309" s="24" t="n">
        <v>70</v>
      </c>
      <c r="N309" s="24" t="n">
        <v>-14.54</v>
      </c>
      <c r="O309" s="24">
        <f>V309-M309</f>
        <v/>
      </c>
      <c r="P309" s="25">
        <f>N309/L309</f>
        <v/>
      </c>
      <c r="Q309" s="23" t="n"/>
      <c r="R309" s="23" t="n"/>
      <c r="S309" s="26" t="n">
        <v>1.97974876</v>
      </c>
      <c r="T309" s="24" t="n">
        <v>70</v>
      </c>
      <c r="U309" s="24" t="n">
        <v>70</v>
      </c>
      <c r="V309" s="24" t="n">
        <v>70</v>
      </c>
      <c r="W309" s="26" t="inlineStr">
        <is>
          <t>New!PUMA Rebound Layup Stone Womens Basketball Shoes</t>
        </is>
      </c>
      <c r="X309" s="23" t="n">
        <v>1</v>
      </c>
      <c r="Y309" s="18">
        <f>AC309-AB309</f>
        <v/>
      </c>
      <c r="Z309" s="27" t="n">
        <v>-1</v>
      </c>
      <c r="AA309" s="27" t="n">
        <v>-1</v>
      </c>
      <c r="AB309" s="27" t="n"/>
      <c r="AC309" s="27" t="n"/>
      <c r="AD309" s="1" t="inlineStr">
        <is>
          <t>40187401</t>
        </is>
      </c>
      <c r="AE309" s="1" t="inlineStr">
        <is>
          <t>Feather Gray/Marble/Puma Team Gold</t>
        </is>
      </c>
      <c r="AF309" s="4" t="n">
        <v>10.5</v>
      </c>
      <c r="AG309" s="4" t="n">
        <v>7.54</v>
      </c>
    </row>
    <row r="310" ht="47.25" customHeight="1">
      <c r="A310" s="18" t="inlineStr">
        <is>
          <t>197672686806</t>
        </is>
      </c>
      <c r="B310" s="19" t="inlineStr">
        <is>
          <t>https://www.amazon.com/dp/</t>
        </is>
      </c>
      <c r="C310" s="20" t="inlineStr">
        <is>
          <t>B0D678G3XB</t>
        </is>
      </c>
      <c r="D310" s="44" t="n"/>
      <c r="E310" s="23" t="inlineStr">
        <is>
          <t>?th=1&amp;psc=1&amp;tag=sdcdeals03-20</t>
        </is>
      </c>
      <c r="F310" s="19">
        <f>HYPERLINK("https://redirect.sdcdeals.com/redirect?destination=https%3A%2F%2Fwww.amazon.com%2Fdp%2FB0D678G3XB%3Fth%3D1%26psc%3D1%26tag%3Dsdcdeals03-20", "Amazon Link")</f>
        <v/>
      </c>
      <c r="G310" s="19" t="inlineStr">
        <is>
          <t>https://www.jcpenney.com/s?searchTerm={search_term}</t>
        </is>
      </c>
      <c r="H310" s="23" t="inlineStr">
        <is>
          <t>197672686806</t>
        </is>
      </c>
      <c r="I310" s="19">
        <f>HYPERLINK("https://www.jcpenney.com/s?searchTerm=197672686806", "Retail Link")</f>
        <v/>
      </c>
      <c r="J310" s="23" t="inlineStr">
        <is>
          <t>n/a</t>
        </is>
      </c>
      <c r="K310" s="21" t="inlineStr">
        <is>
          <t>PUMA Women's Rebound Layup Stone Sneaker, Feather Gray/Marble Team Gold, 7.5</t>
        </is>
      </c>
      <c r="L310" s="24" t="n">
        <v>66.5</v>
      </c>
      <c r="M310" s="24" t="n">
        <v>70</v>
      </c>
      <c r="N310" s="24" t="n">
        <v>-14.03</v>
      </c>
      <c r="O310" s="24">
        <f>V310-M310</f>
        <v/>
      </c>
      <c r="P310" s="25">
        <f>N310/L310</f>
        <v/>
      </c>
      <c r="Q310" s="23" t="n"/>
      <c r="R310" s="23" t="n"/>
      <c r="S310" s="26" t="n">
        <v>1.97974876</v>
      </c>
      <c r="T310" s="24" t="n">
        <v>70</v>
      </c>
      <c r="U310" s="24" t="n">
        <v>70</v>
      </c>
      <c r="V310" s="24" t="n">
        <v>70</v>
      </c>
      <c r="W310" s="26" t="inlineStr">
        <is>
          <t>New!PUMA Rebound Layup Stone Womens Basketball Shoes</t>
        </is>
      </c>
      <c r="X310" s="23" t="n">
        <v>1</v>
      </c>
      <c r="Y310" s="18">
        <f>AC310-AB310</f>
        <v/>
      </c>
      <c r="Z310" s="27" t="n">
        <v>-1</v>
      </c>
      <c r="AA310" s="27" t="n">
        <v>-1</v>
      </c>
      <c r="AB310" s="27" t="n"/>
      <c r="AC310" s="27" t="n"/>
      <c r="AD310" s="1" t="inlineStr">
        <is>
          <t>40187401</t>
        </is>
      </c>
      <c r="AE310" s="1" t="inlineStr">
        <is>
          <t>Feather Gray/Marble/Puma Team Gold</t>
        </is>
      </c>
      <c r="AF310" s="4" t="n">
        <v>10.5</v>
      </c>
      <c r="AG310" s="4" t="n">
        <v>7.03</v>
      </c>
    </row>
    <row r="311" ht="47.25" customHeight="1">
      <c r="A311" s="18" t="inlineStr">
        <is>
          <t>197672686868</t>
        </is>
      </c>
      <c r="B311" s="19" t="inlineStr">
        <is>
          <t>https://www.amazon.com/dp/</t>
        </is>
      </c>
      <c r="C311" s="20" t="inlineStr">
        <is>
          <t>B0D676JLMP</t>
        </is>
      </c>
      <c r="D311" s="44" t="n"/>
      <c r="E311" s="23" t="inlineStr">
        <is>
          <t>?th=1&amp;psc=1&amp;tag=sdcdeals03-20</t>
        </is>
      </c>
      <c r="F311" s="19">
        <f>HYPERLINK("https://redirect.sdcdeals.com/redirect?destination=https%3A%2F%2Fwww.amazon.com%2Fdp%2FB0D676JLMP%3Fth%3D1%26psc%3D1%26tag%3Dsdcdeals03-20", "Amazon Link")</f>
        <v/>
      </c>
      <c r="G311" s="19" t="inlineStr">
        <is>
          <t>https://www.jcpenney.com/s?searchTerm={search_term}</t>
        </is>
      </c>
      <c r="H311" s="23" t="inlineStr">
        <is>
          <t>197672686868</t>
        </is>
      </c>
      <c r="I311" s="19">
        <f>HYPERLINK("https://www.jcpenney.com/s?searchTerm=197672686868", "Retail Link")</f>
        <v/>
      </c>
      <c r="J311" s="23" t="inlineStr">
        <is>
          <t>n/a</t>
        </is>
      </c>
      <c r="K311" s="21" t="inlineStr">
        <is>
          <t>PUMA Women's Rebound Layup Stone Sneaker, Feather Gray/Marble Team Gold, 8</t>
        </is>
      </c>
      <c r="L311" s="24" t="n">
        <v>66.5</v>
      </c>
      <c r="M311" s="24" t="n">
        <v>70</v>
      </c>
      <c r="N311" s="24" t="n">
        <v>-14.62</v>
      </c>
      <c r="O311" s="24">
        <f>V311-M311</f>
        <v/>
      </c>
      <c r="P311" s="25">
        <f>N311/L311</f>
        <v/>
      </c>
      <c r="Q311" s="23" t="n"/>
      <c r="R311" s="23" t="n"/>
      <c r="S311" s="26" t="n">
        <v>2.14068602</v>
      </c>
      <c r="T311" s="24" t="n">
        <v>70</v>
      </c>
      <c r="U311" s="24" t="n">
        <v>70</v>
      </c>
      <c r="V311" s="24" t="n">
        <v>70</v>
      </c>
      <c r="W311" s="26" t="inlineStr">
        <is>
          <t>New!PUMA Rebound Layup Stone Womens Basketball Shoes</t>
        </is>
      </c>
      <c r="X311" s="23" t="n">
        <v>1</v>
      </c>
      <c r="Y311" s="18">
        <f>AC311-AB311</f>
        <v/>
      </c>
      <c r="Z311" s="27" t="n">
        <v>-1</v>
      </c>
      <c r="AA311" s="27" t="n">
        <v>-1</v>
      </c>
      <c r="AB311" s="27" t="n"/>
      <c r="AC311" s="27" t="n"/>
      <c r="AD311" s="1" t="inlineStr">
        <is>
          <t>40187401</t>
        </is>
      </c>
      <c r="AE311" s="1" t="inlineStr">
        <is>
          <t>Feather Gray/Marble/Puma Team Gold</t>
        </is>
      </c>
      <c r="AF311" s="4" t="n">
        <v>10.5</v>
      </c>
      <c r="AG311" s="4" t="n">
        <v>7.62</v>
      </c>
    </row>
    <row r="312" ht="47.25" customHeight="1">
      <c r="A312" s="18" t="inlineStr">
        <is>
          <t>197672686813</t>
        </is>
      </c>
      <c r="B312" s="19" t="inlineStr">
        <is>
          <t>https://www.amazon.com/dp/</t>
        </is>
      </c>
      <c r="C312" s="20" t="inlineStr">
        <is>
          <t>B0D678R4BT</t>
        </is>
      </c>
      <c r="D312" s="44" t="n"/>
      <c r="E312" s="23" t="inlineStr">
        <is>
          <t>?th=1&amp;psc=1&amp;tag=sdcdeals03-20</t>
        </is>
      </c>
      <c r="F312" s="19">
        <f>HYPERLINK("https://redirect.sdcdeals.com/redirect?destination=https%3A%2F%2Fwww.amazon.com%2Fdp%2FB0D678R4BT%3Fth%3D1%26psc%3D1%26tag%3Dsdcdeals03-20", "Amazon Link")</f>
        <v/>
      </c>
      <c r="G312" s="19" t="inlineStr">
        <is>
          <t>https://www.jcpenney.com/s?searchTerm={search_term}</t>
        </is>
      </c>
      <c r="H312" s="23" t="inlineStr">
        <is>
          <t>197672686813</t>
        </is>
      </c>
      <c r="I312" s="19">
        <f>HYPERLINK("https://www.jcpenney.com/s?searchTerm=197672686813", "Retail Link")</f>
        <v/>
      </c>
      <c r="J312" s="23" t="inlineStr">
        <is>
          <t>n/a</t>
        </is>
      </c>
      <c r="K312" s="21" t="inlineStr">
        <is>
          <t>PUMA Women's Rebound Layup Stone Sneaker, Feather Gray/Marble Team Gold, 8.5</t>
        </is>
      </c>
      <c r="L312" s="24" t="n">
        <v>66.5</v>
      </c>
      <c r="M312" s="24" t="n">
        <v>70</v>
      </c>
      <c r="N312" s="24" t="n">
        <v>-14.62</v>
      </c>
      <c r="O312" s="24">
        <f>V312-M312</f>
        <v/>
      </c>
      <c r="P312" s="25">
        <f>N312/L312</f>
        <v/>
      </c>
      <c r="Q312" s="23" t="n"/>
      <c r="R312" s="23" t="n"/>
      <c r="S312" s="26" t="n">
        <v>2.23107544</v>
      </c>
      <c r="T312" s="24" t="n">
        <v>70</v>
      </c>
      <c r="U312" s="24" t="n">
        <v>70</v>
      </c>
      <c r="V312" s="24" t="n">
        <v>70</v>
      </c>
      <c r="W312" s="26" t="inlineStr">
        <is>
          <t>New!PUMA Rebound Layup Stone Womens Basketball Shoes</t>
        </is>
      </c>
      <c r="X312" s="23" t="n">
        <v>1</v>
      </c>
      <c r="Y312" s="18">
        <f>AC312-AB312</f>
        <v/>
      </c>
      <c r="Z312" s="27" t="n">
        <v>-1</v>
      </c>
      <c r="AA312" s="27" t="n">
        <v>-1</v>
      </c>
      <c r="AB312" s="27" t="n"/>
      <c r="AC312" s="27" t="n"/>
      <c r="AD312" s="1" t="inlineStr">
        <is>
          <t>40187401</t>
        </is>
      </c>
      <c r="AE312" s="1" t="inlineStr">
        <is>
          <t>Feather Gray/Marble/Puma Team Gold</t>
        </is>
      </c>
      <c r="AF312" s="4" t="n">
        <v>10.5</v>
      </c>
      <c r="AG312" s="4" t="n">
        <v>7.62</v>
      </c>
    </row>
    <row r="313" ht="47.25" customHeight="1">
      <c r="A313" s="18" t="inlineStr">
        <is>
          <t>197672686875</t>
        </is>
      </c>
      <c r="B313" s="19" t="inlineStr">
        <is>
          <t>https://www.amazon.com/dp/</t>
        </is>
      </c>
      <c r="C313" s="20" t="inlineStr">
        <is>
          <t>B0D6784R2M</t>
        </is>
      </c>
      <c r="D313" s="44" t="n"/>
      <c r="E313" s="23" t="inlineStr">
        <is>
          <t>?th=1&amp;psc=1&amp;tag=sdcdeals03-20</t>
        </is>
      </c>
      <c r="F313" s="19">
        <f>HYPERLINK("https://redirect.sdcdeals.com/redirect?destination=https%3A%2F%2Fwww.amazon.com%2Fdp%2FB0D6784R2M%3Fth%3D1%26psc%3D1%26tag%3Dsdcdeals03-20", "Amazon Link")</f>
        <v/>
      </c>
      <c r="G313" s="19" t="inlineStr">
        <is>
          <t>https://www.jcpenney.com/s?searchTerm={search_term}</t>
        </is>
      </c>
      <c r="H313" s="23" t="inlineStr">
        <is>
          <t>197672686875</t>
        </is>
      </c>
      <c r="I313" s="19">
        <f>HYPERLINK("https://www.jcpenney.com/s?searchTerm=197672686875", "Retail Link")</f>
        <v/>
      </c>
      <c r="J313" s="23" t="inlineStr">
        <is>
          <t>n/a</t>
        </is>
      </c>
      <c r="K313" s="21" t="inlineStr">
        <is>
          <t>PUMA Women's Rebound Layup Stone Sneaker, Feather Gray/Marble Team Gold, 9</t>
        </is>
      </c>
      <c r="L313" s="24" t="n">
        <v>66.5</v>
      </c>
      <c r="M313" s="24" t="n">
        <v>70</v>
      </c>
      <c r="N313" s="24" t="n">
        <v>-14.62</v>
      </c>
      <c r="O313" s="24">
        <f>V313-M313</f>
        <v/>
      </c>
      <c r="P313" s="25">
        <f>N313/L313</f>
        <v/>
      </c>
      <c r="Q313" s="23" t="n"/>
      <c r="R313" s="23" t="n"/>
      <c r="S313" s="26" t="n">
        <v>2.2707586</v>
      </c>
      <c r="T313" s="24" t="n">
        <v>70</v>
      </c>
      <c r="U313" s="24" t="n">
        <v>70</v>
      </c>
      <c r="V313" s="24" t="n">
        <v>70</v>
      </c>
      <c r="W313" s="26" t="inlineStr">
        <is>
          <t>New!PUMA Rebound Layup Stone Womens Basketball Shoes</t>
        </is>
      </c>
      <c r="X313" s="23" t="n">
        <v>1</v>
      </c>
      <c r="Y313" s="18">
        <f>AC313-AB313</f>
        <v/>
      </c>
      <c r="Z313" s="27" t="n">
        <v>-1</v>
      </c>
      <c r="AA313" s="27" t="n">
        <v>-1</v>
      </c>
      <c r="AB313" s="27" t="n"/>
      <c r="AC313" s="27" t="n"/>
      <c r="AD313" s="1" t="inlineStr">
        <is>
          <t>40187401</t>
        </is>
      </c>
      <c r="AE313" s="1" t="inlineStr">
        <is>
          <t>Feather Gray/Marble/Puma Team Gold</t>
        </is>
      </c>
      <c r="AF313" s="4" t="n">
        <v>10.5</v>
      </c>
      <c r="AG313" s="4" t="n">
        <v>7.62</v>
      </c>
    </row>
    <row r="314" ht="47.25" customHeight="1">
      <c r="A314" s="18" t="inlineStr">
        <is>
          <t>197672686820</t>
        </is>
      </c>
      <c r="B314" s="19" t="inlineStr">
        <is>
          <t>https://www.amazon.com/dp/</t>
        </is>
      </c>
      <c r="C314" s="20" t="inlineStr">
        <is>
          <t>B0D678V2FN</t>
        </is>
      </c>
      <c r="D314" s="44" t="n"/>
      <c r="E314" s="23" t="inlineStr">
        <is>
          <t>?th=1&amp;psc=1&amp;tag=sdcdeals03-20</t>
        </is>
      </c>
      <c r="F314" s="19">
        <f>HYPERLINK("https://redirect.sdcdeals.com/redirect?destination=https%3A%2F%2Fwww.amazon.com%2Fdp%2FB0D678V2FN%3Fth%3D1%26psc%3D1%26tag%3Dsdcdeals03-20", "Amazon Link")</f>
        <v/>
      </c>
      <c r="G314" s="19" t="inlineStr">
        <is>
          <t>https://www.jcpenney.com/s?searchTerm={search_term}</t>
        </is>
      </c>
      <c r="H314" s="23" t="inlineStr">
        <is>
          <t>197672686820</t>
        </is>
      </c>
      <c r="I314" s="19">
        <f>HYPERLINK("https://www.jcpenney.com/s?searchTerm=197672686820", "Retail Link")</f>
        <v/>
      </c>
      <c r="J314" s="23" t="inlineStr">
        <is>
          <t>n/a</t>
        </is>
      </c>
      <c r="K314" s="21" t="inlineStr">
        <is>
          <t>PUMA Women's Rebound Layup Stone Sneaker, Feather Gray/Marble Team Gold, 9.5</t>
        </is>
      </c>
      <c r="L314" s="24" t="n">
        <v>66.5</v>
      </c>
      <c r="M314" s="24" t="n">
        <v>70</v>
      </c>
      <c r="N314" s="24" t="n">
        <v>-14.62</v>
      </c>
      <c r="O314" s="24">
        <f>V314-M314</f>
        <v/>
      </c>
      <c r="P314" s="25">
        <f>N314/L314</f>
        <v/>
      </c>
      <c r="Q314" s="23" t="n"/>
      <c r="R314" s="23" t="n"/>
      <c r="S314" s="26" t="n">
        <v>2.40083118</v>
      </c>
      <c r="T314" s="24" t="n">
        <v>70</v>
      </c>
      <c r="U314" s="24" t="n">
        <v>70</v>
      </c>
      <c r="V314" s="24" t="n">
        <v>70</v>
      </c>
      <c r="W314" s="26" t="inlineStr">
        <is>
          <t>New!PUMA Rebound Layup Stone Womens Basketball Shoes</t>
        </is>
      </c>
      <c r="X314" s="23" t="n">
        <v>1</v>
      </c>
      <c r="Y314" s="18">
        <f>AC314-AB314</f>
        <v/>
      </c>
      <c r="Z314" s="27" t="n">
        <v>-1</v>
      </c>
      <c r="AA314" s="27" t="n">
        <v>-1</v>
      </c>
      <c r="AB314" s="27" t="n"/>
      <c r="AC314" s="27" t="n"/>
      <c r="AD314" s="1" t="inlineStr">
        <is>
          <t>40187401</t>
        </is>
      </c>
      <c r="AE314" s="1" t="inlineStr">
        <is>
          <t>Feather Gray/Marble/Puma Team Gold</t>
        </is>
      </c>
      <c r="AF314" s="4" t="n">
        <v>10.5</v>
      </c>
      <c r="AG314" s="4" t="n">
        <v>7.62</v>
      </c>
    </row>
    <row r="315" ht="47.25" customHeight="1">
      <c r="A315" s="18" t="inlineStr">
        <is>
          <t>197672686882</t>
        </is>
      </c>
      <c r="B315" s="19" t="inlineStr">
        <is>
          <t>https://www.amazon.com/dp/</t>
        </is>
      </c>
      <c r="C315" s="20" t="inlineStr">
        <is>
          <t>B0D6768XF4</t>
        </is>
      </c>
      <c r="D315" s="44" t="n"/>
      <c r="E315" s="23" t="inlineStr">
        <is>
          <t>?th=1&amp;psc=1&amp;tag=sdcdeals03-20</t>
        </is>
      </c>
      <c r="F315" s="19">
        <f>HYPERLINK("https://redirect.sdcdeals.com/redirect?destination=https%3A%2F%2Fwww.amazon.com%2Fdp%2FB0D6768XF4%3Fth%3D1%26psc%3D1%26tag%3Dsdcdeals03-20", "Amazon Link")</f>
        <v/>
      </c>
      <c r="G315" s="19" t="inlineStr">
        <is>
          <t>https://www.jcpenney.com/s?searchTerm={search_term}</t>
        </is>
      </c>
      <c r="H315" s="23" t="inlineStr">
        <is>
          <t>197672686882</t>
        </is>
      </c>
      <c r="I315" s="19">
        <f>HYPERLINK("https://www.jcpenney.com/s?searchTerm=197672686882", "Retail Link")</f>
        <v/>
      </c>
      <c r="J315" s="23" t="inlineStr">
        <is>
          <t>n/a</t>
        </is>
      </c>
      <c r="K315" s="21" t="inlineStr">
        <is>
          <t>PUMA Women's Rebound Layup Stone Sneaker, Feather Gray/Marble Team Gold, 10</t>
        </is>
      </c>
      <c r="L315" s="24" t="n">
        <v>66.5</v>
      </c>
      <c r="M315" s="24" t="n">
        <v>70</v>
      </c>
      <c r="N315" s="24" t="n">
        <v>-14.62</v>
      </c>
      <c r="O315" s="24">
        <f>V315-M315</f>
        <v/>
      </c>
      <c r="P315" s="25">
        <f>N315/L315</f>
        <v/>
      </c>
      <c r="Q315" s="23" t="n"/>
      <c r="R315" s="23" t="n"/>
      <c r="S315" s="26" t="n">
        <v>2.3809896</v>
      </c>
      <c r="T315" s="24" t="n">
        <v>70</v>
      </c>
      <c r="U315" s="24" t="n">
        <v>70</v>
      </c>
      <c r="V315" s="24" t="n">
        <v>70</v>
      </c>
      <c r="W315" s="26" t="inlineStr">
        <is>
          <t>New!PUMA Rebound Layup Stone Womens Basketball Shoes</t>
        </is>
      </c>
      <c r="X315" s="23" t="n">
        <v>2</v>
      </c>
      <c r="Y315" s="18">
        <f>AC315-AB315</f>
        <v/>
      </c>
      <c r="Z315" s="27" t="n">
        <v>-1</v>
      </c>
      <c r="AA315" s="27" t="n">
        <v>-1</v>
      </c>
      <c r="AB315" s="27" t="n"/>
      <c r="AC315" s="27" t="n"/>
      <c r="AD315" s="1" t="inlineStr">
        <is>
          <t>40187401</t>
        </is>
      </c>
      <c r="AE315" s="1" t="inlineStr">
        <is>
          <t>Feather Gray/Marble/Puma Team Gold</t>
        </is>
      </c>
      <c r="AF315" s="4" t="n">
        <v>10.5</v>
      </c>
      <c r="AG315" s="4" t="n">
        <v>7.62</v>
      </c>
    </row>
    <row r="316" ht="47.25" customHeight="1">
      <c r="A316" s="18" t="inlineStr">
        <is>
          <t>197672686899</t>
        </is>
      </c>
      <c r="B316" s="19" t="inlineStr">
        <is>
          <t>https://www.amazon.com/dp/</t>
        </is>
      </c>
      <c r="C316" s="20" t="inlineStr">
        <is>
          <t>B0D676SW83</t>
        </is>
      </c>
      <c r="D316" s="44" t="n"/>
      <c r="E316" s="23" t="inlineStr">
        <is>
          <t>?th=1&amp;psc=1&amp;tag=sdcdeals03-20</t>
        </is>
      </c>
      <c r="F316" s="19">
        <f>HYPERLINK("https://redirect.sdcdeals.com/redirect?destination=https%3A%2F%2Fwww.amazon.com%2Fdp%2FB0D676SW83%3Fth%3D1%26psc%3D1%26tag%3Dsdcdeals03-20", "Amazon Link")</f>
        <v/>
      </c>
      <c r="G316" s="19" t="inlineStr">
        <is>
          <t>https://www.jcpenney.com/s?searchTerm={search_term}</t>
        </is>
      </c>
      <c r="H316" s="23" t="inlineStr">
        <is>
          <t>197672686899</t>
        </is>
      </c>
      <c r="I316" s="19">
        <f>HYPERLINK("https://www.jcpenney.com/s?searchTerm=197672686899", "Retail Link")</f>
        <v/>
      </c>
      <c r="J316" s="23" t="inlineStr">
        <is>
          <t>n/a</t>
        </is>
      </c>
      <c r="K316" s="21" t="inlineStr">
        <is>
          <t>PUMA Women's Rebound Layup Stone Sneaker, Feather Gray/Marble Team Gold, 11</t>
        </is>
      </c>
      <c r="L316" s="24" t="n">
        <v>66.5</v>
      </c>
      <c r="M316" s="24" t="n">
        <v>70</v>
      </c>
      <c r="N316" s="24" t="n">
        <v>-14.94</v>
      </c>
      <c r="O316" s="24">
        <f>V316-M316</f>
        <v/>
      </c>
      <c r="P316" s="25">
        <f>N316/L316</f>
        <v/>
      </c>
      <c r="Q316" s="23" t="n"/>
      <c r="R316" s="23" t="n"/>
      <c r="S316" s="26" t="n">
        <v>2.64995324</v>
      </c>
      <c r="T316" s="24" t="n">
        <v>70</v>
      </c>
      <c r="U316" s="24" t="n">
        <v>70</v>
      </c>
      <c r="V316" s="24" t="n">
        <v>70</v>
      </c>
      <c r="W316" s="26" t="inlineStr">
        <is>
          <t>New!PUMA Rebound Layup Stone Womens Basketball Shoes</t>
        </is>
      </c>
      <c r="X316" s="23" t="n">
        <v>1</v>
      </c>
      <c r="Y316" s="18">
        <f>AC316-AB316</f>
        <v/>
      </c>
      <c r="Z316" s="27" t="n">
        <v>-1</v>
      </c>
      <c r="AA316" s="27" t="n">
        <v>-1</v>
      </c>
      <c r="AB316" s="27" t="n"/>
      <c r="AC316" s="27" t="n"/>
      <c r="AD316" s="1" t="inlineStr">
        <is>
          <t>40187401</t>
        </is>
      </c>
      <c r="AE316" s="1" t="inlineStr">
        <is>
          <t>Feather Gray/Marble/Puma Team Gold</t>
        </is>
      </c>
      <c r="AF316" s="4" t="n">
        <v>10.5</v>
      </c>
      <c r="AG316" s="4" t="n">
        <v>7.94</v>
      </c>
    </row>
    <row r="317" ht="47.25" customHeight="1">
      <c r="A317" s="18" t="inlineStr">
        <is>
          <t>197674365402</t>
        </is>
      </c>
      <c r="B317" s="19" t="inlineStr">
        <is>
          <t>https://www.amazon.com/dp/</t>
        </is>
      </c>
      <c r="C317" s="20" t="inlineStr">
        <is>
          <t>B0DDTX1DR6</t>
        </is>
      </c>
      <c r="D317" s="44" t="n"/>
      <c r="E317" s="23" t="inlineStr">
        <is>
          <t>?th=1&amp;psc=1&amp;tag=sdcdeals03-20</t>
        </is>
      </c>
      <c r="F317" s="19">
        <f>HYPERLINK("https://redirect.sdcdeals.com/redirect?destination=https%3A%2F%2Fwww.amazon.com%2Fdp%2FB0DDTX1DR6%3Fth%3D1%26psc%3D1%26tag%3Dsdcdeals03-20", "Amazon Link")</f>
        <v/>
      </c>
      <c r="G317" s="19" t="inlineStr">
        <is>
          <t>https://www.jcpenney.com/s?searchTerm={search_term}</t>
        </is>
      </c>
      <c r="H317" s="23" t="inlineStr">
        <is>
          <t>197674365402</t>
        </is>
      </c>
      <c r="I317" s="19">
        <f>HYPERLINK("https://www.jcpenney.com/s?searchTerm=197674365402", "Retail Link")</f>
        <v/>
      </c>
      <c r="J317" s="23" t="inlineStr">
        <is>
          <t>n/a</t>
        </is>
      </c>
      <c r="K317" s="21" t="inlineStr">
        <is>
          <t>PUMA Women's Voltaic EVO Cross Trainer Sneaker, Black-Magic Rose, 5.5</t>
        </is>
      </c>
      <c r="L317" s="24" t="n">
        <v>76</v>
      </c>
      <c r="M317" s="24" t="n">
        <v>80</v>
      </c>
      <c r="N317" s="24" t="n">
        <v>-15.03</v>
      </c>
      <c r="O317" s="24">
        <f>V317-M317</f>
        <v/>
      </c>
      <c r="P317" s="25">
        <f>N317/L317</f>
        <v/>
      </c>
      <c r="Q317" s="23" t="n"/>
      <c r="R317" s="23" t="n"/>
      <c r="S317" s="26" t="n">
        <v>1.54102938</v>
      </c>
      <c r="T317" s="24" t="inlineStr"/>
      <c r="U317" s="24" t="n">
        <v>80</v>
      </c>
      <c r="V317" s="24" t="n">
        <v>80</v>
      </c>
      <c r="W317" s="26" t="inlineStr">
        <is>
          <t>New!PUMA Voltaic Evo Womens Running Shoes</t>
        </is>
      </c>
      <c r="X317" s="23" t="n">
        <v>1</v>
      </c>
      <c r="Y317" s="18">
        <f>AC317-AB317</f>
        <v/>
      </c>
      <c r="Z317" s="27" t="n">
        <v>-1</v>
      </c>
      <c r="AA317" s="27" t="n">
        <v>-1</v>
      </c>
      <c r="AB317" s="27" t="n"/>
      <c r="AC317" s="27" t="n"/>
      <c r="AD317" s="1" t="inlineStr">
        <is>
          <t>30972019</t>
        </is>
      </c>
      <c r="AE317" s="1" t="inlineStr">
        <is>
          <t>Puma Black-magic Rose</t>
        </is>
      </c>
      <c r="AF317" s="4" t="inlineStr"/>
      <c r="AG317" s="4" t="n">
        <v>7.03</v>
      </c>
    </row>
    <row r="318" ht="47.25" customHeight="1">
      <c r="A318" s="18" t="inlineStr">
        <is>
          <t>197674365464</t>
        </is>
      </c>
      <c r="B318" s="19" t="inlineStr">
        <is>
          <t>https://www.amazon.com/dp/</t>
        </is>
      </c>
      <c r="C318" s="20" t="inlineStr">
        <is>
          <t>B0DDTV74TZ</t>
        </is>
      </c>
      <c r="D318" s="44" t="n"/>
      <c r="E318" s="23" t="inlineStr">
        <is>
          <t>?th=1&amp;psc=1&amp;tag=sdcdeals03-20</t>
        </is>
      </c>
      <c r="F318" s="19">
        <f>HYPERLINK("https://redirect.sdcdeals.com/redirect?destination=https%3A%2F%2Fwww.amazon.com%2Fdp%2FB0DDTV74TZ%3Fth%3D1%26psc%3D1%26tag%3Dsdcdeals03-20", "Amazon Link")</f>
        <v/>
      </c>
      <c r="G318" s="19" t="inlineStr">
        <is>
          <t>https://www.jcpenney.com/s?searchTerm={search_term}</t>
        </is>
      </c>
      <c r="H318" s="23" t="inlineStr">
        <is>
          <t>197674365464</t>
        </is>
      </c>
      <c r="I318" s="19">
        <f>HYPERLINK("https://www.jcpenney.com/s?searchTerm=197674365464", "Retail Link")</f>
        <v/>
      </c>
      <c r="J318" s="23" t="inlineStr">
        <is>
          <t>n/a</t>
        </is>
      </c>
      <c r="K318" s="21" t="inlineStr">
        <is>
          <t>PUMA Women's Voltaic EVO Cross Trainer Sneaker, Black-Magic Rose, 6</t>
        </is>
      </c>
      <c r="L318" s="24" t="n">
        <v>76</v>
      </c>
      <c r="M318" s="24" t="n">
        <v>80</v>
      </c>
      <c r="N318" s="24" t="n">
        <v>-14.61</v>
      </c>
      <c r="O318" s="24">
        <f>V318-M318</f>
        <v/>
      </c>
      <c r="P318" s="25">
        <f>N318/L318</f>
        <v/>
      </c>
      <c r="Q318" s="23" t="n"/>
      <c r="R318" s="23" t="n"/>
      <c r="S318" s="26" t="n">
        <v>1.58953102</v>
      </c>
      <c r="T318" s="24" t="inlineStr"/>
      <c r="U318" s="24" t="n">
        <v>80</v>
      </c>
      <c r="V318" s="24" t="n">
        <v>80</v>
      </c>
      <c r="W318" s="26" t="inlineStr">
        <is>
          <t>New!PUMA Voltaic Evo Womens Running Shoes</t>
        </is>
      </c>
      <c r="X318" s="23" t="n">
        <v>1</v>
      </c>
      <c r="Y318" s="18">
        <f>AC318-AB318</f>
        <v/>
      </c>
      <c r="Z318" s="27" t="n">
        <v>-1</v>
      </c>
      <c r="AA318" s="27" t="n">
        <v>-1</v>
      </c>
      <c r="AB318" s="27" t="n"/>
      <c r="AC318" s="27" t="n"/>
      <c r="AD318" s="1" t="inlineStr">
        <is>
          <t>30972019</t>
        </is>
      </c>
      <c r="AE318" s="1" t="inlineStr">
        <is>
          <t>Puma Black-magic Rose</t>
        </is>
      </c>
      <c r="AF318" s="4" t="inlineStr"/>
      <c r="AG318" s="4" t="n">
        <v>6.61</v>
      </c>
    </row>
    <row r="319" ht="47.25" customHeight="1">
      <c r="A319" s="18" t="inlineStr">
        <is>
          <t>197674365419</t>
        </is>
      </c>
      <c r="B319" s="19" t="inlineStr">
        <is>
          <t>https://www.amazon.com/dp/</t>
        </is>
      </c>
      <c r="C319" s="20" t="inlineStr">
        <is>
          <t>B0DDTV7L9F</t>
        </is>
      </c>
      <c r="D319" s="44" t="n"/>
      <c r="E319" s="23" t="inlineStr">
        <is>
          <t>?th=1&amp;psc=1&amp;tag=sdcdeals03-20</t>
        </is>
      </c>
      <c r="F319" s="19">
        <f>HYPERLINK("https://redirect.sdcdeals.com/redirect?destination=https%3A%2F%2Fwww.amazon.com%2Fdp%2FB0DDTV7L9F%3Fth%3D1%26psc%3D1%26tag%3Dsdcdeals03-20", "Amazon Link")</f>
        <v/>
      </c>
      <c r="G319" s="19" t="inlineStr">
        <is>
          <t>https://www.jcpenney.com/s?searchTerm={search_term}</t>
        </is>
      </c>
      <c r="H319" s="23" t="inlineStr">
        <is>
          <t>197674365419</t>
        </is>
      </c>
      <c r="I319" s="19">
        <f>HYPERLINK("https://www.jcpenney.com/s?searchTerm=197674365419", "Retail Link")</f>
        <v/>
      </c>
      <c r="J319" s="23" t="inlineStr">
        <is>
          <t>n/a</t>
        </is>
      </c>
      <c r="K319" s="21" t="inlineStr">
        <is>
          <t>PUMA Women's Voltaic EVO Cross Trainer Sneaker, Black-Magic Rose, 6.5</t>
        </is>
      </c>
      <c r="L319" s="24" t="n">
        <v>76</v>
      </c>
      <c r="M319" s="24" t="n">
        <v>80</v>
      </c>
      <c r="N319" s="24" t="n">
        <v>-14.61</v>
      </c>
      <c r="O319" s="24">
        <f>V319-M319</f>
        <v/>
      </c>
      <c r="P319" s="25">
        <f>N319/L319</f>
        <v/>
      </c>
      <c r="Q319" s="23" t="n"/>
      <c r="R319" s="23" t="n"/>
      <c r="S319" s="26" t="n">
        <v>1.58953102</v>
      </c>
      <c r="T319" s="24" t="inlineStr"/>
      <c r="U319" s="24" t="n">
        <v>80</v>
      </c>
      <c r="V319" s="24" t="n">
        <v>80</v>
      </c>
      <c r="W319" s="26" t="inlineStr">
        <is>
          <t>New!PUMA Voltaic Evo Womens Running Shoes</t>
        </is>
      </c>
      <c r="X319" s="23" t="n">
        <v>1</v>
      </c>
      <c r="Y319" s="18">
        <f>AC319-AB319</f>
        <v/>
      </c>
      <c r="Z319" s="27" t="n">
        <v>-1</v>
      </c>
      <c r="AA319" s="27" t="n">
        <v>-1</v>
      </c>
      <c r="AB319" s="27" t="n"/>
      <c r="AC319" s="27" t="n"/>
      <c r="AD319" s="1" t="inlineStr">
        <is>
          <t>30972019</t>
        </is>
      </c>
      <c r="AE319" s="1" t="inlineStr">
        <is>
          <t>Puma Black-magic Rose</t>
        </is>
      </c>
      <c r="AF319" s="4" t="inlineStr"/>
      <c r="AG319" s="4" t="n">
        <v>6.61</v>
      </c>
    </row>
    <row r="320" ht="47.25" customHeight="1">
      <c r="A320" s="18" t="inlineStr">
        <is>
          <t>197674365471</t>
        </is>
      </c>
      <c r="B320" s="19" t="inlineStr">
        <is>
          <t>https://www.amazon.com/dp/</t>
        </is>
      </c>
      <c r="C320" s="20" t="inlineStr">
        <is>
          <t>B0DDTVB6SM</t>
        </is>
      </c>
      <c r="D320" s="44" t="n"/>
      <c r="E320" s="23" t="inlineStr">
        <is>
          <t>?th=1&amp;psc=1&amp;tag=sdcdeals03-20</t>
        </is>
      </c>
      <c r="F320" s="19">
        <f>HYPERLINK("https://redirect.sdcdeals.com/redirect?destination=https%3A%2F%2Fwww.amazon.com%2Fdp%2FB0DDTVB6SM%3Fth%3D1%26psc%3D1%26tag%3Dsdcdeals03-20", "Amazon Link")</f>
        <v/>
      </c>
      <c r="G320" s="19" t="inlineStr">
        <is>
          <t>https://www.jcpenney.com/s?searchTerm={search_term}</t>
        </is>
      </c>
      <c r="H320" s="23" t="inlineStr">
        <is>
          <t>197674365471</t>
        </is>
      </c>
      <c r="I320" s="19">
        <f>HYPERLINK("https://www.jcpenney.com/s?searchTerm=197674365471", "Retail Link")</f>
        <v/>
      </c>
      <c r="J320" s="23" t="inlineStr">
        <is>
          <t>n/a</t>
        </is>
      </c>
      <c r="K320" s="21" t="inlineStr">
        <is>
          <t>PUMA Women's Voltaic EVO Cross Trainer Sneaker, Black-Magic Rose, 7</t>
        </is>
      </c>
      <c r="L320" s="24" t="n">
        <v>76</v>
      </c>
      <c r="M320" s="24" t="n">
        <v>108.39</v>
      </c>
      <c r="N320" s="24" t="n">
        <v>9.691500000000005</v>
      </c>
      <c r="O320" s="24">
        <f>V320-M320</f>
        <v/>
      </c>
      <c r="P320" s="25">
        <f>N320/L320</f>
        <v/>
      </c>
      <c r="Q320" s="23" t="n"/>
      <c r="R320" s="23" t="n"/>
      <c r="S320" s="26" t="n">
        <v>1.62921418</v>
      </c>
      <c r="T320" s="24" t="inlineStr"/>
      <c r="U320" s="24" t="n">
        <v>108.39</v>
      </c>
      <c r="V320" s="24" t="n">
        <v>108.39</v>
      </c>
      <c r="W320" s="26" t="inlineStr">
        <is>
          <t>New!PUMA Voltaic Evo Womens Running Shoes</t>
        </is>
      </c>
      <c r="X320" s="23" t="n">
        <v>1</v>
      </c>
      <c r="Y320" s="18">
        <f>AC320-AB320</f>
        <v/>
      </c>
      <c r="Z320" s="27" t="n">
        <v>-1</v>
      </c>
      <c r="AA320" s="27" t="n">
        <v>-1</v>
      </c>
      <c r="AB320" s="27" t="n"/>
      <c r="AC320" s="27" t="n"/>
      <c r="AD320" s="1" t="inlineStr">
        <is>
          <t>30972019</t>
        </is>
      </c>
      <c r="AE320" s="1" t="inlineStr">
        <is>
          <t>Puma Black-magic Rose</t>
        </is>
      </c>
      <c r="AF320" s="4" t="inlineStr"/>
      <c r="AG320" s="4" t="n">
        <v>6.44</v>
      </c>
    </row>
    <row r="321" ht="47.25" customHeight="1">
      <c r="A321" s="18" t="inlineStr">
        <is>
          <t>197674365426</t>
        </is>
      </c>
      <c r="B321" s="19" t="inlineStr">
        <is>
          <t>https://www.amazon.com/dp/</t>
        </is>
      </c>
      <c r="C321" s="20" t="inlineStr">
        <is>
          <t>B0DDTWRYLZ</t>
        </is>
      </c>
      <c r="D321" s="44" t="n"/>
      <c r="E321" s="23" t="inlineStr">
        <is>
          <t>?th=1&amp;psc=1&amp;tag=sdcdeals03-20</t>
        </is>
      </c>
      <c r="F321" s="19">
        <f>HYPERLINK("https://redirect.sdcdeals.com/redirect?destination=https%3A%2F%2Fwww.amazon.com%2Fdp%2FB0DDTWRYLZ%3Fth%3D1%26psc%3D1%26tag%3Dsdcdeals03-20", "Amazon Link")</f>
        <v/>
      </c>
      <c r="G321" s="19" t="inlineStr">
        <is>
          <t>https://www.jcpenney.com/s?searchTerm={search_term}</t>
        </is>
      </c>
      <c r="H321" s="23" t="inlineStr">
        <is>
          <t>197674365426</t>
        </is>
      </c>
      <c r="I321" s="19">
        <f>HYPERLINK("https://www.jcpenney.com/s?searchTerm=197674365426", "Retail Link")</f>
        <v/>
      </c>
      <c r="J321" s="23" t="inlineStr">
        <is>
          <t>n/a</t>
        </is>
      </c>
      <c r="K321" s="21" t="inlineStr">
        <is>
          <t>PUMA Women's Voltaic EVO Cross Trainer Sneaker, Black-Magic Rose, 7.5</t>
        </is>
      </c>
      <c r="L321" s="24" t="n">
        <v>76</v>
      </c>
      <c r="M321" s="24" t="n">
        <v>69.53</v>
      </c>
      <c r="N321" s="24" t="n">
        <v>-23.9295</v>
      </c>
      <c r="O321" s="24">
        <f>V321-M321</f>
        <v/>
      </c>
      <c r="P321" s="25">
        <f>N321/L321</f>
        <v/>
      </c>
      <c r="Q321" s="23" t="n"/>
      <c r="R321" s="23" t="n"/>
      <c r="S321" s="26" t="n">
        <v>1.7196036</v>
      </c>
      <c r="T321" s="24" t="n">
        <v>69.53</v>
      </c>
      <c r="U321" s="24" t="n">
        <v>77.40000000000001</v>
      </c>
      <c r="V321" s="24" t="n">
        <v>77.40000000000001</v>
      </c>
      <c r="W321" s="26" t="inlineStr">
        <is>
          <t>New!PUMA Voltaic Evo Womens Running Shoes</t>
        </is>
      </c>
      <c r="X321" s="23" t="n">
        <v>2</v>
      </c>
      <c r="Y321" s="18">
        <f>AC321-AB321</f>
        <v/>
      </c>
      <c r="Z321" s="27" t="n">
        <v>-1</v>
      </c>
      <c r="AA321" s="27" t="n">
        <v>-1</v>
      </c>
      <c r="AB321" s="27" t="n"/>
      <c r="AC321" s="27" t="n"/>
      <c r="AD321" s="1" t="inlineStr">
        <is>
          <t>30972019</t>
        </is>
      </c>
      <c r="AE321" s="1" t="inlineStr">
        <is>
          <t>Puma Black-magic Rose</t>
        </is>
      </c>
      <c r="AF321" s="4" t="n">
        <v>10.43</v>
      </c>
      <c r="AG321" s="4" t="n">
        <v>7.03</v>
      </c>
    </row>
    <row r="322" ht="47.25" customHeight="1">
      <c r="A322" s="18" t="inlineStr">
        <is>
          <t>197674365488</t>
        </is>
      </c>
      <c r="B322" s="19" t="inlineStr">
        <is>
          <t>https://www.amazon.com/dp/</t>
        </is>
      </c>
      <c r="C322" s="20" t="inlineStr">
        <is>
          <t>B0DDTV6DCF</t>
        </is>
      </c>
      <c r="D322" s="44" t="n"/>
      <c r="E322" s="23" t="inlineStr">
        <is>
          <t>?th=1&amp;psc=1&amp;tag=sdcdeals03-20</t>
        </is>
      </c>
      <c r="F322" s="19">
        <f>HYPERLINK("https://redirect.sdcdeals.com/redirect?destination=https%3A%2F%2Fwww.amazon.com%2Fdp%2FB0DDTV6DCF%3Fth%3D1%26psc%3D1%26tag%3Dsdcdeals03-20", "Amazon Link")</f>
        <v/>
      </c>
      <c r="G322" s="19" t="inlineStr">
        <is>
          <t>https://www.jcpenney.com/s?searchTerm={search_term}</t>
        </is>
      </c>
      <c r="H322" s="23" t="inlineStr">
        <is>
          <t>197674365488</t>
        </is>
      </c>
      <c r="I322" s="19">
        <f>HYPERLINK("https://www.jcpenney.com/s?searchTerm=197674365488", "Retail Link")</f>
        <v/>
      </c>
      <c r="J322" s="23" t="inlineStr">
        <is>
          <t>n/a</t>
        </is>
      </c>
      <c r="K322" s="21" t="inlineStr">
        <is>
          <t>PUMA Women's Voltaic EVO Cross Trainer Sneaker, Black-Magic Rose, 8</t>
        </is>
      </c>
      <c r="L322" s="24" t="n">
        <v>76</v>
      </c>
      <c r="M322" s="24" t="n">
        <v>80</v>
      </c>
      <c r="N322" s="24" t="n">
        <v>-15.03</v>
      </c>
      <c r="O322" s="24">
        <f>V322-M322</f>
        <v/>
      </c>
      <c r="P322" s="25">
        <f>N322/L322</f>
        <v/>
      </c>
      <c r="Q322" s="23" t="n"/>
      <c r="R322" s="23" t="n"/>
      <c r="S322" s="26" t="n">
        <v>1.7196036</v>
      </c>
      <c r="T322" s="24" t="inlineStr"/>
      <c r="U322" s="24" t="n">
        <v>80</v>
      </c>
      <c r="V322" s="24" t="n">
        <v>80</v>
      </c>
      <c r="W322" s="26" t="inlineStr">
        <is>
          <t>New!PUMA Voltaic Evo Womens Running Shoes</t>
        </is>
      </c>
      <c r="X322" s="23" t="n">
        <v>1</v>
      </c>
      <c r="Y322" s="18">
        <f>AC322-AB322</f>
        <v/>
      </c>
      <c r="Z322" s="27" t="n">
        <v>-1</v>
      </c>
      <c r="AA322" s="27" t="n">
        <v>-1</v>
      </c>
      <c r="AB322" s="27" t="n"/>
      <c r="AC322" s="27" t="n"/>
      <c r="AD322" s="1" t="inlineStr">
        <is>
          <t>30972019</t>
        </is>
      </c>
      <c r="AE322" s="1" t="inlineStr">
        <is>
          <t>Puma Black-magic Rose</t>
        </is>
      </c>
      <c r="AF322" s="4" t="inlineStr"/>
      <c r="AG322" s="4" t="n">
        <v>7.03</v>
      </c>
    </row>
    <row r="323" ht="47.25" customHeight="1">
      <c r="A323" s="18" t="inlineStr">
        <is>
          <t>197674365433</t>
        </is>
      </c>
      <c r="B323" s="19" t="inlineStr">
        <is>
          <t>https://www.amazon.com/dp/</t>
        </is>
      </c>
      <c r="C323" s="20" t="inlineStr">
        <is>
          <t>B0DDTVSGW8</t>
        </is>
      </c>
      <c r="D323" s="44" t="n"/>
      <c r="E323" s="23" t="inlineStr">
        <is>
          <t>?th=1&amp;psc=1&amp;tag=sdcdeals03-20</t>
        </is>
      </c>
      <c r="F323" s="19">
        <f>HYPERLINK("https://redirect.sdcdeals.com/redirect?destination=https%3A%2F%2Fwww.amazon.com%2Fdp%2FB0DDTVSGW8%3Fth%3D1%26psc%3D1%26tag%3Dsdcdeals03-20", "Amazon Link")</f>
        <v/>
      </c>
      <c r="G323" s="19" t="inlineStr">
        <is>
          <t>https://www.jcpenney.com/s?searchTerm={search_term}</t>
        </is>
      </c>
      <c r="H323" s="23" t="inlineStr">
        <is>
          <t>197674365433</t>
        </is>
      </c>
      <c r="I323" s="19">
        <f>HYPERLINK("https://www.jcpenney.com/s?searchTerm=197674365433", "Retail Link")</f>
        <v/>
      </c>
      <c r="J323" s="23" t="inlineStr">
        <is>
          <t>n/a</t>
        </is>
      </c>
      <c r="K323" s="21" t="inlineStr">
        <is>
          <t>PUMA Women's Voltaic EVO Cross Trainer Sneaker, Black-Magic Rose, 8.5</t>
        </is>
      </c>
      <c r="L323" s="24" t="n">
        <v>76</v>
      </c>
      <c r="M323" s="24" t="n">
        <v>80</v>
      </c>
      <c r="N323" s="24" t="n">
        <v>-15.03</v>
      </c>
      <c r="O323" s="24">
        <f>V323-M323</f>
        <v/>
      </c>
      <c r="P323" s="25">
        <f>N323/L323</f>
        <v/>
      </c>
      <c r="Q323" s="23" t="n"/>
      <c r="R323" s="23" t="n"/>
      <c r="S323" s="26" t="n">
        <v>1.67992044</v>
      </c>
      <c r="T323" s="24" t="inlineStr"/>
      <c r="U323" s="24" t="n">
        <v>80</v>
      </c>
      <c r="V323" s="24" t="n">
        <v>80</v>
      </c>
      <c r="W323" s="26" t="inlineStr">
        <is>
          <t>New!PUMA Voltaic Evo Womens Running Shoes</t>
        </is>
      </c>
      <c r="X323" s="23" t="n">
        <v>1</v>
      </c>
      <c r="Y323" s="18">
        <f>AC323-AB323</f>
        <v/>
      </c>
      <c r="Z323" s="27" t="n">
        <v>-1</v>
      </c>
      <c r="AA323" s="27" t="n">
        <v>-1</v>
      </c>
      <c r="AB323" s="27" t="n"/>
      <c r="AC323" s="27" t="n"/>
      <c r="AD323" s="1" t="inlineStr">
        <is>
          <t>30972019</t>
        </is>
      </c>
      <c r="AE323" s="1" t="inlineStr">
        <is>
          <t>Puma Black-magic Rose</t>
        </is>
      </c>
      <c r="AF323" s="4" t="inlineStr"/>
      <c r="AG323" s="4" t="n">
        <v>7.03</v>
      </c>
    </row>
    <row r="324" ht="47.25" customHeight="1">
      <c r="A324" s="18" t="inlineStr">
        <is>
          <t>197674365495</t>
        </is>
      </c>
      <c r="B324" s="19" t="inlineStr">
        <is>
          <t>https://www.amazon.com/dp/</t>
        </is>
      </c>
      <c r="C324" s="20" t="inlineStr">
        <is>
          <t>B0DDTVVKRW</t>
        </is>
      </c>
      <c r="D324" s="44" t="n"/>
      <c r="E324" s="23" t="inlineStr">
        <is>
          <t>?th=1&amp;psc=1&amp;tag=sdcdeals03-20</t>
        </is>
      </c>
      <c r="F324" s="19">
        <f>HYPERLINK("https://redirect.sdcdeals.com/redirect?destination=https%3A%2F%2Fwww.amazon.com%2Fdp%2FB0DDTVVKRW%3Fth%3D1%26psc%3D1%26tag%3Dsdcdeals03-20", "Amazon Link")</f>
        <v/>
      </c>
      <c r="G324" s="19" t="inlineStr">
        <is>
          <t>https://www.jcpenney.com/s?searchTerm={search_term}</t>
        </is>
      </c>
      <c r="H324" s="23" t="inlineStr">
        <is>
          <t>197674365495</t>
        </is>
      </c>
      <c r="I324" s="19">
        <f>HYPERLINK("https://www.jcpenney.com/s?searchTerm=197674365495", "Retail Link")</f>
        <v/>
      </c>
      <c r="J324" s="23" t="inlineStr">
        <is>
          <t>n/a</t>
        </is>
      </c>
      <c r="K324" s="21" t="inlineStr">
        <is>
          <t>PUMA Women's Voltaic EVO Cross Trainer Sneaker, Black-Magic Rose, 9</t>
        </is>
      </c>
      <c r="L324" s="24" t="n">
        <v>76</v>
      </c>
      <c r="M324" s="24" t="n">
        <v>112.34</v>
      </c>
      <c r="N324" s="24" t="n">
        <v>12.459</v>
      </c>
      <c r="O324" s="24">
        <f>V324-M324</f>
        <v/>
      </c>
      <c r="P324" s="25">
        <f>N324/L324</f>
        <v/>
      </c>
      <c r="Q324" s="23" t="n"/>
      <c r="R324" s="23" t="n"/>
      <c r="S324" s="26" t="n">
        <v>1.80999302</v>
      </c>
      <c r="T324" s="24" t="inlineStr"/>
      <c r="U324" s="24" t="n">
        <v>112.34</v>
      </c>
      <c r="V324" s="24" t="n">
        <v>112.34</v>
      </c>
      <c r="W324" s="26" t="inlineStr">
        <is>
          <t>New!PUMA Voltaic Evo Womens Running Shoes</t>
        </is>
      </c>
      <c r="X324" s="23" t="n">
        <v>1</v>
      </c>
      <c r="Y324" s="18">
        <f>AC324-AB324</f>
        <v/>
      </c>
      <c r="Z324" s="27" t="n">
        <v>-1</v>
      </c>
      <c r="AA324" s="27" t="n">
        <v>-1</v>
      </c>
      <c r="AB324" s="27" t="n"/>
      <c r="AC324" s="27" t="n"/>
      <c r="AD324" s="1" t="inlineStr">
        <is>
          <t>30972019</t>
        </is>
      </c>
      <c r="AE324" s="1" t="inlineStr">
        <is>
          <t>Puma Black-magic Rose</t>
        </is>
      </c>
      <c r="AF324" s="4" t="inlineStr"/>
      <c r="AG324" s="4" t="n">
        <v>7.03</v>
      </c>
    </row>
    <row r="325" ht="47.25" customHeight="1">
      <c r="A325" s="18" t="inlineStr">
        <is>
          <t>197674365440</t>
        </is>
      </c>
      <c r="B325" s="19" t="inlineStr">
        <is>
          <t>https://www.amazon.com/dp/</t>
        </is>
      </c>
      <c r="C325" s="20" t="inlineStr">
        <is>
          <t>B0DDTWS7BP</t>
        </is>
      </c>
      <c r="D325" s="44" t="n"/>
      <c r="E325" s="23" t="inlineStr">
        <is>
          <t>?th=1&amp;psc=1&amp;tag=sdcdeals03-20</t>
        </is>
      </c>
      <c r="F325" s="19">
        <f>HYPERLINK("https://redirect.sdcdeals.com/redirect?destination=https%3A%2F%2Fwww.amazon.com%2Fdp%2FB0DDTWS7BP%3Fth%3D1%26psc%3D1%26tag%3Dsdcdeals03-20", "Amazon Link")</f>
        <v/>
      </c>
      <c r="G325" s="19" t="inlineStr">
        <is>
          <t>https://www.jcpenney.com/s?searchTerm={search_term}</t>
        </is>
      </c>
      <c r="H325" s="23" t="inlineStr">
        <is>
          <t>197674365440</t>
        </is>
      </c>
      <c r="I325" s="19">
        <f>HYPERLINK("https://www.jcpenney.com/s?searchTerm=197674365440", "Retail Link")</f>
        <v/>
      </c>
      <c r="J325" s="23" t="inlineStr">
        <is>
          <t>n/a</t>
        </is>
      </c>
      <c r="K325" s="21" t="inlineStr">
        <is>
          <t>PUMA Women's Voltaic EVO Cross Trainer Sneaker, Black-Magic Rose, 9.5</t>
        </is>
      </c>
      <c r="L325" s="24" t="n">
        <v>76</v>
      </c>
      <c r="M325" s="24" t="n">
        <v>80</v>
      </c>
      <c r="N325" s="24" t="n">
        <v>-15.62</v>
      </c>
      <c r="O325" s="24">
        <f>V325-M325</f>
        <v/>
      </c>
      <c r="P325" s="25">
        <f>N325/L325</f>
        <v/>
      </c>
      <c r="Q325" s="23" t="n"/>
      <c r="R325" s="23" t="n"/>
      <c r="S325" s="26" t="n">
        <v>1.9400656</v>
      </c>
      <c r="T325" s="24" t="inlineStr"/>
      <c r="U325" s="24" t="n">
        <v>80</v>
      </c>
      <c r="V325" s="24" t="n">
        <v>80</v>
      </c>
      <c r="W325" s="26" t="inlineStr">
        <is>
          <t>New!PUMA Voltaic Evo Womens Running Shoes</t>
        </is>
      </c>
      <c r="X325" s="23" t="n">
        <v>1</v>
      </c>
      <c r="Y325" s="18">
        <f>AC325-AB325</f>
        <v/>
      </c>
      <c r="Z325" s="27" t="n">
        <v>-1</v>
      </c>
      <c r="AA325" s="27" t="n">
        <v>-1</v>
      </c>
      <c r="AB325" s="27" t="n"/>
      <c r="AC325" s="27" t="n"/>
      <c r="AD325" s="1" t="inlineStr">
        <is>
          <t>30972019</t>
        </is>
      </c>
      <c r="AE325" s="1" t="inlineStr">
        <is>
          <t>Puma Black-magic Rose</t>
        </is>
      </c>
      <c r="AF325" s="4" t="inlineStr"/>
      <c r="AG325" s="4" t="n">
        <v>7.62</v>
      </c>
    </row>
    <row r="326" ht="47.25" customHeight="1">
      <c r="A326" s="18" t="inlineStr">
        <is>
          <t>197674365501</t>
        </is>
      </c>
      <c r="B326" s="19" t="inlineStr">
        <is>
          <t>https://www.amazon.com/dp/</t>
        </is>
      </c>
      <c r="C326" s="20" t="inlineStr">
        <is>
          <t>B0DDTW3TJC</t>
        </is>
      </c>
      <c r="D326" s="44" t="n"/>
      <c r="E326" s="23" t="inlineStr">
        <is>
          <t>?th=1&amp;psc=1&amp;tag=sdcdeals03-20</t>
        </is>
      </c>
      <c r="F326" s="19">
        <f>HYPERLINK("https://redirect.sdcdeals.com/redirect?destination=https%3A%2F%2Fwww.amazon.com%2Fdp%2FB0DDTW3TJC%3Fth%3D1%26psc%3D1%26tag%3Dsdcdeals03-20", "Amazon Link")</f>
        <v/>
      </c>
      <c r="G326" s="19" t="inlineStr">
        <is>
          <t>https://www.jcpenney.com/s?searchTerm={search_term}</t>
        </is>
      </c>
      <c r="H326" s="23" t="inlineStr">
        <is>
          <t>197674365501</t>
        </is>
      </c>
      <c r="I326" s="19">
        <f>HYPERLINK("https://www.jcpenney.com/s?searchTerm=197674365501", "Retail Link")</f>
        <v/>
      </c>
      <c r="J326" s="23" t="inlineStr">
        <is>
          <t>n/a</t>
        </is>
      </c>
      <c r="K326" s="21" t="inlineStr">
        <is>
          <t>PUMA Women's Voltaic EVO Cross Trainer Sneaker, Black-Magic Rose, 10</t>
        </is>
      </c>
      <c r="L326" s="24" t="n">
        <v>76</v>
      </c>
      <c r="M326" s="24" t="n">
        <v>80</v>
      </c>
      <c r="N326" s="24" t="n">
        <v>-15.78</v>
      </c>
      <c r="O326" s="24">
        <f>V326-M326</f>
        <v/>
      </c>
      <c r="P326" s="25">
        <f>N326/L326</f>
        <v/>
      </c>
      <c r="Q326" s="23" t="n"/>
      <c r="R326" s="23" t="n"/>
      <c r="S326" s="26" t="n">
        <v>1.9400656</v>
      </c>
      <c r="T326" s="24" t="inlineStr"/>
      <c r="U326" s="24" t="n">
        <v>80</v>
      </c>
      <c r="V326" s="24" t="n">
        <v>80</v>
      </c>
      <c r="W326" s="26" t="inlineStr">
        <is>
          <t>New!PUMA Voltaic Evo Womens Running Shoes</t>
        </is>
      </c>
      <c r="X326" s="23" t="n">
        <v>1</v>
      </c>
      <c r="Y326" s="18">
        <f>AC326-AB326</f>
        <v/>
      </c>
      <c r="Z326" s="27" t="n">
        <v>-1</v>
      </c>
      <c r="AA326" s="27" t="n">
        <v>-1</v>
      </c>
      <c r="AB326" s="27" t="n"/>
      <c r="AC326" s="27" t="n"/>
      <c r="AD326" s="1" t="inlineStr">
        <is>
          <t>30972019</t>
        </is>
      </c>
      <c r="AE326" s="1" t="inlineStr">
        <is>
          <t>Puma Black-magic Rose</t>
        </is>
      </c>
      <c r="AF326" s="4" t="inlineStr"/>
      <c r="AG326" s="4" t="n">
        <v>7.78</v>
      </c>
    </row>
    <row r="327" ht="47.25" customHeight="1">
      <c r="A327" s="18" t="inlineStr">
        <is>
          <t>197674365518</t>
        </is>
      </c>
      <c r="B327" s="19" t="inlineStr">
        <is>
          <t>https://www.amazon.com/dp/</t>
        </is>
      </c>
      <c r="C327" s="20" t="inlineStr">
        <is>
          <t>B0DDTW8QY7</t>
        </is>
      </c>
      <c r="D327" s="44" t="n"/>
      <c r="E327" s="23" t="inlineStr">
        <is>
          <t>?th=1&amp;psc=1&amp;tag=sdcdeals03-20</t>
        </is>
      </c>
      <c r="F327" s="19">
        <f>HYPERLINK("https://redirect.sdcdeals.com/redirect?destination=https%3A%2F%2Fwww.amazon.com%2Fdp%2FB0DDTW8QY7%3Fth%3D1%26psc%3D1%26tag%3Dsdcdeals03-20", "Amazon Link")</f>
        <v/>
      </c>
      <c r="G327" s="19" t="inlineStr">
        <is>
          <t>https://www.jcpenney.com/s?searchTerm={search_term}</t>
        </is>
      </c>
      <c r="H327" s="23" t="inlineStr">
        <is>
          <t>197674365518</t>
        </is>
      </c>
      <c r="I327" s="19">
        <f>HYPERLINK("https://www.jcpenney.com/s?searchTerm=197674365518", "Retail Link")</f>
        <v/>
      </c>
      <c r="J327" s="23" t="inlineStr">
        <is>
          <t>n/a</t>
        </is>
      </c>
      <c r="K327" s="21" t="inlineStr">
        <is>
          <t>PUMA Women's Voltaic EVO Cross Trainer Sneaker, Black-Magic Rose, 11</t>
        </is>
      </c>
      <c r="L327" s="24" t="n">
        <v>76</v>
      </c>
      <c r="M327" s="24" t="inlineStr"/>
      <c r="N327" s="24" t="n"/>
      <c r="O327" s="24">
        <f>V327-M327</f>
        <v/>
      </c>
      <c r="P327" s="25">
        <f>N327/L327</f>
        <v/>
      </c>
      <c r="Q327" s="23" t="n"/>
      <c r="R327" s="23" t="n"/>
      <c r="S327" s="26" t="n">
        <v>2.01061344</v>
      </c>
      <c r="T327" s="24" t="inlineStr"/>
      <c r="U327" s="24" t="inlineStr"/>
      <c r="V327" s="24" t="inlineStr"/>
      <c r="W327" s="26" t="inlineStr">
        <is>
          <t>New!PUMA Voltaic Evo Womens Running Shoes</t>
        </is>
      </c>
      <c r="X327" s="23" t="n"/>
      <c r="Y327" s="18">
        <f>AC327-AB327</f>
        <v/>
      </c>
      <c r="Z327" s="27" t="n">
        <v>-1</v>
      </c>
      <c r="AA327" s="27" t="n">
        <v>-1</v>
      </c>
      <c r="AB327" s="27" t="n"/>
      <c r="AC327" s="27" t="n"/>
      <c r="AD327" s="1" t="inlineStr">
        <is>
          <t>30972019</t>
        </is>
      </c>
      <c r="AE327" s="1" t="inlineStr">
        <is>
          <t>Puma Black-magic Rose</t>
        </is>
      </c>
      <c r="AF327" s="4" t="inlineStr"/>
      <c r="AG327" s="4" t="n">
        <v>7.7</v>
      </c>
    </row>
    <row r="328" ht="47.25" customHeight="1">
      <c r="A328" s="18" t="inlineStr">
        <is>
          <t>196858049268</t>
        </is>
      </c>
      <c r="B328" s="19" t="inlineStr">
        <is>
          <t>https://www.amazon.com/dp/</t>
        </is>
      </c>
      <c r="C328" s="20" t="inlineStr">
        <is>
          <t>B0CS58NSKB</t>
        </is>
      </c>
      <c r="D328" s="44" t="n"/>
      <c r="E328" s="23" t="inlineStr">
        <is>
          <t>?th=1&amp;psc=1&amp;tag=sdcdeals03-20</t>
        </is>
      </c>
      <c r="F328" s="19">
        <f>HYPERLINK("https://redirect.sdcdeals.com/redirect?destination=https%3A%2F%2Fwww.amazon.com%2Fdp%2FB0CS58NSKB%3Fth%3D1%26psc%3D1%26tag%3Dsdcdeals03-20", "Amazon Link")</f>
        <v/>
      </c>
      <c r="G328" s="19" t="inlineStr">
        <is>
          <t>https://www.jcpenney.com/s?searchTerm={search_term}</t>
        </is>
      </c>
      <c r="H328" s="23" t="inlineStr">
        <is>
          <t>196858049268</t>
        </is>
      </c>
      <c r="I328" s="19">
        <f>HYPERLINK("https://www.jcpenney.com/s?searchTerm=196858049268", "Retail Link")</f>
        <v/>
      </c>
      <c r="J328" s="23" t="inlineStr">
        <is>
          <t>n/a</t>
        </is>
      </c>
      <c r="K328" s="21" t="inlineStr">
        <is>
          <t>Puma Womens Starla 2 Sneakers Shoes Casual - White - Size 5.5 M, 37925101</t>
        </is>
      </c>
      <c r="L328" s="24" t="n">
        <v>37.9905</v>
      </c>
      <c r="M328" s="24" t="n">
        <v>39.95</v>
      </c>
      <c r="N328" s="24" t="n"/>
      <c r="O328" s="24">
        <f>V328-M328</f>
        <v/>
      </c>
      <c r="P328" s="25">
        <f>N328/L328</f>
        <v/>
      </c>
      <c r="Q328" s="23" t="n">
        <v>1685486</v>
      </c>
      <c r="R328" s="23" t="n"/>
      <c r="S328" s="26" t="n"/>
      <c r="T328" s="24" t="n">
        <v>39.95</v>
      </c>
      <c r="U328" s="24" t="n">
        <v>45.88</v>
      </c>
      <c r="V328" s="24" t="n">
        <v>45.88</v>
      </c>
      <c r="W328" s="26" t="inlineStr">
        <is>
          <t>New!PUMA STARLA</t>
        </is>
      </c>
      <c r="X328" s="23" t="n">
        <v>2</v>
      </c>
      <c r="Y328" s="18">
        <f>AC328-AB328</f>
        <v/>
      </c>
      <c r="Z328" s="27" t="n">
        <v>4</v>
      </c>
      <c r="AA328" s="27" t="n">
        <v>10</v>
      </c>
      <c r="AB328" s="27" t="n">
        <v>0</v>
      </c>
      <c r="AC328" s="27" t="n"/>
      <c r="AD328" s="1" t="inlineStr">
        <is>
          <t>37925101</t>
        </is>
      </c>
      <c r="AE328" s="1" t="inlineStr">
        <is>
          <t>Alpine Snow-puma White-rose Gold-gum</t>
        </is>
      </c>
      <c r="AF328" s="4" t="inlineStr"/>
      <c r="AG328" s="4" t="inlineStr"/>
    </row>
    <row r="329" ht="47.25" customHeight="1">
      <c r="A329" s="18" t="inlineStr">
        <is>
          <t>196858049275</t>
        </is>
      </c>
      <c r="B329" s="19" t="inlineStr">
        <is>
          <t>https://www.amazon.com/dp/</t>
        </is>
      </c>
      <c r="C329" s="20" t="inlineStr">
        <is>
          <t>B0CS92QNJC</t>
        </is>
      </c>
      <c r="D329" s="44" t="n"/>
      <c r="E329" s="23" t="inlineStr">
        <is>
          <t>?th=1&amp;psc=1&amp;tag=sdcdeals03-20</t>
        </is>
      </c>
      <c r="F329" s="19">
        <f>HYPERLINK("https://redirect.sdcdeals.com/redirect?destination=https%3A%2F%2Fwww.amazon.com%2Fdp%2FB0CS92QNJC%3Fth%3D1%26psc%3D1%26tag%3Dsdcdeals03-20", "Amazon Link")</f>
        <v/>
      </c>
      <c r="G329" s="19" t="inlineStr">
        <is>
          <t>https://www.jcpenney.com/s?searchTerm={search_term}</t>
        </is>
      </c>
      <c r="H329" s="23" t="inlineStr">
        <is>
          <t>196858049275</t>
        </is>
      </c>
      <c r="I329" s="19">
        <f>HYPERLINK("https://www.jcpenney.com/s?searchTerm=196858049275", "Retail Link")</f>
        <v/>
      </c>
      <c r="J329" s="23" t="inlineStr">
        <is>
          <t>n/a</t>
        </is>
      </c>
      <c r="K329" s="21" t="inlineStr">
        <is>
          <t>PUMA Womens Starla 2 Lace Up Sneakers Shoes Casual - Beige - Size 6 M</t>
        </is>
      </c>
      <c r="L329" s="24" t="n">
        <v>37.9905</v>
      </c>
      <c r="M329" s="24" t="n">
        <v>39.95</v>
      </c>
      <c r="N329" s="24" t="n"/>
      <c r="O329" s="24">
        <f>V329-M329</f>
        <v/>
      </c>
      <c r="P329" s="25">
        <f>N329/L329</f>
        <v/>
      </c>
      <c r="Q329" s="23" t="n">
        <v>1685486</v>
      </c>
      <c r="R329" s="23" t="n"/>
      <c r="S329" s="26" t="n"/>
      <c r="T329" s="24" t="n">
        <v>39.95</v>
      </c>
      <c r="U329" s="24" t="n">
        <v>47.47</v>
      </c>
      <c r="V329" s="24" t="n">
        <v>48.75</v>
      </c>
      <c r="W329" s="26" t="inlineStr">
        <is>
          <t>New!PUMA STARLA</t>
        </is>
      </c>
      <c r="X329" s="23" t="n">
        <v>2</v>
      </c>
      <c r="Y329" s="18">
        <f>AC329-AB329</f>
        <v/>
      </c>
      <c r="Z329" s="27" t="n">
        <v>4</v>
      </c>
      <c r="AA329" s="27" t="n">
        <v>7</v>
      </c>
      <c r="AB329" s="27" t="n">
        <v>0</v>
      </c>
      <c r="AC329" s="27" t="n"/>
      <c r="AD329" s="1" t="inlineStr">
        <is>
          <t>37925101</t>
        </is>
      </c>
      <c r="AE329" s="1" t="inlineStr">
        <is>
          <t>Alpine Snow-puma White-rose Gold-gum</t>
        </is>
      </c>
      <c r="AF329" s="4" t="inlineStr"/>
      <c r="AG329" s="4" t="inlineStr"/>
    </row>
    <row r="330" ht="47.25" customHeight="1">
      <c r="A330" s="18" t="inlineStr">
        <is>
          <t>196858049282</t>
        </is>
      </c>
      <c r="B330" s="19" t="inlineStr">
        <is>
          <t>https://www.amazon.com/dp/</t>
        </is>
      </c>
      <c r="C330" s="20" t="inlineStr">
        <is>
          <t>B0CR1X5B26</t>
        </is>
      </c>
      <c r="D330" s="44" t="n"/>
      <c r="E330" s="23" t="inlineStr">
        <is>
          <t>?th=1&amp;psc=1&amp;tag=sdcdeals03-20</t>
        </is>
      </c>
      <c r="F330" s="19">
        <f>HYPERLINK("https://redirect.sdcdeals.com/redirect?destination=https%3A%2F%2Fwww.amazon.com%2Fdp%2FB0CR1X5B26%3Fth%3D1%26psc%3D1%26tag%3Dsdcdeals03-20", "Amazon Link")</f>
        <v/>
      </c>
      <c r="G330" s="19" t="inlineStr">
        <is>
          <t>https://www.jcpenney.com/s?searchTerm={search_term}</t>
        </is>
      </c>
      <c r="H330" s="23" t="inlineStr">
        <is>
          <t>196858049282</t>
        </is>
      </c>
      <c r="I330" s="19">
        <f>HYPERLINK("https://www.jcpenney.com/s?searchTerm=196858049282", "Retail Link")</f>
        <v/>
      </c>
      <c r="J330" s="23" t="inlineStr">
        <is>
          <t>n/a</t>
        </is>
      </c>
      <c r="K330" s="21" t="inlineStr">
        <is>
          <t>PUMA Womens Starla 2 Lace Up Sneakers Shoes Casual - Beige - Size 6.5 M, 37925101</t>
        </is>
      </c>
      <c r="L330" s="24" t="n">
        <v>37.9905</v>
      </c>
      <c r="M330" s="24" t="n">
        <v>39.95</v>
      </c>
      <c r="N330" s="24" t="n"/>
      <c r="O330" s="24">
        <f>V330-M330</f>
        <v/>
      </c>
      <c r="P330" s="25">
        <f>N330/L330</f>
        <v/>
      </c>
      <c r="Q330" s="23" t="n">
        <v>1685486</v>
      </c>
      <c r="R330" s="23" t="n"/>
      <c r="S330" s="26" t="n"/>
      <c r="T330" s="24" t="n">
        <v>39.95</v>
      </c>
      <c r="U330" s="24" t="n">
        <v>47.51</v>
      </c>
      <c r="V330" s="24" t="n">
        <v>48.77</v>
      </c>
      <c r="W330" s="26" t="inlineStr">
        <is>
          <t>New!PUMA STARLA</t>
        </is>
      </c>
      <c r="X330" s="23" t="n">
        <v>1</v>
      </c>
      <c r="Y330" s="18">
        <f>AC330-AB330</f>
        <v/>
      </c>
      <c r="Z330" s="27" t="n">
        <v>4</v>
      </c>
      <c r="AA330" s="27" t="n">
        <v>10</v>
      </c>
      <c r="AB330" s="27" t="n">
        <v>0</v>
      </c>
      <c r="AC330" s="27" t="n"/>
      <c r="AD330" s="1" t="inlineStr">
        <is>
          <t>37925101</t>
        </is>
      </c>
      <c r="AE330" s="1" t="inlineStr">
        <is>
          <t>Alpine Snow-puma White-rose Gold-gum</t>
        </is>
      </c>
      <c r="AF330" s="4" t="inlineStr"/>
      <c r="AG330" s="4" t="inlineStr"/>
    </row>
    <row r="331" ht="47.25" customHeight="1">
      <c r="A331" s="18" t="inlineStr">
        <is>
          <t>196858049299</t>
        </is>
      </c>
      <c r="B331" s="19" t="inlineStr">
        <is>
          <t>https://www.amazon.com/dp/</t>
        </is>
      </c>
      <c r="C331" s="20" t="inlineStr">
        <is>
          <t>B0CR1VWXYG</t>
        </is>
      </c>
      <c r="D331" s="44" t="n"/>
      <c r="E331" s="23" t="inlineStr">
        <is>
          <t>?th=1&amp;psc=1&amp;tag=sdcdeals03-20</t>
        </is>
      </c>
      <c r="F331" s="19">
        <f>HYPERLINK("https://redirect.sdcdeals.com/redirect?destination=https%3A%2F%2Fwww.amazon.com%2Fdp%2FB0CR1VWXYG%3Fth%3D1%26psc%3D1%26tag%3Dsdcdeals03-20", "Amazon Link")</f>
        <v/>
      </c>
      <c r="G331" s="19" t="inlineStr">
        <is>
          <t>https://www.jcpenney.com/s?searchTerm={search_term}</t>
        </is>
      </c>
      <c r="H331" s="23" t="inlineStr">
        <is>
          <t>196858049299</t>
        </is>
      </c>
      <c r="I331" s="19">
        <f>HYPERLINK("https://www.jcpenney.com/s?searchTerm=196858049299", "Retail Link")</f>
        <v/>
      </c>
      <c r="J331" s="23" t="inlineStr">
        <is>
          <t>n/a</t>
        </is>
      </c>
      <c r="K331" s="21" t="inlineStr">
        <is>
          <t>PUMA Womens Starla 2 Lace Up Sneakers Shoes Casual - Beige - Size 7 M</t>
        </is>
      </c>
      <c r="L331" s="24" t="n">
        <v>37.9905</v>
      </c>
      <c r="M331" s="24" t="n">
        <v>39.95</v>
      </c>
      <c r="N331" s="24" t="n"/>
      <c r="O331" s="24">
        <f>V331-M331</f>
        <v/>
      </c>
      <c r="P331" s="25">
        <f>N331/L331</f>
        <v/>
      </c>
      <c r="Q331" s="23" t="n">
        <v>1685486</v>
      </c>
      <c r="R331" s="23" t="n"/>
      <c r="S331" s="26" t="n"/>
      <c r="T331" s="24" t="n">
        <v>39.95</v>
      </c>
      <c r="U331" s="24" t="n">
        <v>47.5</v>
      </c>
      <c r="V331" s="24" t="n">
        <v>48.51</v>
      </c>
      <c r="W331" s="26" t="inlineStr">
        <is>
          <t>New!PUMA STARLA</t>
        </is>
      </c>
      <c r="X331" s="23" t="n">
        <v>1</v>
      </c>
      <c r="Y331" s="18">
        <f>AC331-AB331</f>
        <v/>
      </c>
      <c r="Z331" s="27" t="n">
        <v>4</v>
      </c>
      <c r="AA331" s="27" t="n">
        <v>10</v>
      </c>
      <c r="AB331" s="27" t="n">
        <v>0</v>
      </c>
      <c r="AC331" s="27" t="n"/>
      <c r="AD331" s="1" t="inlineStr">
        <is>
          <t>37925101</t>
        </is>
      </c>
      <c r="AE331" s="1" t="inlineStr">
        <is>
          <t>Alpine Snow-puma White-rose Gold-gum</t>
        </is>
      </c>
      <c r="AF331" s="4" t="inlineStr"/>
      <c r="AG331" s="4" t="inlineStr"/>
    </row>
    <row r="332" ht="47.25" customHeight="1">
      <c r="A332" s="18" t="inlineStr">
        <is>
          <t>196858049305</t>
        </is>
      </c>
      <c r="B332" s="19" t="inlineStr">
        <is>
          <t>https://www.amazon.com/dp/</t>
        </is>
      </c>
      <c r="C332" s="20" t="inlineStr">
        <is>
          <t>B0CR1XCGFD</t>
        </is>
      </c>
      <c r="D332" s="44" t="n"/>
      <c r="E332" s="23" t="inlineStr">
        <is>
          <t>?th=1&amp;psc=1&amp;tag=sdcdeals03-20</t>
        </is>
      </c>
      <c r="F332" s="19">
        <f>HYPERLINK("https://redirect.sdcdeals.com/redirect?destination=https%3A%2F%2Fwww.amazon.com%2Fdp%2FB0CR1XCGFD%3Fth%3D1%26psc%3D1%26tag%3Dsdcdeals03-20", "Amazon Link")</f>
        <v/>
      </c>
      <c r="G332" s="19" t="inlineStr">
        <is>
          <t>https://www.jcpenney.com/s?searchTerm={search_term}</t>
        </is>
      </c>
      <c r="H332" s="23" t="inlineStr">
        <is>
          <t>196858049305</t>
        </is>
      </c>
      <c r="I332" s="19">
        <f>HYPERLINK("https://www.jcpenney.com/s?searchTerm=196858049305", "Retail Link")</f>
        <v/>
      </c>
      <c r="J332" s="23" t="inlineStr">
        <is>
          <t>n/a</t>
        </is>
      </c>
      <c r="K332" s="21" t="inlineStr">
        <is>
          <t>PUMA Womens Starla 2 Lace Up Sneakers Shoes Casual - Beige - Size 7.5 M, 37925101</t>
        </is>
      </c>
      <c r="L332" s="24" t="n">
        <v>37.9905</v>
      </c>
      <c r="M332" s="24" t="n">
        <v>39.95</v>
      </c>
      <c r="N332" s="24" t="n"/>
      <c r="O332" s="24">
        <f>V332-M332</f>
        <v/>
      </c>
      <c r="P332" s="25">
        <f>N332/L332</f>
        <v/>
      </c>
      <c r="Q332" s="23" t="n">
        <v>1648017</v>
      </c>
      <c r="R332" s="23" t="n"/>
      <c r="S332" s="26" t="n"/>
      <c r="T332" s="24" t="n">
        <v>39.95</v>
      </c>
      <c r="U332" s="24" t="n">
        <v>44.96</v>
      </c>
      <c r="V332" s="24" t="n">
        <v>44.96</v>
      </c>
      <c r="W332" s="26" t="inlineStr">
        <is>
          <t>New!PUMA STARLA</t>
        </is>
      </c>
      <c r="X332" s="23" t="n">
        <v>1</v>
      </c>
      <c r="Y332" s="18">
        <f>AC332-AB332</f>
        <v/>
      </c>
      <c r="Z332" s="27" t="n">
        <v>4</v>
      </c>
      <c r="AA332" s="27" t="n">
        <v>10</v>
      </c>
      <c r="AB332" s="27" t="n">
        <v>0</v>
      </c>
      <c r="AC332" s="27" t="n"/>
      <c r="AD332" s="1" t="inlineStr">
        <is>
          <t>37925101</t>
        </is>
      </c>
      <c r="AE332" s="1" t="inlineStr">
        <is>
          <t>Alpine Snow-puma White-rose Gold-gum</t>
        </is>
      </c>
      <c r="AF332" s="4" t="inlineStr"/>
      <c r="AG332" s="4" t="inlineStr"/>
    </row>
    <row r="333" ht="47.25" customHeight="1">
      <c r="A333" s="18" t="inlineStr">
        <is>
          <t>196858049312</t>
        </is>
      </c>
      <c r="B333" s="19" t="inlineStr">
        <is>
          <t>https://www.amazon.com/dp/</t>
        </is>
      </c>
      <c r="C333" s="20" t="inlineStr">
        <is>
          <t>B0CR1XGSB2</t>
        </is>
      </c>
      <c r="D333" s="44" t="n"/>
      <c r="E333" s="23" t="inlineStr">
        <is>
          <t>?th=1&amp;psc=1&amp;tag=sdcdeals03-20</t>
        </is>
      </c>
      <c r="F333" s="19">
        <f>HYPERLINK("https://redirect.sdcdeals.com/redirect?destination=https%3A%2F%2Fwww.amazon.com%2Fdp%2FB0CR1XGSB2%3Fth%3D1%26psc%3D1%26tag%3Dsdcdeals03-20", "Amazon Link")</f>
        <v/>
      </c>
      <c r="G333" s="19" t="inlineStr">
        <is>
          <t>https://www.jcpenney.com/s?searchTerm={search_term}</t>
        </is>
      </c>
      <c r="H333" s="23" t="inlineStr">
        <is>
          <t>196858049312</t>
        </is>
      </c>
      <c r="I333" s="19">
        <f>HYPERLINK("https://www.jcpenney.com/s?searchTerm=196858049312", "Retail Link")</f>
        <v/>
      </c>
      <c r="J333" s="23" t="inlineStr">
        <is>
          <t>n/a</t>
        </is>
      </c>
      <c r="K333" s="21" t="inlineStr">
        <is>
          <t>PUMA Womens Starla 2 Lace Up Sneakers Shoes Casual - Beige - Size 8 M, 37925101</t>
        </is>
      </c>
      <c r="L333" s="24" t="n">
        <v>37.9905</v>
      </c>
      <c r="M333" s="24" t="n">
        <v>39.95</v>
      </c>
      <c r="N333" s="24" t="n"/>
      <c r="O333" s="24">
        <f>V333-M333</f>
        <v/>
      </c>
      <c r="P333" s="25">
        <f>N333/L333</f>
        <v/>
      </c>
      <c r="Q333" s="23" t="n">
        <v>1685486</v>
      </c>
      <c r="R333" s="23" t="n"/>
      <c r="S333" s="26" t="n"/>
      <c r="T333" s="24" t="n">
        <v>39.95</v>
      </c>
      <c r="U333" s="24" t="n">
        <v>47.47</v>
      </c>
      <c r="V333" s="24" t="n">
        <v>48.75</v>
      </c>
      <c r="W333" s="26" t="inlineStr">
        <is>
          <t>New!PUMA STARLA</t>
        </is>
      </c>
      <c r="X333" s="23" t="n">
        <v>1</v>
      </c>
      <c r="Y333" s="18">
        <f>AC333-AB333</f>
        <v/>
      </c>
      <c r="Z333" s="27" t="n">
        <v>4</v>
      </c>
      <c r="AA333" s="27" t="n">
        <v>11</v>
      </c>
      <c r="AB333" s="27" t="n">
        <v>0</v>
      </c>
      <c r="AC333" s="27" t="n"/>
      <c r="AD333" s="1" t="inlineStr">
        <is>
          <t>37925101</t>
        </is>
      </c>
      <c r="AE333" s="1" t="inlineStr">
        <is>
          <t>Alpine Snow-puma White-rose Gold-gum</t>
        </is>
      </c>
      <c r="AF333" s="4" t="inlineStr"/>
      <c r="AG333" s="4" t="inlineStr"/>
    </row>
    <row r="334" ht="47.25" customHeight="1">
      <c r="A334" s="18" t="inlineStr">
        <is>
          <t>196858049329</t>
        </is>
      </c>
      <c r="B334" s="19" t="inlineStr">
        <is>
          <t>https://www.amazon.com/dp/</t>
        </is>
      </c>
      <c r="C334" s="20" t="inlineStr">
        <is>
          <t>B0CR1YDLDR</t>
        </is>
      </c>
      <c r="D334" s="44" t="n"/>
      <c r="E334" s="23" t="inlineStr">
        <is>
          <t>?th=1&amp;psc=1&amp;tag=sdcdeals03-20</t>
        </is>
      </c>
      <c r="F334" s="19">
        <f>HYPERLINK("https://redirect.sdcdeals.com/redirect?destination=https%3A%2F%2Fwww.amazon.com%2Fdp%2FB0CR1YDLDR%3Fth%3D1%26psc%3D1%26tag%3Dsdcdeals03-20", "Amazon Link")</f>
        <v/>
      </c>
      <c r="G334" s="19" t="inlineStr">
        <is>
          <t>https://www.jcpenney.com/s?searchTerm={search_term}</t>
        </is>
      </c>
      <c r="H334" s="23" t="inlineStr">
        <is>
          <t>196858049329</t>
        </is>
      </c>
      <c r="I334" s="19">
        <f>HYPERLINK("https://www.jcpenney.com/s?searchTerm=196858049329", "Retail Link")</f>
        <v/>
      </c>
      <c r="J334" s="23" t="inlineStr">
        <is>
          <t>n/a</t>
        </is>
      </c>
      <c r="K334" s="21" t="inlineStr">
        <is>
          <t>PUMA Womens Starla 2 Lace Up Sneakers Shoes Casual - Beige - Size 8.5 M, 37925101</t>
        </is>
      </c>
      <c r="L334" s="24" t="n">
        <v>37.9905</v>
      </c>
      <c r="M334" s="24" t="n">
        <v>39.95</v>
      </c>
      <c r="N334" s="24" t="n"/>
      <c r="O334" s="24">
        <f>V334-M334</f>
        <v/>
      </c>
      <c r="P334" s="25">
        <f>N334/L334</f>
        <v/>
      </c>
      <c r="Q334" s="23" t="n">
        <v>1685486</v>
      </c>
      <c r="R334" s="23" t="n"/>
      <c r="S334" s="26" t="n"/>
      <c r="T334" s="24" t="n">
        <v>39.95</v>
      </c>
      <c r="U334" s="24" t="n">
        <v>47.5</v>
      </c>
      <c r="V334" s="24" t="n">
        <v>48.28</v>
      </c>
      <c r="W334" s="26" t="inlineStr">
        <is>
          <t>New!PUMA STARLA</t>
        </is>
      </c>
      <c r="X334" s="23" t="n">
        <v>1</v>
      </c>
      <c r="Y334" s="18">
        <f>AC334-AB334</f>
        <v/>
      </c>
      <c r="Z334" s="27" t="n">
        <v>4</v>
      </c>
      <c r="AA334" s="27" t="n">
        <v>10</v>
      </c>
      <c r="AB334" s="27" t="n">
        <v>0</v>
      </c>
      <c r="AC334" s="27" t="n"/>
      <c r="AD334" s="1" t="inlineStr">
        <is>
          <t>37925101</t>
        </is>
      </c>
      <c r="AE334" s="1" t="inlineStr">
        <is>
          <t>Alpine Snow-puma White-rose Gold-gum</t>
        </is>
      </c>
      <c r="AF334" s="4" t="inlineStr"/>
      <c r="AG334" s="4" t="inlineStr"/>
    </row>
    <row r="335" ht="47.25" customHeight="1">
      <c r="A335" s="18" t="inlineStr">
        <is>
          <t>196858049336</t>
        </is>
      </c>
      <c r="B335" s="19" t="inlineStr">
        <is>
          <t>https://www.amazon.com/dp/</t>
        </is>
      </c>
      <c r="C335" s="20" t="inlineStr">
        <is>
          <t>B0CT9VZB54</t>
        </is>
      </c>
      <c r="D335" s="44" t="n"/>
      <c r="E335" s="23" t="inlineStr">
        <is>
          <t>?th=1&amp;psc=1&amp;tag=sdcdeals03-20</t>
        </is>
      </c>
      <c r="F335" s="19">
        <f>HYPERLINK("https://redirect.sdcdeals.com/redirect?destination=https%3A%2F%2Fwww.amazon.com%2Fdp%2FB0CT9VZB54%3Fth%3D1%26psc%3D1%26tag%3Dsdcdeals03-20", "Amazon Link")</f>
        <v/>
      </c>
      <c r="G335" s="19" t="inlineStr">
        <is>
          <t>https://www.jcpenney.com/s?searchTerm={search_term}</t>
        </is>
      </c>
      <c r="H335" s="23" t="inlineStr">
        <is>
          <t>196858049336</t>
        </is>
      </c>
      <c r="I335" s="19">
        <f>HYPERLINK("https://www.jcpenney.com/s?searchTerm=196858049336", "Retail Link")</f>
        <v/>
      </c>
      <c r="J335" s="23" t="inlineStr">
        <is>
          <t>n/a</t>
        </is>
      </c>
      <c r="K335" s="21" t="inlineStr">
        <is>
          <t>PUMA Womens Starla 2 Lace Up Sneakers Shoes Casual - Beige - Size 9 M, 37925101</t>
        </is>
      </c>
      <c r="L335" s="24" t="n">
        <v>37.9905</v>
      </c>
      <c r="M335" s="24" t="n">
        <v>39.95</v>
      </c>
      <c r="N335" s="24" t="n"/>
      <c r="O335" s="24">
        <f>V335-M335</f>
        <v/>
      </c>
      <c r="P335" s="25">
        <f>N335/L335</f>
        <v/>
      </c>
      <c r="Q335" s="23" t="n">
        <v>1685486</v>
      </c>
      <c r="R335" s="23" t="n"/>
      <c r="S335" s="26" t="n"/>
      <c r="T335" s="24" t="n">
        <v>39.95</v>
      </c>
      <c r="U335" s="24" t="n">
        <v>47.51</v>
      </c>
      <c r="V335" s="24" t="n">
        <v>48.76</v>
      </c>
      <c r="W335" s="26" t="inlineStr">
        <is>
          <t>New!PUMA STARLA</t>
        </is>
      </c>
      <c r="X335" s="23" t="n">
        <v>1</v>
      </c>
      <c r="Y335" s="18">
        <f>AC335-AB335</f>
        <v/>
      </c>
      <c r="Z335" s="27" t="n">
        <v>4</v>
      </c>
      <c r="AA335" s="27" t="n">
        <v>10</v>
      </c>
      <c r="AB335" s="27" t="n">
        <v>0</v>
      </c>
      <c r="AC335" s="27" t="n"/>
      <c r="AD335" s="1" t="inlineStr">
        <is>
          <t>37925101</t>
        </is>
      </c>
      <c r="AE335" s="1" t="inlineStr">
        <is>
          <t>Alpine Snow-puma White-rose Gold-gum</t>
        </is>
      </c>
      <c r="AF335" s="4" t="inlineStr"/>
      <c r="AG335" s="4" t="inlineStr"/>
    </row>
    <row r="336" ht="47.25" customHeight="1">
      <c r="A336" s="18" t="inlineStr">
        <is>
          <t>196858049343</t>
        </is>
      </c>
      <c r="B336" s="19" t="inlineStr">
        <is>
          <t>https://www.amazon.com/dp/</t>
        </is>
      </c>
      <c r="C336" s="20" t="inlineStr">
        <is>
          <t>B0CSDYVHTZ</t>
        </is>
      </c>
      <c r="D336" s="44" t="n"/>
      <c r="E336" s="23" t="inlineStr">
        <is>
          <t>?th=1&amp;psc=1&amp;tag=sdcdeals03-20</t>
        </is>
      </c>
      <c r="F336" s="19">
        <f>HYPERLINK("https://redirect.sdcdeals.com/redirect?destination=https%3A%2F%2Fwww.amazon.com%2Fdp%2FB0CSDYVHTZ%3Fth%3D1%26psc%3D1%26tag%3Dsdcdeals03-20", "Amazon Link")</f>
        <v/>
      </c>
      <c r="G336" s="19" t="inlineStr">
        <is>
          <t>https://www.jcpenney.com/s?searchTerm={search_term}</t>
        </is>
      </c>
      <c r="H336" s="23" t="inlineStr">
        <is>
          <t>196858049343</t>
        </is>
      </c>
      <c r="I336" s="19">
        <f>HYPERLINK("https://www.jcpenney.com/s?searchTerm=196858049343", "Retail Link")</f>
        <v/>
      </c>
      <c r="J336" s="23" t="inlineStr">
        <is>
          <t>n/a</t>
        </is>
      </c>
      <c r="K336" s="21" t="inlineStr">
        <is>
          <t>PUMA Womens Starla 2 Lace Up Sneakers Shoes Casual - Beige - Size 9.5 M</t>
        </is>
      </c>
      <c r="L336" s="24" t="n">
        <v>37.9905</v>
      </c>
      <c r="M336" s="24" t="n">
        <v>39.95</v>
      </c>
      <c r="N336" s="24" t="n"/>
      <c r="O336" s="24">
        <f>V336-M336</f>
        <v/>
      </c>
      <c r="P336" s="25">
        <f>N336/L336</f>
        <v/>
      </c>
      <c r="Q336" s="23" t="n">
        <v>1685486</v>
      </c>
      <c r="R336" s="23" t="n"/>
      <c r="S336" s="26" t="n"/>
      <c r="T336" s="24" t="n">
        <v>39.95</v>
      </c>
      <c r="U336" s="24" t="n">
        <v>47.53</v>
      </c>
      <c r="V336" s="24" t="n">
        <v>47.68</v>
      </c>
      <c r="W336" s="26" t="inlineStr">
        <is>
          <t>New!PUMA STARLA</t>
        </is>
      </c>
      <c r="X336" s="23" t="n">
        <v>1</v>
      </c>
      <c r="Y336" s="18">
        <f>AC336-AB336</f>
        <v/>
      </c>
      <c r="Z336" s="27" t="n">
        <v>4</v>
      </c>
      <c r="AA336" s="27" t="n">
        <v>10</v>
      </c>
      <c r="AB336" s="27" t="n">
        <v>0</v>
      </c>
      <c r="AC336" s="27" t="n"/>
      <c r="AD336" s="1" t="inlineStr">
        <is>
          <t>37925101</t>
        </is>
      </c>
      <c r="AE336" s="1" t="inlineStr">
        <is>
          <t>Alpine Snow-puma White-rose Gold-gum</t>
        </is>
      </c>
      <c r="AF336" s="4" t="inlineStr"/>
      <c r="AG336" s="4" t="inlineStr"/>
    </row>
    <row r="337" ht="47.25" customHeight="1">
      <c r="A337" s="18" t="inlineStr">
        <is>
          <t>196858049350</t>
        </is>
      </c>
      <c r="B337" s="19" t="inlineStr">
        <is>
          <t>https://www.amazon.com/dp/</t>
        </is>
      </c>
      <c r="C337" s="20" t="inlineStr">
        <is>
          <t>B0CR1XNGXW</t>
        </is>
      </c>
      <c r="D337" s="44" t="n"/>
      <c r="E337" s="23" t="inlineStr">
        <is>
          <t>?th=1&amp;psc=1&amp;tag=sdcdeals03-20</t>
        </is>
      </c>
      <c r="F337" s="19">
        <f>HYPERLINK("https://redirect.sdcdeals.com/redirect?destination=https%3A%2F%2Fwww.amazon.com%2Fdp%2FB0CR1XNGXW%3Fth%3D1%26psc%3D1%26tag%3Dsdcdeals03-20", "Amazon Link")</f>
        <v/>
      </c>
      <c r="G337" s="19" t="inlineStr">
        <is>
          <t>https://www.jcpenney.com/s?searchTerm={search_term}</t>
        </is>
      </c>
      <c r="H337" s="23" t="inlineStr">
        <is>
          <t>196858049350</t>
        </is>
      </c>
      <c r="I337" s="19">
        <f>HYPERLINK("https://www.jcpenney.com/s?searchTerm=196858049350", "Retail Link")</f>
        <v/>
      </c>
      <c r="J337" s="23" t="inlineStr">
        <is>
          <t>n/a</t>
        </is>
      </c>
      <c r="K337" s="21" t="inlineStr">
        <is>
          <t>PUMA Womens Starla 2 Lace Up Sneakers Shoes Casual - Beige - Size 10 M, 37925101</t>
        </is>
      </c>
      <c r="L337" s="24" t="n">
        <v>37.9905</v>
      </c>
      <c r="M337" s="24" t="n">
        <v>39.95</v>
      </c>
      <c r="N337" s="24" t="n"/>
      <c r="O337" s="24">
        <f>V337-M337</f>
        <v/>
      </c>
      <c r="P337" s="25">
        <f>N337/L337</f>
        <v/>
      </c>
      <c r="Q337" s="23" t="n">
        <v>1685486</v>
      </c>
      <c r="R337" s="23" t="n"/>
      <c r="S337" s="26" t="n"/>
      <c r="T337" s="24" t="n">
        <v>39.95</v>
      </c>
      <c r="U337" s="24" t="n">
        <v>47.39</v>
      </c>
      <c r="V337" s="24" t="n">
        <v>48.35</v>
      </c>
      <c r="W337" s="26" t="inlineStr">
        <is>
          <t>New!PUMA STARLA</t>
        </is>
      </c>
      <c r="X337" s="23" t="n">
        <v>2</v>
      </c>
      <c r="Y337" s="18">
        <f>AC337-AB337</f>
        <v/>
      </c>
      <c r="Z337" s="27" t="n">
        <v>3</v>
      </c>
      <c r="AA337" s="27" t="n">
        <v>9</v>
      </c>
      <c r="AB337" s="27" t="n">
        <v>0</v>
      </c>
      <c r="AC337" s="27" t="n"/>
      <c r="AD337" s="1" t="inlineStr">
        <is>
          <t>37925101</t>
        </is>
      </c>
      <c r="AE337" s="1" t="inlineStr">
        <is>
          <t>Alpine Snow-puma White-rose Gold-gum</t>
        </is>
      </c>
      <c r="AF337" s="4" t="inlineStr"/>
      <c r="AG337" s="4" t="inlineStr"/>
    </row>
    <row r="338" ht="47.25" customHeight="1">
      <c r="A338" s="18" t="inlineStr">
        <is>
          <t>196858049374</t>
        </is>
      </c>
      <c r="B338" s="19" t="inlineStr">
        <is>
          <t>https://www.amazon.com/dp/</t>
        </is>
      </c>
      <c r="C338" s="20" t="inlineStr">
        <is>
          <t>B0CR1X453N</t>
        </is>
      </c>
      <c r="D338" s="44" t="n"/>
      <c r="E338" s="23" t="inlineStr">
        <is>
          <t>?th=1&amp;psc=1&amp;tag=sdcdeals03-20</t>
        </is>
      </c>
      <c r="F338" s="19">
        <f>HYPERLINK("https://redirect.sdcdeals.com/redirect?destination=https%3A%2F%2Fwww.amazon.com%2Fdp%2FB0CR1X453N%3Fth%3D1%26psc%3D1%26tag%3Dsdcdeals03-20", "Amazon Link")</f>
        <v/>
      </c>
      <c r="G338" s="19" t="inlineStr">
        <is>
          <t>https://www.jcpenney.com/s?searchTerm={search_term}</t>
        </is>
      </c>
      <c r="H338" s="23" t="inlineStr">
        <is>
          <t>196858049374</t>
        </is>
      </c>
      <c r="I338" s="19">
        <f>HYPERLINK("https://www.jcpenney.com/s?searchTerm=196858049374", "Retail Link")</f>
        <v/>
      </c>
      <c r="J338" s="23" t="inlineStr">
        <is>
          <t>n/a</t>
        </is>
      </c>
      <c r="K338" s="21" t="inlineStr">
        <is>
          <t>PUMA Womens Starla 2 Lace Up Sneakers Shoes Casual - Beige - Size 11 M</t>
        </is>
      </c>
      <c r="L338" s="24" t="n">
        <v>37.9905</v>
      </c>
      <c r="M338" s="24" t="n">
        <v>39.95</v>
      </c>
      <c r="N338" s="24" t="n"/>
      <c r="O338" s="24">
        <f>V338-M338</f>
        <v/>
      </c>
      <c r="P338" s="25">
        <f>N338/L338</f>
        <v/>
      </c>
      <c r="Q338" s="23" t="n">
        <v>1685486</v>
      </c>
      <c r="R338" s="23" t="n"/>
      <c r="S338" s="26" t="n"/>
      <c r="T338" s="24" t="n">
        <v>39.95</v>
      </c>
      <c r="U338" s="24" t="n">
        <v>47.59</v>
      </c>
      <c r="V338" s="24" t="n">
        <v>48.8</v>
      </c>
      <c r="W338" s="26" t="inlineStr">
        <is>
          <t>New!PUMA STARLA</t>
        </is>
      </c>
      <c r="X338" s="23" t="n">
        <v>1</v>
      </c>
      <c r="Y338" s="18">
        <f>AC338-AB338</f>
        <v/>
      </c>
      <c r="Z338" s="27" t="n">
        <v>4</v>
      </c>
      <c r="AA338" s="27" t="n">
        <v>10</v>
      </c>
      <c r="AB338" s="27" t="n">
        <v>0</v>
      </c>
      <c r="AC338" s="27" t="n"/>
      <c r="AD338" s="1" t="inlineStr">
        <is>
          <t>37925101</t>
        </is>
      </c>
      <c r="AE338" s="1" t="inlineStr">
        <is>
          <t>Alpine Snow-puma White-rose Gold-gum</t>
        </is>
      </c>
      <c r="AF338" s="4" t="inlineStr"/>
      <c r="AG338" s="4" t="inlineStr"/>
    </row>
    <row r="339" ht="47.25" customHeight="1">
      <c r="A339" s="18" t="inlineStr">
        <is>
          <t>196474626331</t>
        </is>
      </c>
      <c r="B339" s="19" t="inlineStr">
        <is>
          <t>https://www.amazon.com/dp/</t>
        </is>
      </c>
      <c r="C339" s="20" t="inlineStr">
        <is>
          <t>B0C2JYHNCQ</t>
        </is>
      </c>
      <c r="D339" s="44" t="n"/>
      <c r="E339" s="23" t="inlineStr">
        <is>
          <t>?th=1&amp;psc=1&amp;tag=sdcdeals03-20</t>
        </is>
      </c>
      <c r="F339" s="19">
        <f>HYPERLINK("https://redirect.sdcdeals.com/redirect?destination=https%3A%2F%2Fwww.amazon.com%2Fdp%2FB0C2JYHNCQ%3Fth%3D1%26psc%3D1%26tag%3Dsdcdeals03-20", "Amazon Link")</f>
        <v/>
      </c>
      <c r="G339" s="19" t="inlineStr">
        <is>
          <t>https://www.jcpenney.com/s?searchTerm={search_term}</t>
        </is>
      </c>
      <c r="H339" s="23" t="inlineStr">
        <is>
          <t>196474626331</t>
        </is>
      </c>
      <c r="I339" s="19">
        <f>HYPERLINK("https://www.jcpenney.com/s?searchTerm=196474626331", "Retail Link")</f>
        <v/>
      </c>
      <c r="J339" s="23" t="inlineStr">
        <is>
          <t>n/a</t>
        </is>
      </c>
      <c r="K339" s="21" t="inlineStr">
        <is>
          <t>adidas Women's VL Court 3.0 Sneaker</t>
        </is>
      </c>
      <c r="L339" s="24" t="n"/>
      <c r="M339" s="24" t="n">
        <v>74.95</v>
      </c>
      <c r="N339" s="24" t="n"/>
      <c r="O339" s="24">
        <f>V339-M339</f>
        <v/>
      </c>
      <c r="P339" s="25">
        <f>N339/L339</f>
        <v/>
      </c>
      <c r="Q339" s="23" t="n">
        <v>815</v>
      </c>
      <c r="R339" s="23" t="n">
        <v>100</v>
      </c>
      <c r="S339" s="26" t="n">
        <v>1.322772</v>
      </c>
      <c r="T339" s="24" t="n">
        <v>74.95</v>
      </c>
      <c r="U339" s="24" t="n">
        <v>70.84999999999999</v>
      </c>
      <c r="V339" s="24" t="n">
        <v>70.09999999999999</v>
      </c>
      <c r="W339" s="26" t="inlineStr">
        <is>
          <t>adidas Vl Court 3.0 Womens Sneakers</t>
        </is>
      </c>
      <c r="X339" s="23" t="n">
        <v>4</v>
      </c>
      <c r="Y339" s="18">
        <f>AC339-AB339</f>
        <v/>
      </c>
      <c r="Z339" s="27" t="n">
        <v>97</v>
      </c>
      <c r="AA339" s="27" t="n">
        <v>258</v>
      </c>
      <c r="AB339" s="27" t="n">
        <v>15</v>
      </c>
      <c r="AC339" s="27" t="n">
        <v>1570</v>
      </c>
      <c r="AD339" s="1" t="inlineStr">
        <is>
          <t>NLF97</t>
        </is>
      </c>
      <c r="AE339" s="1" t="inlineStr">
        <is>
          <t>White/Black/Grey</t>
        </is>
      </c>
      <c r="AF339" s="4" t="n">
        <v>11.24</v>
      </c>
      <c r="AG339" s="4" t="n">
        <v>7.03</v>
      </c>
    </row>
    <row r="340" ht="47.25" customHeight="1">
      <c r="A340" s="18" t="inlineStr">
        <is>
          <t>196474626386</t>
        </is>
      </c>
      <c r="B340" s="19" t="inlineStr">
        <is>
          <t>https://www.amazon.com/dp/</t>
        </is>
      </c>
      <c r="C340" s="20" t="inlineStr">
        <is>
          <t>B0C2JYNF9T</t>
        </is>
      </c>
      <c r="D340" s="44" t="n"/>
      <c r="E340" s="23" t="inlineStr">
        <is>
          <t>?th=1&amp;psc=1&amp;tag=sdcdeals03-20</t>
        </is>
      </c>
      <c r="F340" s="19">
        <f>HYPERLINK("https://redirect.sdcdeals.com/redirect?destination=https%3A%2F%2Fwww.amazon.com%2Fdp%2FB0C2JYNF9T%3Fth%3D1%26psc%3D1%26tag%3Dsdcdeals03-20", "Amazon Link")</f>
        <v/>
      </c>
      <c r="G340" s="19" t="inlineStr">
        <is>
          <t>https://www.jcpenney.com/s?searchTerm={search_term}</t>
        </is>
      </c>
      <c r="H340" s="23" t="inlineStr">
        <is>
          <t>196474626386</t>
        </is>
      </c>
      <c r="I340" s="19">
        <f>HYPERLINK("https://www.jcpenney.com/s?searchTerm=196474626386", "Retail Link")</f>
        <v/>
      </c>
      <c r="J340" s="23" t="inlineStr">
        <is>
          <t>n/a</t>
        </is>
      </c>
      <c r="K340" s="21" t="inlineStr">
        <is>
          <t>adidas Women's VL Court 3.0 Sneaker</t>
        </is>
      </c>
      <c r="L340" s="24" t="n"/>
      <c r="M340" s="24" t="n">
        <v>74.95999999999999</v>
      </c>
      <c r="N340" s="24" t="n"/>
      <c r="O340" s="24">
        <f>V340-M340</f>
        <v/>
      </c>
      <c r="P340" s="25">
        <f>N340/L340</f>
        <v/>
      </c>
      <c r="Q340" s="23" t="n">
        <v>815</v>
      </c>
      <c r="R340" s="23" t="n">
        <v>200</v>
      </c>
      <c r="S340" s="26" t="n">
        <v>1.80999302</v>
      </c>
      <c r="T340" s="24" t="n">
        <v>74.95</v>
      </c>
      <c r="U340" s="24" t="n">
        <v>72.12</v>
      </c>
      <c r="V340" s="24" t="n">
        <v>71.70999999999999</v>
      </c>
      <c r="W340" s="26" t="inlineStr">
        <is>
          <t>adidas Vl Court 3.0 Womens Sneakers</t>
        </is>
      </c>
      <c r="X340" s="23" t="n">
        <v>4</v>
      </c>
      <c r="Y340" s="18">
        <f>AC340-AB340</f>
        <v/>
      </c>
      <c r="Z340" s="27" t="n">
        <v>66</v>
      </c>
      <c r="AA340" s="27" t="n">
        <v>184</v>
      </c>
      <c r="AB340" s="27" t="n">
        <v>22</v>
      </c>
      <c r="AC340" s="27" t="n">
        <v>1569</v>
      </c>
      <c r="AD340" s="1" t="inlineStr">
        <is>
          <t>NLF97</t>
        </is>
      </c>
      <c r="AE340" s="1" t="inlineStr">
        <is>
          <t>White/Black/Grey</t>
        </is>
      </c>
      <c r="AF340" s="4" t="n">
        <v>11.24</v>
      </c>
      <c r="AG340" s="4" t="n">
        <v>6.61</v>
      </c>
    </row>
    <row r="341" ht="47.25" customHeight="1">
      <c r="A341" s="18" t="inlineStr">
        <is>
          <t>196474626348</t>
        </is>
      </c>
      <c r="B341" s="19" t="inlineStr">
        <is>
          <t>https://www.amazon.com/dp/</t>
        </is>
      </c>
      <c r="C341" s="20" t="inlineStr">
        <is>
          <t>B0C2JZ4K9V</t>
        </is>
      </c>
      <c r="D341" s="44" t="n"/>
      <c r="E341" s="23" t="inlineStr">
        <is>
          <t>?th=1&amp;psc=1&amp;tag=sdcdeals03-20</t>
        </is>
      </c>
      <c r="F341" s="19">
        <f>HYPERLINK("https://redirect.sdcdeals.com/redirect?destination=https%3A%2F%2Fwww.amazon.com%2Fdp%2FB0C2JZ4K9V%3Fth%3D1%26psc%3D1%26tag%3Dsdcdeals03-20", "Amazon Link")</f>
        <v/>
      </c>
      <c r="G341" s="19" t="inlineStr">
        <is>
          <t>https://www.jcpenney.com/s?searchTerm={search_term}</t>
        </is>
      </c>
      <c r="H341" s="23" t="inlineStr">
        <is>
          <t>196474626348</t>
        </is>
      </c>
      <c r="I341" s="19">
        <f>HYPERLINK("https://www.jcpenney.com/s?searchTerm=196474626348", "Retail Link")</f>
        <v/>
      </c>
      <c r="J341" s="23" t="inlineStr">
        <is>
          <t>n/a</t>
        </is>
      </c>
      <c r="K341" s="21" t="inlineStr">
        <is>
          <t>adidas Women's VL Court 3.0 Sneaker</t>
        </is>
      </c>
      <c r="L341" s="24" t="n"/>
      <c r="M341" s="24" t="n">
        <v>74.95</v>
      </c>
      <c r="N341" s="24" t="n"/>
      <c r="O341" s="24">
        <f>V341-M341</f>
        <v/>
      </c>
      <c r="P341" s="25">
        <f>N341/L341</f>
        <v/>
      </c>
      <c r="Q341" s="23" t="n">
        <v>815</v>
      </c>
      <c r="R341" s="23" t="n">
        <v>600</v>
      </c>
      <c r="S341" s="26" t="n">
        <v>1.45945844</v>
      </c>
      <c r="T341" s="24" t="n">
        <v>74.94</v>
      </c>
      <c r="U341" s="24" t="n">
        <v>71.84</v>
      </c>
      <c r="V341" s="24" t="n">
        <v>72.25</v>
      </c>
      <c r="W341" s="26" t="inlineStr">
        <is>
          <t>adidas Vl Court 3.0 Womens Sneakers</t>
        </is>
      </c>
      <c r="X341" s="23" t="n">
        <v>11</v>
      </c>
      <c r="Y341" s="18">
        <f>AC341-AB341</f>
        <v/>
      </c>
      <c r="Z341" s="27" t="n">
        <v>92</v>
      </c>
      <c r="AA341" s="27" t="n">
        <v>218</v>
      </c>
      <c r="AB341" s="27" t="n">
        <v>33</v>
      </c>
      <c r="AC341" s="27" t="n">
        <v>1569</v>
      </c>
      <c r="AD341" s="1" t="inlineStr">
        <is>
          <t>NLF97</t>
        </is>
      </c>
      <c r="AE341" s="1" t="inlineStr">
        <is>
          <t>White/Black/Grey</t>
        </is>
      </c>
      <c r="AF341" s="4" t="n">
        <v>11.24</v>
      </c>
      <c r="AG341" s="4" t="n">
        <v>6.61</v>
      </c>
    </row>
    <row r="342" ht="47.25" customHeight="1">
      <c r="A342" s="18" t="inlineStr">
        <is>
          <t>196474626362</t>
        </is>
      </c>
      <c r="B342" s="19" t="inlineStr">
        <is>
          <t>https://www.amazon.com/dp/</t>
        </is>
      </c>
      <c r="C342" s="20" t="inlineStr">
        <is>
          <t>B0C2JZD9S5</t>
        </is>
      </c>
      <c r="D342" s="44" t="n"/>
      <c r="E342" s="23" t="inlineStr">
        <is>
          <t>?th=1&amp;psc=1&amp;tag=sdcdeals03-20</t>
        </is>
      </c>
      <c r="F342" s="19">
        <f>HYPERLINK("https://redirect.sdcdeals.com/redirect?destination=https%3A%2F%2Fwww.amazon.com%2Fdp%2FB0C2JZD9S5%3Fth%3D1%26psc%3D1%26tag%3Dsdcdeals03-20", "Amazon Link")</f>
        <v/>
      </c>
      <c r="G342" s="19" t="inlineStr">
        <is>
          <t>https://www.jcpenney.com/s?searchTerm={search_term}</t>
        </is>
      </c>
      <c r="H342" s="23" t="inlineStr">
        <is>
          <t>196474626362</t>
        </is>
      </c>
      <c r="I342" s="19">
        <f>HYPERLINK("https://www.jcpenney.com/s?searchTerm=196474626362", "Retail Link")</f>
        <v/>
      </c>
      <c r="J342" s="23" t="inlineStr">
        <is>
          <t>n/a</t>
        </is>
      </c>
      <c r="K342" s="21" t="inlineStr">
        <is>
          <t>adidas Women's VL Court 3.0 Sneaker</t>
        </is>
      </c>
      <c r="L342" s="24" t="n"/>
      <c r="M342" s="24" t="n">
        <v>74.95999999999999</v>
      </c>
      <c r="N342" s="24" t="n"/>
      <c r="O342" s="24">
        <f>V342-M342</f>
        <v/>
      </c>
      <c r="P342" s="25">
        <f>N342/L342</f>
        <v/>
      </c>
      <c r="Q342" s="23" t="n">
        <v>755</v>
      </c>
      <c r="R342" s="23" t="n">
        <v>1000</v>
      </c>
      <c r="S342" s="26" t="n">
        <v>1.4109568</v>
      </c>
      <c r="T342" s="24" t="n">
        <v>74.39</v>
      </c>
      <c r="U342" s="24" t="n">
        <v>71.69</v>
      </c>
      <c r="V342" s="24" t="n">
        <v>72.45999999999999</v>
      </c>
      <c r="W342" s="26" t="inlineStr">
        <is>
          <t>adidas Vl Court 3.0 Womens Sneakers</t>
        </is>
      </c>
      <c r="X342" s="23" t="n">
        <v>9</v>
      </c>
      <c r="Y342" s="18">
        <f>AC342-AB342</f>
        <v/>
      </c>
      <c r="Z342" s="27" t="n">
        <v>116</v>
      </c>
      <c r="AA342" s="27" t="n">
        <v>258</v>
      </c>
      <c r="AB342" s="27" t="n">
        <v>55</v>
      </c>
      <c r="AC342" s="27" t="n">
        <v>1569</v>
      </c>
      <c r="AD342" s="1" t="inlineStr">
        <is>
          <t>NLF97</t>
        </is>
      </c>
      <c r="AE342" s="1" t="inlineStr">
        <is>
          <t>White/Black/Grey</t>
        </is>
      </c>
      <c r="AF342" s="4" t="n">
        <v>11.24</v>
      </c>
      <c r="AG342" s="4" t="n">
        <v>6.61</v>
      </c>
    </row>
    <row r="343" ht="47.25" customHeight="1">
      <c r="A343" s="18" t="inlineStr">
        <is>
          <t>196474626423</t>
        </is>
      </c>
      <c r="B343" s="19" t="inlineStr">
        <is>
          <t>https://www.amazon.com/dp/</t>
        </is>
      </c>
      <c r="C343" s="20" t="inlineStr">
        <is>
          <t>B0C2JY169J</t>
        </is>
      </c>
      <c r="D343" s="44" t="n"/>
      <c r="E343" s="23" t="inlineStr">
        <is>
          <t>?th=1&amp;psc=1&amp;tag=sdcdeals03-20</t>
        </is>
      </c>
      <c r="F343" s="19">
        <f>HYPERLINK("https://redirect.sdcdeals.com/redirect?destination=https%3A%2F%2Fwww.amazon.com%2Fdp%2FB0C2JY169J%3Fth%3D1%26psc%3D1%26tag%3Dsdcdeals03-20", "Amazon Link")</f>
        <v/>
      </c>
      <c r="G343" s="19" t="inlineStr">
        <is>
          <t>https://www.jcpenney.com/s?searchTerm={search_term}</t>
        </is>
      </c>
      <c r="H343" s="23" t="inlineStr">
        <is>
          <t>196474626423</t>
        </is>
      </c>
      <c r="I343" s="19">
        <f>HYPERLINK("https://www.jcpenney.com/s?searchTerm=196474626423", "Retail Link")</f>
        <v/>
      </c>
      <c r="J343" s="23" t="inlineStr">
        <is>
          <t>n/a</t>
        </is>
      </c>
      <c r="K343" s="21" t="inlineStr">
        <is>
          <t>adidas Women's VL Court 3.0 Sneaker</t>
        </is>
      </c>
      <c r="L343" s="24" t="n"/>
      <c r="M343" s="24" t="n">
        <v>74.95999999999999</v>
      </c>
      <c r="N343" s="24" t="n"/>
      <c r="O343" s="24">
        <f>V343-M343</f>
        <v/>
      </c>
      <c r="P343" s="25">
        <f>N343/L343</f>
        <v/>
      </c>
      <c r="Q343" s="23" t="n">
        <v>815</v>
      </c>
      <c r="R343" s="23" t="n">
        <v>500</v>
      </c>
      <c r="S343" s="26" t="n">
        <v>1.58953102</v>
      </c>
      <c r="T343" s="24" t="n">
        <v>74.95999999999999</v>
      </c>
      <c r="U343" s="24" t="n">
        <v>73.59999999999999</v>
      </c>
      <c r="V343" s="24" t="n">
        <v>73.84</v>
      </c>
      <c r="W343" s="26" t="inlineStr">
        <is>
          <t>adidas Vl Court 3.0 Womens Sneakers</t>
        </is>
      </c>
      <c r="X343" s="23" t="n">
        <v>5</v>
      </c>
      <c r="Y343" s="18">
        <f>AC343-AB343</f>
        <v/>
      </c>
      <c r="Z343" s="27" t="n">
        <v>89</v>
      </c>
      <c r="AA343" s="27" t="n">
        <v>193</v>
      </c>
      <c r="AB343" s="27" t="n">
        <v>39</v>
      </c>
      <c r="AC343" s="27" t="n">
        <v>1570</v>
      </c>
      <c r="AD343" s="1" t="inlineStr">
        <is>
          <t>NLF97</t>
        </is>
      </c>
      <c r="AE343" s="1" t="inlineStr">
        <is>
          <t>White/Black/Grey</t>
        </is>
      </c>
      <c r="AF343" s="4" t="n">
        <v>11.24</v>
      </c>
      <c r="AG343" s="4" t="n">
        <v>6.61</v>
      </c>
    </row>
    <row r="344" ht="47.25" customHeight="1">
      <c r="A344" s="18" t="inlineStr">
        <is>
          <t>196474626430</t>
        </is>
      </c>
      <c r="B344" s="19" t="inlineStr">
        <is>
          <t>https://www.amazon.com/dp/</t>
        </is>
      </c>
      <c r="C344" s="20" t="inlineStr">
        <is>
          <t>B0C2JXSHSK</t>
        </is>
      </c>
      <c r="D344" s="44" t="n"/>
      <c r="E344" s="23" t="inlineStr">
        <is>
          <t>?th=1&amp;psc=1&amp;tag=sdcdeals03-20</t>
        </is>
      </c>
      <c r="F344" s="19">
        <f>HYPERLINK("https://redirect.sdcdeals.com/redirect?destination=https%3A%2F%2Fwww.amazon.com%2Fdp%2FB0C2JXSHSK%3Fth%3D1%26psc%3D1%26tag%3Dsdcdeals03-20", "Amazon Link")</f>
        <v/>
      </c>
      <c r="G344" s="19" t="inlineStr">
        <is>
          <t>https://www.jcpenney.com/s?searchTerm={search_term}</t>
        </is>
      </c>
      <c r="H344" s="23" t="inlineStr">
        <is>
          <t>196474626430</t>
        </is>
      </c>
      <c r="I344" s="19">
        <f>HYPERLINK("https://www.jcpenney.com/s?searchTerm=196474626430", "Retail Link")</f>
        <v/>
      </c>
      <c r="J344" s="23" t="inlineStr">
        <is>
          <t>n/a</t>
        </is>
      </c>
      <c r="K344" s="21" t="inlineStr">
        <is>
          <t>adidas Women's VL Court 3.0 Sneaker</t>
        </is>
      </c>
      <c r="L344" s="24" t="n"/>
      <c r="M344" s="24" t="n">
        <v>74.95999999999999</v>
      </c>
      <c r="N344" s="24" t="n"/>
      <c r="O344" s="24">
        <f>V344-M344</f>
        <v/>
      </c>
      <c r="P344" s="25">
        <f>N344/L344</f>
        <v/>
      </c>
      <c r="Q344" s="23" t="n">
        <v>815</v>
      </c>
      <c r="R344" s="23" t="n">
        <v>1000</v>
      </c>
      <c r="S344" s="26" t="n">
        <v>1.58953102</v>
      </c>
      <c r="T344" s="24" t="n">
        <v>74.95999999999999</v>
      </c>
      <c r="U344" s="24" t="n">
        <v>71.88</v>
      </c>
      <c r="V344" s="24" t="n">
        <v>72.40000000000001</v>
      </c>
      <c r="W344" s="26" t="inlineStr">
        <is>
          <t>adidas Vl Court 3.0 Womens Sneakers</t>
        </is>
      </c>
      <c r="X344" s="23" t="n">
        <v>9</v>
      </c>
      <c r="Y344" s="18">
        <f>AC344-AB344</f>
        <v/>
      </c>
      <c r="Z344" s="27" t="n">
        <v>94</v>
      </c>
      <c r="AA344" s="27" t="n">
        <v>255</v>
      </c>
      <c r="AB344" s="27" t="n">
        <v>51</v>
      </c>
      <c r="AC344" s="27" t="n">
        <v>1569</v>
      </c>
      <c r="AD344" s="1" t="inlineStr">
        <is>
          <t>NLF97</t>
        </is>
      </c>
      <c r="AE344" s="1" t="inlineStr">
        <is>
          <t>White/Black/Grey</t>
        </is>
      </c>
      <c r="AF344" s="4" t="n">
        <v>11.24</v>
      </c>
      <c r="AG344" s="4" t="n">
        <v>7.7</v>
      </c>
    </row>
    <row r="345" ht="47.25" customHeight="1">
      <c r="A345" s="18" t="inlineStr">
        <is>
          <t>196474626416</t>
        </is>
      </c>
      <c r="B345" s="19" t="inlineStr">
        <is>
          <t>https://www.amazon.com/dp/</t>
        </is>
      </c>
      <c r="C345" s="20" t="inlineStr">
        <is>
          <t>B0C2JYLPBW</t>
        </is>
      </c>
      <c r="D345" s="44" t="n"/>
      <c r="E345" s="23" t="inlineStr">
        <is>
          <t>?th=1&amp;psc=1&amp;tag=sdcdeals03-20</t>
        </is>
      </c>
      <c r="F345" s="19">
        <f>HYPERLINK("https://redirect.sdcdeals.com/redirect?destination=https%3A%2F%2Fwww.amazon.com%2Fdp%2FB0C2JYLPBW%3Fth%3D1%26psc%3D1%26tag%3Dsdcdeals03-20", "Amazon Link")</f>
        <v/>
      </c>
      <c r="G345" s="19" t="inlineStr">
        <is>
          <t>https://www.jcpenney.com/s?searchTerm={search_term}</t>
        </is>
      </c>
      <c r="H345" s="23" t="inlineStr">
        <is>
          <t>196474626416</t>
        </is>
      </c>
      <c r="I345" s="19">
        <f>HYPERLINK("https://www.jcpenney.com/s?searchTerm=196474626416", "Retail Link")</f>
        <v/>
      </c>
      <c r="J345" s="23" t="inlineStr">
        <is>
          <t>n/a</t>
        </is>
      </c>
      <c r="K345" s="21" t="inlineStr">
        <is>
          <t>adidas Women's VL Court 3.0 Sneaker</t>
        </is>
      </c>
      <c r="L345" s="24" t="n"/>
      <c r="M345" s="24" t="n">
        <v>74.95999999999999</v>
      </c>
      <c r="N345" s="24" t="n"/>
      <c r="O345" s="24">
        <f>V345-M345</f>
        <v/>
      </c>
      <c r="P345" s="25">
        <f>N345/L345</f>
        <v/>
      </c>
      <c r="Q345" s="23" t="n">
        <v>815</v>
      </c>
      <c r="R345" s="23" t="n">
        <v>1000</v>
      </c>
      <c r="S345" s="26" t="n">
        <v>1.653465</v>
      </c>
      <c r="T345" s="24" t="n">
        <v>74.95</v>
      </c>
      <c r="U345" s="24" t="n">
        <v>72.06</v>
      </c>
      <c r="V345" s="24" t="n">
        <v>72.33</v>
      </c>
      <c r="W345" s="26" t="inlineStr">
        <is>
          <t>adidas Vl Court 3.0 Womens Sneakers</t>
        </is>
      </c>
      <c r="X345" s="23" t="n">
        <v>10</v>
      </c>
      <c r="Y345" s="18">
        <f>AC345-AB345</f>
        <v/>
      </c>
      <c r="Z345" s="27" t="n">
        <v>172</v>
      </c>
      <c r="AA345" s="27" t="n">
        <v>371</v>
      </c>
      <c r="AB345" s="27" t="n">
        <v>49</v>
      </c>
      <c r="AC345" s="27" t="n">
        <v>1569</v>
      </c>
      <c r="AD345" s="1" t="inlineStr">
        <is>
          <t>NLF97</t>
        </is>
      </c>
      <c r="AE345" s="1" t="inlineStr">
        <is>
          <t>White/Black/Grey</t>
        </is>
      </c>
      <c r="AF345" s="4" t="n">
        <v>11.24</v>
      </c>
      <c r="AG345" s="4" t="n">
        <v>7.78</v>
      </c>
    </row>
    <row r="346" ht="47.25" customHeight="1">
      <c r="A346" s="18" t="inlineStr">
        <is>
          <t>196474626409</t>
        </is>
      </c>
      <c r="B346" s="19" t="inlineStr">
        <is>
          <t>https://www.amazon.com/dp/</t>
        </is>
      </c>
      <c r="C346" s="20" t="inlineStr">
        <is>
          <t>B0C2JZMCPC</t>
        </is>
      </c>
      <c r="D346" s="44" t="n"/>
      <c r="E346" s="23" t="inlineStr">
        <is>
          <t>?th=1&amp;psc=1&amp;tag=sdcdeals03-20</t>
        </is>
      </c>
      <c r="F346" s="19">
        <f>HYPERLINK("https://redirect.sdcdeals.com/redirect?destination=https%3A%2F%2Fwww.amazon.com%2Fdp%2FB0C2JZMCPC%3Fth%3D1%26psc%3D1%26tag%3Dsdcdeals03-20", "Amazon Link")</f>
        <v/>
      </c>
      <c r="G346" s="19" t="inlineStr">
        <is>
          <t>https://www.jcpenney.com/s?searchTerm={search_term}</t>
        </is>
      </c>
      <c r="H346" s="23" t="inlineStr">
        <is>
          <t>196474626409</t>
        </is>
      </c>
      <c r="I346" s="19">
        <f>HYPERLINK("https://www.jcpenney.com/s?searchTerm=196474626409", "Retail Link")</f>
        <v/>
      </c>
      <c r="J346" s="23" t="inlineStr">
        <is>
          <t>n/a</t>
        </is>
      </c>
      <c r="K346" s="21" t="inlineStr">
        <is>
          <t>adidas Women's VL Court 3.0 Sneaker</t>
        </is>
      </c>
      <c r="L346" s="24" t="n"/>
      <c r="M346" s="24" t="n">
        <v>74.95999999999999</v>
      </c>
      <c r="N346" s="24" t="n"/>
      <c r="O346" s="24">
        <f>V346-M346</f>
        <v/>
      </c>
      <c r="P346" s="25">
        <f>N346/L346</f>
        <v/>
      </c>
      <c r="Q346" s="23" t="n">
        <v>815</v>
      </c>
      <c r="R346" s="23" t="n">
        <v>1000</v>
      </c>
      <c r="S346" s="26" t="n">
        <v>1.92022402</v>
      </c>
      <c r="T346" s="24" t="n">
        <v>74.94</v>
      </c>
      <c r="U346" s="24" t="n">
        <v>71.41</v>
      </c>
      <c r="V346" s="24" t="n">
        <v>72.34999999999999</v>
      </c>
      <c r="W346" s="26" t="inlineStr">
        <is>
          <t>adidas Vl Court 3.0 Womens Sneakers</t>
        </is>
      </c>
      <c r="X346" s="23" t="n">
        <v>12</v>
      </c>
      <c r="Y346" s="18">
        <f>AC346-AB346</f>
        <v/>
      </c>
      <c r="Z346" s="27" t="n">
        <v>95</v>
      </c>
      <c r="AA346" s="27" t="n">
        <v>220</v>
      </c>
      <c r="AB346" s="27" t="n">
        <v>52</v>
      </c>
      <c r="AC346" s="27" t="n">
        <v>1569</v>
      </c>
      <c r="AD346" s="1" t="inlineStr">
        <is>
          <t>NLF97</t>
        </is>
      </c>
      <c r="AE346" s="1" t="inlineStr">
        <is>
          <t>White/Black/Grey</t>
        </is>
      </c>
      <c r="AF346" s="4" t="n">
        <v>11.24</v>
      </c>
      <c r="AG346" s="4" t="n">
        <v>7.94</v>
      </c>
    </row>
    <row r="347" ht="47.25" customHeight="1">
      <c r="A347" s="18" t="inlineStr">
        <is>
          <t>196474626355</t>
        </is>
      </c>
      <c r="B347" s="19" t="inlineStr">
        <is>
          <t>https://www.amazon.com/dp/</t>
        </is>
      </c>
      <c r="C347" s="20" t="inlineStr">
        <is>
          <t>B0C2JZDNLV</t>
        </is>
      </c>
      <c r="D347" s="44" t="n"/>
      <c r="E347" s="23" t="inlineStr">
        <is>
          <t>?th=1&amp;psc=1&amp;tag=sdcdeals03-20</t>
        </is>
      </c>
      <c r="F347" s="19">
        <f>HYPERLINK("https://redirect.sdcdeals.com/redirect?destination=https%3A%2F%2Fwww.amazon.com%2Fdp%2FB0C2JZDNLV%3Fth%3D1%26psc%3D1%26tag%3Dsdcdeals03-20", "Amazon Link")</f>
        <v/>
      </c>
      <c r="G347" s="19" t="inlineStr">
        <is>
          <t>https://www.jcpenney.com/s?searchTerm={search_term}</t>
        </is>
      </c>
      <c r="H347" s="23" t="inlineStr">
        <is>
          <t>196474626355</t>
        </is>
      </c>
      <c r="I347" s="19">
        <f>HYPERLINK("https://www.jcpenney.com/s?searchTerm=196474626355", "Retail Link")</f>
        <v/>
      </c>
      <c r="J347" s="23" t="inlineStr">
        <is>
          <t>n/a</t>
        </is>
      </c>
      <c r="K347" s="21" t="inlineStr">
        <is>
          <t>adidas Women's VL Court 3.0 Sneaker</t>
        </is>
      </c>
      <c r="L347" s="24" t="n"/>
      <c r="M347" s="24" t="n">
        <v>74.95999999999999</v>
      </c>
      <c r="N347" s="24" t="n"/>
      <c r="O347" s="24">
        <f>V347-M347</f>
        <v/>
      </c>
      <c r="P347" s="25">
        <f>N347/L347</f>
        <v/>
      </c>
      <c r="Q347" s="23" t="n">
        <v>815</v>
      </c>
      <c r="R347" s="23" t="n">
        <v>1000</v>
      </c>
      <c r="S347" s="26" t="n">
        <v>1.7196036</v>
      </c>
      <c r="T347" s="24" t="n">
        <v>74.95</v>
      </c>
      <c r="U347" s="24" t="n">
        <v>70.98999999999999</v>
      </c>
      <c r="V347" s="24" t="n">
        <v>71.8</v>
      </c>
      <c r="W347" s="26" t="inlineStr">
        <is>
          <t>adidas Vl Court 3.0 Womens Sneakers</t>
        </is>
      </c>
      <c r="X347" s="23" t="n">
        <v>11</v>
      </c>
      <c r="Y347" s="18">
        <f>AC347-AB347</f>
        <v/>
      </c>
      <c r="Z347" s="27" t="n">
        <v>94</v>
      </c>
      <c r="AA347" s="27" t="n">
        <v>210</v>
      </c>
      <c r="AB347" s="27" t="n">
        <v>37</v>
      </c>
      <c r="AC347" s="27" t="n">
        <v>1569</v>
      </c>
      <c r="AD347" s="1" t="inlineStr">
        <is>
          <t>NLF97</t>
        </is>
      </c>
      <c r="AE347" s="1" t="inlineStr">
        <is>
          <t>White/Black/Grey</t>
        </is>
      </c>
      <c r="AF347" s="4" t="n">
        <v>11.24</v>
      </c>
      <c r="AG347" s="4" t="n">
        <v>7.7</v>
      </c>
    </row>
    <row r="348" ht="47.25" customHeight="1">
      <c r="A348" s="18" t="inlineStr">
        <is>
          <t>196474626317</t>
        </is>
      </c>
      <c r="B348" s="19" t="inlineStr">
        <is>
          <t>https://www.amazon.com/dp/</t>
        </is>
      </c>
      <c r="C348" s="20" t="inlineStr">
        <is>
          <t>B0C2JXZB21</t>
        </is>
      </c>
      <c r="D348" s="44" t="n"/>
      <c r="E348" s="23" t="inlineStr">
        <is>
          <t>?th=1&amp;psc=1&amp;tag=sdcdeals03-20</t>
        </is>
      </c>
      <c r="F348" s="19">
        <f>HYPERLINK("https://redirect.sdcdeals.com/redirect?destination=https%3A%2F%2Fwww.amazon.com%2Fdp%2FB0C2JXZB21%3Fth%3D1%26psc%3D1%26tag%3Dsdcdeals03-20", "Amazon Link")</f>
        <v/>
      </c>
      <c r="G348" s="19" t="inlineStr">
        <is>
          <t>https://www.jcpenney.com/s?searchTerm={search_term}</t>
        </is>
      </c>
      <c r="H348" s="23" t="inlineStr">
        <is>
          <t>196474626317</t>
        </is>
      </c>
      <c r="I348" s="19">
        <f>HYPERLINK("https://www.jcpenney.com/s?searchTerm=196474626317", "Retail Link")</f>
        <v/>
      </c>
      <c r="J348" s="23" t="inlineStr">
        <is>
          <t>n/a</t>
        </is>
      </c>
      <c r="K348" s="21" t="inlineStr">
        <is>
          <t>adidas Women's VL Court 3.0 Sneaker</t>
        </is>
      </c>
      <c r="L348" s="24" t="n"/>
      <c r="M348" s="24" t="n">
        <v>71.75</v>
      </c>
      <c r="N348" s="24" t="n"/>
      <c r="O348" s="24">
        <f>V348-M348</f>
        <v/>
      </c>
      <c r="P348" s="25">
        <f>N348/L348</f>
        <v/>
      </c>
      <c r="Q348" s="23" t="n">
        <v>815</v>
      </c>
      <c r="R348" s="23" t="n">
        <v>600</v>
      </c>
      <c r="S348" s="26" t="n">
        <v>1.8518808</v>
      </c>
      <c r="T348" s="24" t="n">
        <v>71.75</v>
      </c>
      <c r="U348" s="24" t="n">
        <v>71.04000000000001</v>
      </c>
      <c r="V348" s="24" t="n">
        <v>70.81</v>
      </c>
      <c r="W348" s="26" t="inlineStr">
        <is>
          <t>adidas Vl Court 3.0 Womens Sneakers</t>
        </is>
      </c>
      <c r="X348" s="23" t="n">
        <v>9</v>
      </c>
      <c r="Y348" s="18">
        <f>AC348-AB348</f>
        <v/>
      </c>
      <c r="Z348" s="27" t="n">
        <v>84</v>
      </c>
      <c r="AA348" s="27" t="n">
        <v>188</v>
      </c>
      <c r="AB348" s="27" t="n">
        <v>25</v>
      </c>
      <c r="AC348" s="27" t="n">
        <v>1569</v>
      </c>
      <c r="AD348" s="1" t="inlineStr">
        <is>
          <t>NLF97</t>
        </is>
      </c>
      <c r="AE348" s="1" t="inlineStr">
        <is>
          <t>White/Black/Grey</t>
        </is>
      </c>
      <c r="AF348" s="4" t="n">
        <v>10.76</v>
      </c>
      <c r="AG348" s="4" t="n">
        <v>7.7</v>
      </c>
    </row>
    <row r="349" ht="47.25" customHeight="1">
      <c r="A349" s="18" t="inlineStr">
        <is>
          <t>196474626393</t>
        </is>
      </c>
      <c r="B349" s="19" t="inlineStr">
        <is>
          <t>https://www.amazon.com/dp/</t>
        </is>
      </c>
      <c r="C349" s="20" t="inlineStr">
        <is>
          <t>B0C2JZJN6D</t>
        </is>
      </c>
      <c r="D349" s="44" t="n"/>
      <c r="E349" s="23" t="inlineStr">
        <is>
          <t>?th=1&amp;psc=1&amp;tag=sdcdeals03-20</t>
        </is>
      </c>
      <c r="F349" s="19">
        <f>HYPERLINK("https://redirect.sdcdeals.com/redirect?destination=https%3A%2F%2Fwww.amazon.com%2Fdp%2FB0C2JZJN6D%3Fth%3D1%26psc%3D1%26tag%3Dsdcdeals03-20", "Amazon Link")</f>
        <v/>
      </c>
      <c r="G349" s="19" t="inlineStr">
        <is>
          <t>https://www.jcpenney.com/s?searchTerm={search_term}</t>
        </is>
      </c>
      <c r="H349" s="23" t="inlineStr">
        <is>
          <t>196474626393</t>
        </is>
      </c>
      <c r="I349" s="19">
        <f>HYPERLINK("https://www.jcpenney.com/s?searchTerm=196474626393", "Retail Link")</f>
        <v/>
      </c>
      <c r="J349" s="23" t="inlineStr">
        <is>
          <t>n/a</t>
        </is>
      </c>
      <c r="K349" s="21" t="inlineStr">
        <is>
          <t>adidas Women's VL Court 3.0 Sneaker</t>
        </is>
      </c>
      <c r="L349" s="24" t="n"/>
      <c r="M349" s="24" t="n">
        <v>64.98999999999999</v>
      </c>
      <c r="N349" s="24" t="n"/>
      <c r="O349" s="24">
        <f>V349-M349</f>
        <v/>
      </c>
      <c r="P349" s="25">
        <f>N349/L349</f>
        <v/>
      </c>
      <c r="Q349" s="23" t="n">
        <v>815</v>
      </c>
      <c r="R349" s="23" t="n">
        <v>600</v>
      </c>
      <c r="S349" s="26" t="n">
        <v>1.8298346</v>
      </c>
      <c r="T349" s="24" t="n">
        <v>64.98999999999999</v>
      </c>
      <c r="U349" s="24" t="n">
        <v>68.88</v>
      </c>
      <c r="V349" s="24" t="n">
        <v>70.36</v>
      </c>
      <c r="W349" s="26" t="inlineStr">
        <is>
          <t>adidas Vl Court 3.0 Womens Sneakers</t>
        </is>
      </c>
      <c r="X349" s="23" t="n">
        <v>13</v>
      </c>
      <c r="Y349" s="18">
        <f>AC349-AB349</f>
        <v/>
      </c>
      <c r="Z349" s="27" t="n">
        <v>114</v>
      </c>
      <c r="AA349" s="27" t="n">
        <v>301</v>
      </c>
      <c r="AB349" s="27" t="n">
        <v>21</v>
      </c>
      <c r="AC349" s="27" t="n">
        <v>1569</v>
      </c>
      <c r="AD349" s="1" t="inlineStr">
        <is>
          <t>NLF97</t>
        </is>
      </c>
      <c r="AE349" s="1" t="inlineStr">
        <is>
          <t>White/Black/Grey</t>
        </is>
      </c>
      <c r="AF349" s="4" t="n">
        <v>9.75</v>
      </c>
      <c r="AG349" s="4" t="n">
        <v>7.7</v>
      </c>
    </row>
    <row r="350" ht="47.25" customHeight="1">
      <c r="A350" s="18" t="inlineStr">
        <is>
          <t>196474626324</t>
        </is>
      </c>
      <c r="B350" s="19" t="inlineStr">
        <is>
          <t>https://www.amazon.com/dp/</t>
        </is>
      </c>
      <c r="C350" s="20" t="inlineStr">
        <is>
          <t>B0C2JYJHDL</t>
        </is>
      </c>
      <c r="D350" s="44" t="n"/>
      <c r="E350" s="23" t="inlineStr">
        <is>
          <t>?th=1&amp;psc=1&amp;tag=sdcdeals03-20</t>
        </is>
      </c>
      <c r="F350" s="19">
        <f>HYPERLINK("https://redirect.sdcdeals.com/redirect?destination=https%3A%2F%2Fwww.amazon.com%2Fdp%2FB0C2JYJHDL%3Fth%3D1%26psc%3D1%26tag%3Dsdcdeals03-20", "Amazon Link")</f>
        <v/>
      </c>
      <c r="G350" s="19" t="inlineStr">
        <is>
          <t>https://www.jcpenney.com/s?searchTerm={search_term}</t>
        </is>
      </c>
      <c r="H350" s="23" t="inlineStr">
        <is>
          <t>196474626324</t>
        </is>
      </c>
      <c r="I350" s="19">
        <f>HYPERLINK("https://www.jcpenney.com/s?searchTerm=196474626324", "Retail Link")</f>
        <v/>
      </c>
      <c r="J350" s="23" t="inlineStr">
        <is>
          <t>n/a</t>
        </is>
      </c>
      <c r="K350" s="21" t="inlineStr">
        <is>
          <t>adidas Women's VL Court 3.0 Sneaker</t>
        </is>
      </c>
      <c r="L350" s="24" t="n"/>
      <c r="M350" s="24" t="n">
        <v>64.98999999999999</v>
      </c>
      <c r="N350" s="24" t="n"/>
      <c r="O350" s="24">
        <f>V350-M350</f>
        <v/>
      </c>
      <c r="P350" s="25">
        <f>N350/L350</f>
        <v/>
      </c>
      <c r="Q350" s="23" t="n">
        <v>815</v>
      </c>
      <c r="R350" s="23" t="n">
        <v>200</v>
      </c>
      <c r="S350" s="26" t="n">
        <v>2.07013818</v>
      </c>
      <c r="T350" s="24" t="n">
        <v>64.98999999999999</v>
      </c>
      <c r="U350" s="24" t="n">
        <v>69.31</v>
      </c>
      <c r="V350" s="24" t="n">
        <v>69.91</v>
      </c>
      <c r="W350" s="26" t="inlineStr">
        <is>
          <t>adidas Vl Court 3.0 Womens Sneakers</t>
        </is>
      </c>
      <c r="X350" s="23" t="n">
        <v>7</v>
      </c>
      <c r="Y350" s="18">
        <f>AC350-AB350</f>
        <v/>
      </c>
      <c r="Z350" s="27" t="n">
        <v>103</v>
      </c>
      <c r="AA350" s="27" t="n">
        <v>274</v>
      </c>
      <c r="AB350" s="27" t="n">
        <v>9</v>
      </c>
      <c r="AC350" s="27" t="n">
        <v>1569</v>
      </c>
      <c r="AD350" s="1" t="inlineStr">
        <is>
          <t>NLF97</t>
        </is>
      </c>
      <c r="AE350" s="1" t="inlineStr">
        <is>
          <t>White/Black/Grey</t>
        </is>
      </c>
      <c r="AF350" s="4" t="n">
        <v>9.75</v>
      </c>
      <c r="AG350" s="4" t="n">
        <v>7.86</v>
      </c>
    </row>
    <row r="351" ht="47.25" customHeight="1">
      <c r="A351" s="18" t="inlineStr">
        <is>
          <t>197609901859</t>
        </is>
      </c>
      <c r="B351" s="19" t="inlineStr">
        <is>
          <t>https://www.amazon.com/dp/</t>
        </is>
      </c>
      <c r="C351" s="20" t="inlineStr">
        <is>
          <t>B0CKD5B83R</t>
        </is>
      </c>
      <c r="D351" s="44" t="n"/>
      <c r="E351" s="23" t="inlineStr">
        <is>
          <t>?th=1&amp;psc=1&amp;tag=sdcdeals03-20</t>
        </is>
      </c>
      <c r="F351" s="19">
        <f>HYPERLINK("https://redirect.sdcdeals.com/redirect?destination=https%3A%2F%2Fwww.amazon.com%2Fdp%2FB0CKD5B83R%3Fth%3D1%26psc%3D1%26tag%3Dsdcdeals03-20", "Amazon Link")</f>
        <v/>
      </c>
      <c r="G351" s="19" t="inlineStr">
        <is>
          <t>https://www.jcpenney.com/s?searchTerm={search_term}</t>
        </is>
      </c>
      <c r="H351" s="23" t="inlineStr">
        <is>
          <t>197609901859</t>
        </is>
      </c>
      <c r="I351" s="19">
        <f>HYPERLINK("https://www.jcpenney.com/s?searchTerm=197609901859", "Retail Link")</f>
        <v/>
      </c>
      <c r="J351" s="23" t="inlineStr">
        <is>
          <t>n/a</t>
        </is>
      </c>
      <c r="K351" s="21" t="inlineStr">
        <is>
          <t>adidas Women's VL Court 3.0 Sneaker, Black/Black/Gold Metallic, 5</t>
        </is>
      </c>
      <c r="L351" s="24" t="n"/>
      <c r="M351" s="24" t="n">
        <v>106.99</v>
      </c>
      <c r="N351" s="24" t="n"/>
      <c r="O351" s="24">
        <f>V351-M351</f>
        <v/>
      </c>
      <c r="P351" s="25">
        <f>N351/L351</f>
        <v/>
      </c>
      <c r="Q351" s="23" t="n">
        <v>815</v>
      </c>
      <c r="R351" s="23" t="n"/>
      <c r="S351" s="26" t="n">
        <v>1.3889106</v>
      </c>
      <c r="T351" s="24" t="n">
        <v>106.99</v>
      </c>
      <c r="U351" s="24" t="inlineStr"/>
      <c r="V351" s="24" t="n">
        <v>58.79</v>
      </c>
      <c r="W351" s="26" t="inlineStr">
        <is>
          <t>adidas Vl Court 3.0 Womens Sneakers</t>
        </is>
      </c>
      <c r="X351" s="23" t="n">
        <v>3</v>
      </c>
      <c r="Y351" s="18">
        <f>AC351-AB351</f>
        <v/>
      </c>
      <c r="Z351" s="27" t="n">
        <v>59</v>
      </c>
      <c r="AA351" s="27" t="n">
        <v>172</v>
      </c>
      <c r="AB351" s="27" t="n">
        <v>0</v>
      </c>
      <c r="AC351" s="27" t="n">
        <v>1566</v>
      </c>
      <c r="AD351" s="1" t="inlineStr">
        <is>
          <t>NLF97</t>
        </is>
      </c>
      <c r="AE351" s="1" t="inlineStr">
        <is>
          <t>Black/Black/Gold Metallic</t>
        </is>
      </c>
      <c r="AF351" s="4" t="inlineStr"/>
      <c r="AG351" s="4" t="n">
        <v>6.61</v>
      </c>
    </row>
    <row r="352" ht="47.25" customHeight="1">
      <c r="A352" s="18" t="inlineStr">
        <is>
          <t>197609901873</t>
        </is>
      </c>
      <c r="B352" s="19" t="inlineStr">
        <is>
          <t>https://www.amazon.com/dp/</t>
        </is>
      </c>
      <c r="C352" s="20" t="inlineStr">
        <is>
          <t>B0CKD279B3</t>
        </is>
      </c>
      <c r="D352" s="44" t="n"/>
      <c r="E352" s="23" t="inlineStr">
        <is>
          <t>?th=1&amp;psc=1&amp;tag=sdcdeals03-20</t>
        </is>
      </c>
      <c r="F352" s="19">
        <f>HYPERLINK("https://redirect.sdcdeals.com/redirect?destination=https%3A%2F%2Fwww.amazon.com%2Fdp%2FB0CKD279B3%3Fth%3D1%26psc%3D1%26tag%3Dsdcdeals03-20", "Amazon Link")</f>
        <v/>
      </c>
      <c r="G352" s="19" t="inlineStr">
        <is>
          <t>https://www.jcpenney.com/s?searchTerm={search_term}</t>
        </is>
      </c>
      <c r="H352" s="23" t="inlineStr">
        <is>
          <t>197609901873</t>
        </is>
      </c>
      <c r="I352" s="19">
        <f>HYPERLINK("https://www.jcpenney.com/s?searchTerm=197609901873", "Retail Link")</f>
        <v/>
      </c>
      <c r="J352" s="23" t="inlineStr">
        <is>
          <t>n/a</t>
        </is>
      </c>
      <c r="K352" s="21" t="inlineStr">
        <is>
          <t>adidas Women's VL Court 3.0 Sneaker, Black/Black/Gold Metallic, 5.5</t>
        </is>
      </c>
      <c r="L352" s="24" t="n"/>
      <c r="M352" s="24" t="n">
        <v>123</v>
      </c>
      <c r="N352" s="24" t="n"/>
      <c r="O352" s="24">
        <f>V352-M352</f>
        <v/>
      </c>
      <c r="P352" s="25">
        <f>N352/L352</f>
        <v/>
      </c>
      <c r="Q352" s="23" t="n">
        <v>815</v>
      </c>
      <c r="R352" s="23" t="n"/>
      <c r="S352" s="26" t="n">
        <v>1.4109568</v>
      </c>
      <c r="T352" s="24" t="n">
        <v>123</v>
      </c>
      <c r="U352" s="24" t="inlineStr"/>
      <c r="V352" s="24" t="n">
        <v>75</v>
      </c>
      <c r="W352" s="26" t="inlineStr">
        <is>
          <t>adidas Vl Court 3.0 Womens Sneakers</t>
        </is>
      </c>
      <c r="X352" s="23" t="n">
        <v>2</v>
      </c>
      <c r="Y352" s="18">
        <f>AC352-AB352</f>
        <v/>
      </c>
      <c r="Z352" s="27" t="n">
        <v>61</v>
      </c>
      <c r="AA352" s="27" t="n">
        <v>169</v>
      </c>
      <c r="AB352" s="27" t="n">
        <v>0</v>
      </c>
      <c r="AC352" s="27" t="n">
        <v>1562</v>
      </c>
      <c r="AD352" s="1" t="inlineStr">
        <is>
          <t>NLF97</t>
        </is>
      </c>
      <c r="AE352" s="1" t="inlineStr">
        <is>
          <t>Black/Black/Gold Metallic</t>
        </is>
      </c>
      <c r="AF352" s="4" t="inlineStr"/>
      <c r="AG352" s="4" t="n">
        <v>6.61</v>
      </c>
    </row>
    <row r="353" ht="47.25" customHeight="1">
      <c r="A353" s="18" t="inlineStr">
        <is>
          <t>197609899583</t>
        </is>
      </c>
      <c r="B353" s="19" t="inlineStr">
        <is>
          <t>https://www.amazon.com/dp/</t>
        </is>
      </c>
      <c r="C353" s="20" t="inlineStr">
        <is>
          <t>B0CKCTFYQF</t>
        </is>
      </c>
      <c r="D353" s="44" t="n"/>
      <c r="E353" s="23" t="inlineStr">
        <is>
          <t>?th=1&amp;psc=1&amp;tag=sdcdeals03-20</t>
        </is>
      </c>
      <c r="F353" s="19">
        <f>HYPERLINK("https://redirect.sdcdeals.com/redirect?destination=https%3A%2F%2Fwww.amazon.com%2Fdp%2FB0CKCTFYQF%3Fth%3D1%26psc%3D1%26tag%3Dsdcdeals03-20", "Amazon Link")</f>
        <v/>
      </c>
      <c r="G353" s="19" t="inlineStr">
        <is>
          <t>https://www.jcpenney.com/s?searchTerm={search_term}</t>
        </is>
      </c>
      <c r="H353" s="23" t="inlineStr">
        <is>
          <t>197609899583</t>
        </is>
      </c>
      <c r="I353" s="19">
        <f>HYPERLINK("https://www.jcpenney.com/s?searchTerm=197609899583", "Retail Link")</f>
        <v/>
      </c>
      <c r="J353" s="23" t="inlineStr">
        <is>
          <t>n/a</t>
        </is>
      </c>
      <c r="K353" s="21" t="inlineStr">
        <is>
          <t>adidas Women's VL Court 3.0 Sneaker, Black/Black/Gold Metallic, 6</t>
        </is>
      </c>
      <c r="L353" s="24" t="n"/>
      <c r="M353" s="24" t="n">
        <v>97.16</v>
      </c>
      <c r="N353" s="24" t="n"/>
      <c r="O353" s="24">
        <f>V353-M353</f>
        <v/>
      </c>
      <c r="P353" s="25">
        <f>N353/L353</f>
        <v/>
      </c>
      <c r="Q353" s="23" t="n">
        <v>815</v>
      </c>
      <c r="R353" s="23" t="n"/>
      <c r="S353" s="26" t="n">
        <v>1.43079838</v>
      </c>
      <c r="T353" s="24" t="n">
        <v>97.16</v>
      </c>
      <c r="U353" s="24" t="n">
        <v>67.98</v>
      </c>
      <c r="V353" s="24" t="n">
        <v>82.48</v>
      </c>
      <c r="W353" s="26" t="inlineStr">
        <is>
          <t>adidas Vl Court 3.0 Womens Sneakers</t>
        </is>
      </c>
      <c r="X353" s="23" t="n">
        <v>3</v>
      </c>
      <c r="Y353" s="18">
        <f>AC353-AB353</f>
        <v/>
      </c>
      <c r="Z353" s="27" t="n">
        <v>66</v>
      </c>
      <c r="AA353" s="27" t="n">
        <v>193</v>
      </c>
      <c r="AB353" s="27" t="n">
        <v>1</v>
      </c>
      <c r="AC353" s="27" t="n">
        <v>1562</v>
      </c>
      <c r="AD353" s="1" t="inlineStr">
        <is>
          <t>NLF97</t>
        </is>
      </c>
      <c r="AE353" s="1" t="inlineStr">
        <is>
          <t>Black/Black/Gold Metallic</t>
        </is>
      </c>
      <c r="AF353" s="4" t="inlineStr"/>
      <c r="AG353" s="4" t="n">
        <v>7.03</v>
      </c>
    </row>
    <row r="354" ht="47.25" customHeight="1">
      <c r="A354" s="18" t="inlineStr">
        <is>
          <t>197609899651</t>
        </is>
      </c>
      <c r="B354" s="19" t="inlineStr">
        <is>
          <t>https://www.amazon.com/dp/</t>
        </is>
      </c>
      <c r="C354" s="20" t="inlineStr">
        <is>
          <t>B0CKCW494J</t>
        </is>
      </c>
      <c r="D354" s="44" t="n"/>
      <c r="E354" s="23" t="inlineStr">
        <is>
          <t>?th=1&amp;psc=1&amp;tag=sdcdeals03-20</t>
        </is>
      </c>
      <c r="F354" s="19">
        <f>HYPERLINK("https://redirect.sdcdeals.com/redirect?destination=https%3A%2F%2Fwww.amazon.com%2Fdp%2FB0CKCW494J%3Fth%3D1%26psc%3D1%26tag%3Dsdcdeals03-20", "Amazon Link")</f>
        <v/>
      </c>
      <c r="G354" s="19" t="inlineStr">
        <is>
          <t>https://www.jcpenney.com/s?searchTerm={search_term}</t>
        </is>
      </c>
      <c r="H354" s="23" t="inlineStr">
        <is>
          <t>197609899651</t>
        </is>
      </c>
      <c r="I354" s="19">
        <f>HYPERLINK("https://www.jcpenney.com/s?searchTerm=197609899651", "Retail Link")</f>
        <v/>
      </c>
      <c r="J354" s="23" t="inlineStr">
        <is>
          <t>n/a</t>
        </is>
      </c>
      <c r="K354" s="21" t="inlineStr">
        <is>
          <t>adidas Women's VL Court 3.0 Sneaker, Black/Black/Gold Metallic, 6.5</t>
        </is>
      </c>
      <c r="L354" s="24" t="n"/>
      <c r="M354" s="24" t="n">
        <v>95.98</v>
      </c>
      <c r="N354" s="24" t="n"/>
      <c r="O354" s="24">
        <f>V354-M354</f>
        <v/>
      </c>
      <c r="P354" s="25">
        <f>N354/L354</f>
        <v/>
      </c>
      <c r="Q354" s="23" t="n">
        <v>815</v>
      </c>
      <c r="R354" s="23" t="n"/>
      <c r="S354" s="26" t="n">
        <v>1.51898318</v>
      </c>
      <c r="T354" s="24" t="n">
        <v>95.98</v>
      </c>
      <c r="U354" s="24" t="n">
        <v>71.31</v>
      </c>
      <c r="V354" s="24" t="n">
        <v>81.58</v>
      </c>
      <c r="W354" s="26" t="inlineStr">
        <is>
          <t>adidas Vl Court 3.0 Womens Sneakers</t>
        </is>
      </c>
      <c r="X354" s="23" t="n">
        <v>3</v>
      </c>
      <c r="Y354" s="18">
        <f>AC354-AB354</f>
        <v/>
      </c>
      <c r="Z354" s="27" t="n">
        <v>70</v>
      </c>
      <c r="AA354" s="27" t="n">
        <v>185</v>
      </c>
      <c r="AB354" s="27" t="n">
        <v>1</v>
      </c>
      <c r="AC354" s="27" t="n">
        <v>1566</v>
      </c>
      <c r="AD354" s="1" t="inlineStr">
        <is>
          <t>NLF97</t>
        </is>
      </c>
      <c r="AE354" s="1" t="inlineStr">
        <is>
          <t>Black/Black/Gold Metallic</t>
        </is>
      </c>
      <c r="AF354" s="4" t="inlineStr"/>
      <c r="AG354" s="4" t="n">
        <v>6.61</v>
      </c>
    </row>
    <row r="355" ht="47.25" customHeight="1">
      <c r="A355" s="18" t="inlineStr">
        <is>
          <t>197609899675</t>
        </is>
      </c>
      <c r="B355" s="19" t="inlineStr">
        <is>
          <t>https://www.amazon.com/dp/</t>
        </is>
      </c>
      <c r="C355" s="20" t="inlineStr">
        <is>
          <t>B0CKDBCNCG</t>
        </is>
      </c>
      <c r="D355" s="44" t="n"/>
      <c r="E355" s="23" t="inlineStr">
        <is>
          <t>?th=1&amp;psc=1&amp;tag=sdcdeals03-20</t>
        </is>
      </c>
      <c r="F355" s="19">
        <f>HYPERLINK("https://redirect.sdcdeals.com/redirect?destination=https%3A%2F%2Fwww.amazon.com%2Fdp%2FB0CKDBCNCG%3Fth%3D1%26psc%3D1%26tag%3Dsdcdeals03-20", "Amazon Link")</f>
        <v/>
      </c>
      <c r="G355" s="19" t="inlineStr">
        <is>
          <t>https://www.jcpenney.com/s?searchTerm={search_term}</t>
        </is>
      </c>
      <c r="H355" s="23" t="inlineStr">
        <is>
          <t>197609899675</t>
        </is>
      </c>
      <c r="I355" s="19">
        <f>HYPERLINK("https://www.jcpenney.com/s?searchTerm=197609899675", "Retail Link")</f>
        <v/>
      </c>
      <c r="J355" s="23" t="inlineStr">
        <is>
          <t>n/a</t>
        </is>
      </c>
      <c r="K355" s="21" t="inlineStr">
        <is>
          <t>adidas Women's VL Court 3.0 Sneaker, Black/Black/Gold Metallic, 7</t>
        </is>
      </c>
      <c r="L355" s="24" t="n"/>
      <c r="M355" s="24" t="n">
        <v>97.16</v>
      </c>
      <c r="N355" s="24" t="n"/>
      <c r="O355" s="24">
        <f>V355-M355</f>
        <v/>
      </c>
      <c r="P355" s="25">
        <f>N355/L355</f>
        <v/>
      </c>
      <c r="Q355" s="23" t="n">
        <v>815</v>
      </c>
      <c r="R355" s="23" t="n"/>
      <c r="S355" s="26" t="n">
        <v>1.54102938</v>
      </c>
      <c r="T355" s="24" t="n">
        <v>97.16</v>
      </c>
      <c r="U355" s="24" t="n">
        <v>69.93000000000001</v>
      </c>
      <c r="V355" s="24" t="n">
        <v>85.89</v>
      </c>
      <c r="W355" s="26" t="inlineStr">
        <is>
          <t>adidas Vl Court 3.0 Womens Sneakers</t>
        </is>
      </c>
      <c r="X355" s="23" t="n">
        <v>3</v>
      </c>
      <c r="Y355" s="18">
        <f>AC355-AB355</f>
        <v/>
      </c>
      <c r="Z355" s="27" t="n">
        <v>67</v>
      </c>
      <c r="AA355" s="27" t="n">
        <v>182</v>
      </c>
      <c r="AB355" s="27" t="n">
        <v>1</v>
      </c>
      <c r="AC355" s="27" t="n">
        <v>1570</v>
      </c>
      <c r="AD355" s="1" t="inlineStr">
        <is>
          <t>NLF97</t>
        </is>
      </c>
      <c r="AE355" s="1" t="inlineStr">
        <is>
          <t>Black/Black/Gold Metallic</t>
        </is>
      </c>
      <c r="AF355" s="4" t="inlineStr"/>
      <c r="AG355" s="4" t="n">
        <v>7.03</v>
      </c>
    </row>
    <row r="356" ht="47.25" customHeight="1">
      <c r="A356" s="18" t="inlineStr">
        <is>
          <t>197609899620</t>
        </is>
      </c>
      <c r="B356" s="19" t="inlineStr">
        <is>
          <t>https://www.amazon.com/dp/</t>
        </is>
      </c>
      <c r="C356" s="20" t="inlineStr">
        <is>
          <t>B0CKCW6XY5</t>
        </is>
      </c>
      <c r="D356" s="44" t="n"/>
      <c r="E356" s="23" t="inlineStr">
        <is>
          <t>?th=1&amp;psc=1&amp;tag=sdcdeals03-20</t>
        </is>
      </c>
      <c r="F356" s="19">
        <f>HYPERLINK("https://redirect.sdcdeals.com/redirect?destination=https%3A%2F%2Fwww.amazon.com%2Fdp%2FB0CKCW6XY5%3Fth%3D1%26psc%3D1%26tag%3Dsdcdeals03-20", "Amazon Link")</f>
        <v/>
      </c>
      <c r="G356" s="19" t="inlineStr">
        <is>
          <t>https://www.jcpenney.com/s?searchTerm={search_term}</t>
        </is>
      </c>
      <c r="H356" s="23" t="inlineStr">
        <is>
          <t>197609899620</t>
        </is>
      </c>
      <c r="I356" s="19">
        <f>HYPERLINK("https://www.jcpenney.com/s?searchTerm=197609899620", "Retail Link")</f>
        <v/>
      </c>
      <c r="J356" s="23" t="inlineStr">
        <is>
          <t>n/a</t>
        </is>
      </c>
      <c r="K356" s="21" t="inlineStr">
        <is>
          <t>adidas Women's VL Court 3.0 Sneaker, Black/Black/Gold Metallic, 7.5</t>
        </is>
      </c>
      <c r="L356" s="24" t="n"/>
      <c r="M356" s="24" t="n">
        <v>95.98</v>
      </c>
      <c r="N356" s="24" t="n"/>
      <c r="O356" s="24">
        <f>V356-M356</f>
        <v/>
      </c>
      <c r="P356" s="25">
        <f>N356/L356</f>
        <v/>
      </c>
      <c r="Q356" s="23" t="n">
        <v>815</v>
      </c>
      <c r="R356" s="23" t="n"/>
      <c r="S356" s="26" t="n">
        <v>1.67992044</v>
      </c>
      <c r="T356" s="24" t="n">
        <v>95.98</v>
      </c>
      <c r="U356" s="24" t="n">
        <v>69.04000000000001</v>
      </c>
      <c r="V356" s="24" t="n">
        <v>85.22</v>
      </c>
      <c r="W356" s="26" t="inlineStr">
        <is>
          <t>adidas Vl Court 3.0 Womens Sneakers</t>
        </is>
      </c>
      <c r="X356" s="23" t="n">
        <v>3</v>
      </c>
      <c r="Y356" s="18">
        <f>AC356-AB356</f>
        <v/>
      </c>
      <c r="Z356" s="27" t="n">
        <v>60</v>
      </c>
      <c r="AA356" s="27" t="n">
        <v>167</v>
      </c>
      <c r="AB356" s="27" t="n">
        <v>0</v>
      </c>
      <c r="AC356" s="27" t="n">
        <v>1562</v>
      </c>
      <c r="AD356" s="1" t="inlineStr">
        <is>
          <t>NLF97</t>
        </is>
      </c>
      <c r="AE356" s="1" t="inlineStr">
        <is>
          <t>Black/Black/Gold Metallic</t>
        </is>
      </c>
      <c r="AF356" s="4" t="inlineStr"/>
      <c r="AG356" s="4" t="n">
        <v>7.7</v>
      </c>
    </row>
    <row r="357" ht="47.25" customHeight="1">
      <c r="A357" s="18" t="inlineStr">
        <is>
          <t>197609899606</t>
        </is>
      </c>
      <c r="B357" s="19" t="inlineStr">
        <is>
          <t>https://www.amazon.com/dp/</t>
        </is>
      </c>
      <c r="C357" s="20" t="inlineStr">
        <is>
          <t>B0CKCQWRWD</t>
        </is>
      </c>
      <c r="D357" s="44" t="n"/>
      <c r="E357" s="23" t="inlineStr">
        <is>
          <t>?th=1&amp;psc=1&amp;tag=sdcdeals03-20</t>
        </is>
      </c>
      <c r="F357" s="19">
        <f>HYPERLINK("https://redirect.sdcdeals.com/redirect?destination=https%3A%2F%2Fwww.amazon.com%2Fdp%2FB0CKCQWRWD%3Fth%3D1%26psc%3D1%26tag%3Dsdcdeals03-20", "Amazon Link")</f>
        <v/>
      </c>
      <c r="G357" s="19" t="inlineStr">
        <is>
          <t>https://www.jcpenney.com/s?searchTerm={search_term}</t>
        </is>
      </c>
      <c r="H357" s="23" t="inlineStr">
        <is>
          <t>197609899606</t>
        </is>
      </c>
      <c r="I357" s="19">
        <f>HYPERLINK("https://www.jcpenney.com/s?searchTerm=197609899606", "Retail Link")</f>
        <v/>
      </c>
      <c r="J357" s="23" t="inlineStr">
        <is>
          <t>n/a</t>
        </is>
      </c>
      <c r="K357" s="21" t="inlineStr">
        <is>
          <t>adidas Women's VL Court 3.0 Sneaker, Black/Black/Gold Metallic, 8</t>
        </is>
      </c>
      <c r="L357" s="24" t="n"/>
      <c r="M357" s="24" t="n">
        <v>99.51000000000001</v>
      </c>
      <c r="N357" s="24" t="n"/>
      <c r="O357" s="24">
        <f>V357-M357</f>
        <v/>
      </c>
      <c r="P357" s="25">
        <f>N357/L357</f>
        <v/>
      </c>
      <c r="Q357" s="23" t="n">
        <v>815</v>
      </c>
      <c r="R357" s="23" t="n"/>
      <c r="S357" s="26" t="n">
        <v>1.64905576</v>
      </c>
      <c r="T357" s="24" t="n">
        <v>99.51000000000001</v>
      </c>
      <c r="U357" s="24" t="n">
        <v>71.70999999999999</v>
      </c>
      <c r="V357" s="24" t="n">
        <v>81.3</v>
      </c>
      <c r="W357" s="26" t="inlineStr">
        <is>
          <t>adidas Vl Court 3.0 Womens Sneakers</t>
        </is>
      </c>
      <c r="X357" s="23" t="n">
        <v>3</v>
      </c>
      <c r="Y357" s="18">
        <f>AC357-AB357</f>
        <v/>
      </c>
      <c r="Z357" s="27" t="n">
        <v>61</v>
      </c>
      <c r="AA357" s="27" t="n">
        <v>215</v>
      </c>
      <c r="AB357" s="27" t="n">
        <v>2</v>
      </c>
      <c r="AC357" s="27" t="n">
        <v>1570</v>
      </c>
      <c r="AD357" s="1" t="inlineStr">
        <is>
          <t>NLF97</t>
        </is>
      </c>
      <c r="AE357" s="1" t="inlineStr">
        <is>
          <t>Black/Black/Gold Metallic</t>
        </is>
      </c>
      <c r="AF357" s="4" t="inlineStr"/>
      <c r="AG357" s="4" t="n">
        <v>7.7</v>
      </c>
    </row>
    <row r="358" ht="47.25" customHeight="1">
      <c r="A358" s="18" t="inlineStr">
        <is>
          <t>197609899668</t>
        </is>
      </c>
      <c r="B358" s="19" t="inlineStr">
        <is>
          <t>https://www.amazon.com/dp/</t>
        </is>
      </c>
      <c r="C358" s="20" t="inlineStr">
        <is>
          <t>B0CKCZ7Q5M</t>
        </is>
      </c>
      <c r="D358" s="44" t="n"/>
      <c r="E358" s="23" t="inlineStr">
        <is>
          <t>?th=1&amp;psc=1&amp;tag=sdcdeals03-20</t>
        </is>
      </c>
      <c r="F358" s="19">
        <f>HYPERLINK("https://redirect.sdcdeals.com/redirect?destination=https%3A%2F%2Fwww.amazon.com%2Fdp%2FB0CKCZ7Q5M%3Fth%3D1%26psc%3D1%26tag%3Dsdcdeals03-20", "Amazon Link")</f>
        <v/>
      </c>
      <c r="G358" s="19" t="inlineStr">
        <is>
          <t>https://www.jcpenney.com/s?searchTerm={search_term}</t>
        </is>
      </c>
      <c r="H358" s="23" t="inlineStr">
        <is>
          <t>197609899668</t>
        </is>
      </c>
      <c r="I358" s="19">
        <f>HYPERLINK("https://www.jcpenney.com/s?searchTerm=197609899668", "Retail Link")</f>
        <v/>
      </c>
      <c r="J358" s="23" t="inlineStr">
        <is>
          <t>n/a</t>
        </is>
      </c>
      <c r="K358" s="21" t="inlineStr">
        <is>
          <t>adidas Women's VL Court 3.0 Sneaker, Black/Black/Gold Metallic, 8.5</t>
        </is>
      </c>
      <c r="L358" s="24" t="n"/>
      <c r="M358" s="24" t="n">
        <v>83.66</v>
      </c>
      <c r="N358" s="24" t="n"/>
      <c r="O358" s="24">
        <f>V358-M358</f>
        <v/>
      </c>
      <c r="P358" s="25">
        <f>N358/L358</f>
        <v/>
      </c>
      <c r="Q358" s="23" t="n">
        <v>815</v>
      </c>
      <c r="R358" s="23" t="n"/>
      <c r="S358" s="26" t="n">
        <v>1.73944518</v>
      </c>
      <c r="T358" s="24" t="n">
        <v>83.66</v>
      </c>
      <c r="U358" s="24" t="n">
        <v>63.75</v>
      </c>
      <c r="V358" s="24" t="n">
        <v>74.78</v>
      </c>
      <c r="W358" s="26" t="inlineStr">
        <is>
          <t>adidas Vl Court 3.0 Womens Sneakers</t>
        </is>
      </c>
      <c r="X358" s="23" t="n">
        <v>3</v>
      </c>
      <c r="Y358" s="18">
        <f>AC358-AB358</f>
        <v/>
      </c>
      <c r="Z358" s="27" t="n">
        <v>67</v>
      </c>
      <c r="AA358" s="27" t="n">
        <v>192</v>
      </c>
      <c r="AB358" s="27" t="n">
        <v>3</v>
      </c>
      <c r="AC358" s="27" t="n">
        <v>1567</v>
      </c>
      <c r="AD358" s="1" t="inlineStr">
        <is>
          <t>NLF97</t>
        </is>
      </c>
      <c r="AE358" s="1" t="inlineStr">
        <is>
          <t>Black/Black/Gold Metallic</t>
        </is>
      </c>
      <c r="AF358" s="4" t="inlineStr"/>
      <c r="AG358" s="4" t="n">
        <v>7.78</v>
      </c>
    </row>
    <row r="359" ht="47.25" customHeight="1">
      <c r="A359" s="18" t="inlineStr">
        <is>
          <t>197609899590</t>
        </is>
      </c>
      <c r="B359" s="19" t="inlineStr">
        <is>
          <t>https://www.amazon.com/dp/</t>
        </is>
      </c>
      <c r="C359" s="20" t="inlineStr">
        <is>
          <t>B0CKCNRXQM</t>
        </is>
      </c>
      <c r="D359" s="44" t="n"/>
      <c r="E359" s="23" t="inlineStr">
        <is>
          <t>?th=1&amp;psc=1&amp;tag=sdcdeals03-20</t>
        </is>
      </c>
      <c r="F359" s="19">
        <f>HYPERLINK("https://redirect.sdcdeals.com/redirect?destination=https%3A%2F%2Fwww.amazon.com%2Fdp%2FB0CKCNRXQM%3Fth%3D1%26psc%3D1%26tag%3Dsdcdeals03-20", "Amazon Link")</f>
        <v/>
      </c>
      <c r="G359" s="19" t="inlineStr">
        <is>
          <t>https://www.jcpenney.com/s?searchTerm={search_term}</t>
        </is>
      </c>
      <c r="H359" s="23" t="inlineStr">
        <is>
          <t>197609899590</t>
        </is>
      </c>
      <c r="I359" s="19">
        <f>HYPERLINK("https://www.jcpenney.com/s?searchTerm=197609899590", "Retail Link")</f>
        <v/>
      </c>
      <c r="J359" s="23" t="inlineStr">
        <is>
          <t>n/a</t>
        </is>
      </c>
      <c r="K359" s="21" t="inlineStr">
        <is>
          <t>adidas Women's VL Court 3.0 Sneaker, Black/Black/Gold Metallic, 9</t>
        </is>
      </c>
      <c r="L359" s="24" t="n"/>
      <c r="M359" s="24" t="n">
        <v>95.98</v>
      </c>
      <c r="N359" s="24" t="n"/>
      <c r="O359" s="24">
        <f>V359-M359</f>
        <v/>
      </c>
      <c r="P359" s="25">
        <f>N359/L359</f>
        <v/>
      </c>
      <c r="Q359" s="23" t="n">
        <v>815</v>
      </c>
      <c r="R359" s="23" t="n"/>
      <c r="S359" s="26" t="n">
        <v>1.79015144</v>
      </c>
      <c r="T359" s="24" t="n">
        <v>95.98</v>
      </c>
      <c r="U359" s="24" t="n">
        <v>65.08</v>
      </c>
      <c r="V359" s="24" t="n">
        <v>76.28</v>
      </c>
      <c r="W359" s="26" t="inlineStr">
        <is>
          <t>adidas Vl Court 3.0 Womens Sneakers</t>
        </is>
      </c>
      <c r="X359" s="23" t="n">
        <v>3</v>
      </c>
      <c r="Y359" s="18">
        <f>AC359-AB359</f>
        <v/>
      </c>
      <c r="Z359" s="27" t="n">
        <v>70</v>
      </c>
      <c r="AA359" s="27" t="n">
        <v>194</v>
      </c>
      <c r="AB359" s="27" t="n">
        <v>4</v>
      </c>
      <c r="AC359" s="27" t="n">
        <v>1569</v>
      </c>
      <c r="AD359" s="1" t="inlineStr">
        <is>
          <t>NLF97</t>
        </is>
      </c>
      <c r="AE359" s="1" t="inlineStr">
        <is>
          <t>Black/Black/Gold Metallic</t>
        </is>
      </c>
      <c r="AF359" s="4" t="inlineStr"/>
      <c r="AG359" s="4" t="n">
        <v>7.7</v>
      </c>
    </row>
    <row r="360" ht="47.25" customHeight="1">
      <c r="A360" s="18" t="inlineStr">
        <is>
          <t>197609899644</t>
        </is>
      </c>
      <c r="B360" s="19" t="inlineStr">
        <is>
          <t>https://www.amazon.com/dp/</t>
        </is>
      </c>
      <c r="C360" s="20" t="inlineStr">
        <is>
          <t>B0CKCZ9VG5</t>
        </is>
      </c>
      <c r="D360" s="44" t="n"/>
      <c r="E360" s="23" t="inlineStr">
        <is>
          <t>?th=1&amp;psc=1&amp;tag=sdcdeals03-20</t>
        </is>
      </c>
      <c r="F360" s="19">
        <f>HYPERLINK("https://redirect.sdcdeals.com/redirect?destination=https%3A%2F%2Fwww.amazon.com%2Fdp%2FB0CKCZ9VG5%3Fth%3D1%26psc%3D1%26tag%3Dsdcdeals03-20", "Amazon Link")</f>
        <v/>
      </c>
      <c r="G360" s="19" t="inlineStr">
        <is>
          <t>https://www.jcpenney.com/s?searchTerm={search_term}</t>
        </is>
      </c>
      <c r="H360" s="23" t="inlineStr">
        <is>
          <t>197609899644</t>
        </is>
      </c>
      <c r="I360" s="19">
        <f>HYPERLINK("https://www.jcpenney.com/s?searchTerm=197609899644", "Retail Link")</f>
        <v/>
      </c>
      <c r="J360" s="23" t="inlineStr">
        <is>
          <t>n/a</t>
        </is>
      </c>
      <c r="K360" s="21" t="inlineStr">
        <is>
          <t>adidas Women's VL Court 3.0 Sneaker, Black/Black/Gold Metallic, 9.5</t>
        </is>
      </c>
      <c r="L360" s="24" t="n"/>
      <c r="M360" s="24" t="n">
        <v>84.69</v>
      </c>
      <c r="N360" s="24" t="n"/>
      <c r="O360" s="24">
        <f>V360-M360</f>
        <v/>
      </c>
      <c r="P360" s="25">
        <f>N360/L360</f>
        <v/>
      </c>
      <c r="Q360" s="23" t="n">
        <v>815</v>
      </c>
      <c r="R360" s="23" t="n"/>
      <c r="S360" s="26" t="n">
        <v>1.73944518</v>
      </c>
      <c r="T360" s="24" t="n">
        <v>84.69</v>
      </c>
      <c r="U360" s="24" t="n">
        <v>65.8</v>
      </c>
      <c r="V360" s="24" t="n">
        <v>80.70999999999999</v>
      </c>
      <c r="W360" s="26" t="inlineStr">
        <is>
          <t>adidas Vl Court 3.0 Womens Sneakers</t>
        </is>
      </c>
      <c r="X360" s="23" t="n">
        <v>4</v>
      </c>
      <c r="Y360" s="18">
        <f>AC360-AB360</f>
        <v/>
      </c>
      <c r="Z360" s="27" t="n">
        <v>60</v>
      </c>
      <c r="AA360" s="27" t="n">
        <v>191</v>
      </c>
      <c r="AB360" s="27" t="n">
        <v>0</v>
      </c>
      <c r="AC360" s="27" t="n">
        <v>1562</v>
      </c>
      <c r="AD360" s="1" t="inlineStr">
        <is>
          <t>NLF97</t>
        </is>
      </c>
      <c r="AE360" s="1" t="inlineStr">
        <is>
          <t>Black/Black/Gold Metallic</t>
        </is>
      </c>
      <c r="AF360" s="4" t="inlineStr"/>
      <c r="AG360" s="4" t="n">
        <v>7.7</v>
      </c>
    </row>
    <row r="361" ht="47.25" customHeight="1">
      <c r="A361" s="18" t="inlineStr">
        <is>
          <t>197609901842</t>
        </is>
      </c>
      <c r="B361" s="19" t="inlineStr">
        <is>
          <t>https://www.amazon.com/dp/</t>
        </is>
      </c>
      <c r="C361" s="20" t="inlineStr">
        <is>
          <t>B0CKCQ7GQ9</t>
        </is>
      </c>
      <c r="D361" s="44" t="n"/>
      <c r="E361" s="23" t="inlineStr">
        <is>
          <t>?th=1&amp;psc=1&amp;tag=sdcdeals03-20</t>
        </is>
      </c>
      <c r="F361" s="19">
        <f>HYPERLINK("https://redirect.sdcdeals.com/redirect?destination=https%3A%2F%2Fwww.amazon.com%2Fdp%2FB0CKCQ7GQ9%3Fth%3D1%26psc%3D1%26tag%3Dsdcdeals03-20", "Amazon Link")</f>
        <v/>
      </c>
      <c r="G361" s="19" t="inlineStr">
        <is>
          <t>https://www.jcpenney.com/s?searchTerm={search_term}</t>
        </is>
      </c>
      <c r="H361" s="23" t="inlineStr">
        <is>
          <t>197609901842</t>
        </is>
      </c>
      <c r="I361" s="19">
        <f>HYPERLINK("https://www.jcpenney.com/s?searchTerm=197609901842", "Retail Link")</f>
        <v/>
      </c>
      <c r="J361" s="23" t="inlineStr">
        <is>
          <t>n/a</t>
        </is>
      </c>
      <c r="K361" s="21" t="inlineStr">
        <is>
          <t>adidas Women's VL Court 3.0 Sneaker, Black/Black/Gold Metallic, 10</t>
        </is>
      </c>
      <c r="L361" s="24" t="n"/>
      <c r="M361" s="24" t="n">
        <v>90</v>
      </c>
      <c r="N361" s="24" t="n"/>
      <c r="O361" s="24">
        <f>V361-M361</f>
        <v/>
      </c>
      <c r="P361" s="25">
        <f>N361/L361</f>
        <v/>
      </c>
      <c r="Q361" s="23" t="n">
        <v>815</v>
      </c>
      <c r="R361" s="23" t="n"/>
      <c r="S361" s="26" t="n">
        <v>1.9400656</v>
      </c>
      <c r="T361" s="24" t="n">
        <v>90</v>
      </c>
      <c r="U361" s="24" t="n">
        <v>70.45</v>
      </c>
      <c r="V361" s="24" t="n">
        <v>84.09</v>
      </c>
      <c r="W361" s="26" t="inlineStr">
        <is>
          <t>adidas Vl Court 3.0 Womens Sneakers</t>
        </is>
      </c>
      <c r="X361" s="23" t="n">
        <v>4</v>
      </c>
      <c r="Y361" s="18">
        <f>AC361-AB361</f>
        <v/>
      </c>
      <c r="Z361" s="27" t="n">
        <v>63</v>
      </c>
      <c r="AA361" s="27" t="n">
        <v>174</v>
      </c>
      <c r="AB361" s="27" t="n">
        <v>0</v>
      </c>
      <c r="AC361" s="27" t="n">
        <v>1562</v>
      </c>
      <c r="AD361" s="1" t="inlineStr">
        <is>
          <t>NLF97</t>
        </is>
      </c>
      <c r="AE361" s="1" t="inlineStr">
        <is>
          <t>Black/Black/Gold Metallic</t>
        </is>
      </c>
      <c r="AF361" s="4" t="inlineStr"/>
      <c r="AG361" s="4" t="n">
        <v>7.7</v>
      </c>
    </row>
    <row r="362" ht="47.25" customHeight="1">
      <c r="A362" s="18" t="inlineStr">
        <is>
          <t>197609899613</t>
        </is>
      </c>
      <c r="B362" s="19" t="inlineStr">
        <is>
          <t>https://www.amazon.com/dp/</t>
        </is>
      </c>
      <c r="C362" s="20" t="inlineStr">
        <is>
          <t>B0CKCXH9D1</t>
        </is>
      </c>
      <c r="D362" s="44" t="n"/>
      <c r="E362" s="23" t="inlineStr">
        <is>
          <t>?th=1&amp;psc=1&amp;tag=sdcdeals03-20</t>
        </is>
      </c>
      <c r="F362" s="19">
        <f>HYPERLINK("https://redirect.sdcdeals.com/redirect?destination=https%3A%2F%2Fwww.amazon.com%2Fdp%2FB0CKCXH9D1%3Fth%3D1%26psc%3D1%26tag%3Dsdcdeals03-20", "Amazon Link")</f>
        <v/>
      </c>
      <c r="G362" s="19" t="inlineStr">
        <is>
          <t>https://www.jcpenney.com/s?searchTerm={search_term}</t>
        </is>
      </c>
      <c r="H362" s="23" t="inlineStr">
        <is>
          <t>197609899613</t>
        </is>
      </c>
      <c r="I362" s="19">
        <f>HYPERLINK("https://www.jcpenney.com/s?searchTerm=197609899613", "Retail Link")</f>
        <v/>
      </c>
      <c r="J362" s="23" t="inlineStr">
        <is>
          <t>n/a</t>
        </is>
      </c>
      <c r="K362" s="21" t="inlineStr">
        <is>
          <t>adidas Women's VL Court 3.0 Sneaker, Black/Black/Gold Metallic, 11</t>
        </is>
      </c>
      <c r="L362" s="24" t="n"/>
      <c r="M362" s="24" t="n">
        <v>83.66</v>
      </c>
      <c r="N362" s="24" t="n"/>
      <c r="O362" s="24">
        <f>V362-M362</f>
        <v/>
      </c>
      <c r="P362" s="25">
        <f>N362/L362</f>
        <v/>
      </c>
      <c r="Q362" s="23" t="n">
        <v>815</v>
      </c>
      <c r="R362" s="23" t="n"/>
      <c r="S362" s="26" t="n">
        <v>2.01061344</v>
      </c>
      <c r="T362" s="24" t="n">
        <v>83.66</v>
      </c>
      <c r="U362" s="24" t="n">
        <v>64.02</v>
      </c>
      <c r="V362" s="24" t="n">
        <v>74.29000000000001</v>
      </c>
      <c r="W362" s="26" t="inlineStr">
        <is>
          <t>adidas Vl Court 3.0 Womens Sneakers</t>
        </is>
      </c>
      <c r="X362" s="23" t="n">
        <v>3</v>
      </c>
      <c r="Y362" s="18">
        <f>AC362-AB362</f>
        <v/>
      </c>
      <c r="Z362" s="27" t="n">
        <v>65</v>
      </c>
      <c r="AA362" s="27" t="n">
        <v>187</v>
      </c>
      <c r="AB362" s="27" t="n">
        <v>2</v>
      </c>
      <c r="AC362" s="27" t="n">
        <v>1566</v>
      </c>
      <c r="AD362" s="1" t="inlineStr">
        <is>
          <t>NLF97</t>
        </is>
      </c>
      <c r="AE362" s="1" t="inlineStr">
        <is>
          <t>Black/Black/Gold Metallic</t>
        </is>
      </c>
      <c r="AF362" s="4" t="inlineStr"/>
      <c r="AG362" s="4" t="n">
        <v>7.86</v>
      </c>
    </row>
    <row r="363" ht="47.25" customHeight="1">
      <c r="A363" s="18" t="inlineStr">
        <is>
          <t>194830675931</t>
        </is>
      </c>
      <c r="B363" s="19" t="inlineStr">
        <is>
          <t>https://www.amazon.com/dp/</t>
        </is>
      </c>
      <c r="C363" s="20" t="inlineStr">
        <is>
          <t>B091MHYDVF</t>
        </is>
      </c>
      <c r="D363" s="44" t="n"/>
      <c r="E363" s="23" t="inlineStr">
        <is>
          <t>?th=1&amp;psc=1&amp;tag=sdcdeals03-20</t>
        </is>
      </c>
      <c r="F363" s="19">
        <f>HYPERLINK("https://redirect.sdcdeals.com/redirect?destination=https%3A%2F%2Fwww.amazon.com%2Fdp%2FB091MHYDVF%3Fth%3D1%26psc%3D1%26tag%3Dsdcdeals03-20", "Amazon Link")</f>
        <v/>
      </c>
      <c r="G363" s="19" t="inlineStr">
        <is>
          <t>https://www.jcpenney.com/s?searchTerm={search_term}</t>
        </is>
      </c>
      <c r="H363" s="23" t="inlineStr">
        <is>
          <t>194830675931</t>
        </is>
      </c>
      <c r="I363" s="19">
        <f>HYPERLINK("https://www.jcpenney.com/s?searchTerm=194830675931", "Retail Link")</f>
        <v/>
      </c>
      <c r="J363" s="23" t="inlineStr">
        <is>
          <t>n/a</t>
        </is>
      </c>
      <c r="K363" s="21" t="inlineStr">
        <is>
          <t>adidas Women's Lite Racer 3.0 Running Shoe, Core Black/Core Black/Iron Metallic, 6</t>
        </is>
      </c>
      <c r="L363" s="24" t="n">
        <v>28.4905</v>
      </c>
      <c r="M363" s="24" t="n">
        <v>38.11</v>
      </c>
      <c r="N363" s="24" t="n">
        <v>-2.537000000000006</v>
      </c>
      <c r="O363" s="24">
        <f>V363-M363</f>
        <v/>
      </c>
      <c r="P363" s="25">
        <f>N363/L363</f>
        <v/>
      </c>
      <c r="Q363" s="23" t="n">
        <v>92085</v>
      </c>
      <c r="R363" s="23" t="n"/>
      <c r="S363" s="26" t="n">
        <v>1.0802638</v>
      </c>
      <c r="T363" s="24" t="n">
        <v>38.03</v>
      </c>
      <c r="U363" s="24" t="n">
        <v>38.53</v>
      </c>
      <c r="V363" s="24" t="n">
        <v>40.83</v>
      </c>
      <c r="W363" s="26" t="inlineStr">
        <is>
          <t>adidas Womens Lite Racer 3.0 Walking Shoes</t>
        </is>
      </c>
      <c r="X363" s="23" t="n">
        <v>7</v>
      </c>
      <c r="Y363" s="18">
        <f>AC363-AB363</f>
        <v/>
      </c>
      <c r="Z363" s="27" t="n">
        <v>36</v>
      </c>
      <c r="AA363" s="27" t="n">
        <v>109</v>
      </c>
      <c r="AB363" s="27" t="n">
        <v>8</v>
      </c>
      <c r="AC363" s="27" t="n">
        <v>111</v>
      </c>
      <c r="AD363" s="1" t="inlineStr">
        <is>
          <t>LWO23</t>
        </is>
      </c>
      <c r="AE363" s="1" t="inlineStr">
        <is>
          <t>Core Black/Core Black/Iron Metallic</t>
        </is>
      </c>
      <c r="AF363" s="4" t="n">
        <v>5.71</v>
      </c>
      <c r="AG363" s="4" t="n">
        <v>6.44</v>
      </c>
    </row>
    <row r="364" ht="47.25" customHeight="1">
      <c r="A364" s="18" t="inlineStr">
        <is>
          <t>194830675979</t>
        </is>
      </c>
      <c r="B364" s="19" t="inlineStr">
        <is>
          <t>https://www.amazon.com/dp/</t>
        </is>
      </c>
      <c r="C364" s="20" t="inlineStr">
        <is>
          <t>B091MSLKWG</t>
        </is>
      </c>
      <c r="D364" s="44" t="n"/>
      <c r="E364" s="23" t="inlineStr">
        <is>
          <t>?th=1&amp;psc=1&amp;tag=sdcdeals03-20</t>
        </is>
      </c>
      <c r="F364" s="19">
        <f>HYPERLINK("https://redirect.sdcdeals.com/redirect?destination=https%3A%2F%2Fwww.amazon.com%2Fdp%2FB091MSLKWG%3Fth%3D1%26psc%3D1%26tag%3Dsdcdeals03-20", "Amazon Link")</f>
        <v/>
      </c>
      <c r="G364" s="19" t="inlineStr">
        <is>
          <t>https://www.jcpenney.com/s?searchTerm={search_term}</t>
        </is>
      </c>
      <c r="H364" s="23" t="inlineStr">
        <is>
          <t>194830675979</t>
        </is>
      </c>
      <c r="I364" s="19">
        <f>HYPERLINK("https://www.jcpenney.com/s?searchTerm=194830675979", "Retail Link")</f>
        <v/>
      </c>
      <c r="J364" s="23" t="inlineStr">
        <is>
          <t>n/a</t>
        </is>
      </c>
      <c r="K364" s="21" t="inlineStr">
        <is>
          <t>adidas Women's Lite Racer 3.0 Running Shoe, Core Black/Core Black/Iron Metallic, 6.5</t>
        </is>
      </c>
      <c r="L364" s="24" t="n">
        <v>28.4905</v>
      </c>
      <c r="M364" s="24" t="n">
        <v>38.1</v>
      </c>
      <c r="N364" s="24" t="n">
        <v>-2.715500000000002</v>
      </c>
      <c r="O364" s="24">
        <f>V364-M364</f>
        <v/>
      </c>
      <c r="P364" s="25">
        <f>N364/L364</f>
        <v/>
      </c>
      <c r="Q364" s="23" t="n">
        <v>91517</v>
      </c>
      <c r="R364" s="23" t="n"/>
      <c r="S364" s="26" t="n">
        <v>1.0361714</v>
      </c>
      <c r="T364" s="24" t="n">
        <v>38.1</v>
      </c>
      <c r="U364" s="24" t="n">
        <v>40.13</v>
      </c>
      <c r="V364" s="24" t="n">
        <v>41.84</v>
      </c>
      <c r="W364" s="26" t="inlineStr">
        <is>
          <t>adidas Womens Lite Racer 3.0 Walking Shoes</t>
        </is>
      </c>
      <c r="X364" s="23" t="n">
        <v>13</v>
      </c>
      <c r="Y364" s="18">
        <f>AC364-AB364</f>
        <v/>
      </c>
      <c r="Z364" s="27" t="n">
        <v>43</v>
      </c>
      <c r="AA364" s="27" t="n">
        <v>123</v>
      </c>
      <c r="AB364" s="27" t="n">
        <v>10</v>
      </c>
      <c r="AC364" s="27" t="n">
        <v>111</v>
      </c>
      <c r="AD364" s="1" t="inlineStr">
        <is>
          <t>LWO23</t>
        </is>
      </c>
      <c r="AE364" s="1" t="inlineStr">
        <is>
          <t>Core Black/Core Black/Iron Metallic</t>
        </is>
      </c>
      <c r="AF364" s="4" t="n">
        <v>5.72</v>
      </c>
      <c r="AG364" s="4" t="n">
        <v>6.61</v>
      </c>
    </row>
    <row r="365" ht="47.25" customHeight="1">
      <c r="A365" s="18" t="inlineStr">
        <is>
          <t>194830675924</t>
        </is>
      </c>
      <c r="B365" s="19" t="inlineStr">
        <is>
          <t>https://www.amazon.com/dp/</t>
        </is>
      </c>
      <c r="C365" s="20" t="inlineStr">
        <is>
          <t>B091MLW5FJ</t>
        </is>
      </c>
      <c r="D365" s="44" t="n"/>
      <c r="E365" s="23" t="inlineStr">
        <is>
          <t>?th=1&amp;psc=1&amp;tag=sdcdeals03-20</t>
        </is>
      </c>
      <c r="F365" s="19">
        <f>HYPERLINK("https://redirect.sdcdeals.com/redirect?destination=https%3A%2F%2Fwww.amazon.com%2Fdp%2FB091MLW5FJ%3Fth%3D1%26psc%3D1%26tag%3Dsdcdeals03-20", "Amazon Link")</f>
        <v/>
      </c>
      <c r="G365" s="19" t="inlineStr">
        <is>
          <t>https://www.jcpenney.com/s?searchTerm={search_term}</t>
        </is>
      </c>
      <c r="H365" s="23" t="inlineStr">
        <is>
          <t>194830675924</t>
        </is>
      </c>
      <c r="I365" s="19">
        <f>HYPERLINK("https://www.jcpenney.com/s?searchTerm=194830675924", "Retail Link")</f>
        <v/>
      </c>
      <c r="J365" s="23" t="inlineStr">
        <is>
          <t>n/a</t>
        </is>
      </c>
      <c r="K365" s="21" t="inlineStr">
        <is>
          <t>adidas Women's Lite Racer 3.0 Running Shoe, Core Black/Core Black/Iron Metallic, 7</t>
        </is>
      </c>
      <c r="L365" s="24" t="n">
        <v>28.4905</v>
      </c>
      <c r="M365" s="24" t="n">
        <v>37.77</v>
      </c>
      <c r="N365" s="24" t="n">
        <v>-3.925999999999998</v>
      </c>
      <c r="O365" s="24">
        <f>V365-M365</f>
        <v/>
      </c>
      <c r="P365" s="25">
        <f>N365/L365</f>
        <v/>
      </c>
      <c r="Q365" s="23" t="n">
        <v>29143</v>
      </c>
      <c r="R365" s="23" t="n">
        <v>50</v>
      </c>
      <c r="S365" s="26" t="n">
        <v>1.1684486</v>
      </c>
      <c r="T365" s="24" t="n">
        <v>37.79</v>
      </c>
      <c r="U365" s="24" t="n">
        <v>39.17</v>
      </c>
      <c r="V365" s="24" t="n">
        <v>39</v>
      </c>
      <c r="W365" s="26" t="inlineStr">
        <is>
          <t>adidas Womens Lite Racer 3.0 Walking Shoes</t>
        </is>
      </c>
      <c r="X365" s="23" t="n">
        <v>10</v>
      </c>
      <c r="Y365" s="18">
        <f>AC365-AB365</f>
        <v/>
      </c>
      <c r="Z365" s="27" t="n">
        <v>34</v>
      </c>
      <c r="AA365" s="27" t="n">
        <v>116</v>
      </c>
      <c r="AB365" s="27" t="n">
        <v>22</v>
      </c>
      <c r="AC365" s="27" t="n">
        <v>193</v>
      </c>
      <c r="AD365" s="1" t="inlineStr">
        <is>
          <t>LWO23</t>
        </is>
      </c>
      <c r="AE365" s="1" t="inlineStr">
        <is>
          <t>Core Black/Core Black/Iron Metallic</t>
        </is>
      </c>
      <c r="AF365" s="4" t="n">
        <v>5.67</v>
      </c>
      <c r="AG365" s="4" t="n">
        <v>7.54</v>
      </c>
    </row>
    <row r="366" ht="47.25" customHeight="1">
      <c r="A366" s="18" t="inlineStr">
        <is>
          <t>194830676013</t>
        </is>
      </c>
      <c r="B366" s="19" t="inlineStr">
        <is>
          <t>https://www.amazon.com/dp/</t>
        </is>
      </c>
      <c r="C366" s="20" t="inlineStr">
        <is>
          <t>B091MNT47W</t>
        </is>
      </c>
      <c r="D366" s="44" t="n"/>
      <c r="E366" s="23" t="inlineStr">
        <is>
          <t>?th=1&amp;psc=1&amp;tag=sdcdeals03-20</t>
        </is>
      </c>
      <c r="F366" s="19">
        <f>HYPERLINK("https://redirect.sdcdeals.com/redirect?destination=https%3A%2F%2Fwww.amazon.com%2Fdp%2FB091MNT47W%3Fth%3D1%26psc%3D1%26tag%3Dsdcdeals03-20", "Amazon Link")</f>
        <v/>
      </c>
      <c r="G366" s="19" t="inlineStr">
        <is>
          <t>https://www.jcpenney.com/s?searchTerm={search_term}</t>
        </is>
      </c>
      <c r="H366" s="23" t="inlineStr">
        <is>
          <t>194830676013</t>
        </is>
      </c>
      <c r="I366" s="19">
        <f>HYPERLINK("https://www.jcpenney.com/s?searchTerm=194830676013", "Retail Link")</f>
        <v/>
      </c>
      <c r="J366" s="23" t="inlineStr">
        <is>
          <t>n/a</t>
        </is>
      </c>
      <c r="K366" s="21" t="inlineStr">
        <is>
          <t>adidas Women's Lite Racer 3.0 Running Shoe, Core Black/Core Black/Iron Metallic, 7.5</t>
        </is>
      </c>
      <c r="L366" s="24" t="n">
        <v>28.4905</v>
      </c>
      <c r="M366" s="24" t="n">
        <v>37.77</v>
      </c>
      <c r="N366" s="24" t="n">
        <v>-3.925999999999998</v>
      </c>
      <c r="O366" s="24">
        <f>V366-M366</f>
        <v/>
      </c>
      <c r="P366" s="25">
        <f>N366/L366</f>
        <v/>
      </c>
      <c r="Q366" s="23" t="n">
        <v>29143</v>
      </c>
      <c r="R366" s="23" t="n"/>
      <c r="S366" s="26" t="n">
        <v>1.0141252</v>
      </c>
      <c r="T366" s="24" t="n">
        <v>37.77</v>
      </c>
      <c r="U366" s="24" t="n">
        <v>41.11</v>
      </c>
      <c r="V366" s="24" t="n">
        <v>42.58</v>
      </c>
      <c r="W366" s="26" t="inlineStr">
        <is>
          <t>adidas Womens Lite Racer 3.0 Walking Shoes</t>
        </is>
      </c>
      <c r="X366" s="23" t="n">
        <v>14</v>
      </c>
      <c r="Y366" s="18">
        <f>AC366-AB366</f>
        <v/>
      </c>
      <c r="Z366" s="27" t="n">
        <v>36</v>
      </c>
      <c r="AA366" s="27" t="n">
        <v>112</v>
      </c>
      <c r="AB366" s="27" t="n">
        <v>17</v>
      </c>
      <c r="AC366" s="27" t="n">
        <v>193</v>
      </c>
      <c r="AD366" s="1" t="inlineStr">
        <is>
          <t>LWO23</t>
        </is>
      </c>
      <c r="AE366" s="1" t="inlineStr">
        <is>
          <t>Core Black/Core Black/Iron Metallic</t>
        </is>
      </c>
      <c r="AF366" s="4" t="n">
        <v>5.67</v>
      </c>
      <c r="AG366" s="4" t="n">
        <v>7.54</v>
      </c>
    </row>
    <row r="367" ht="47.25" customHeight="1">
      <c r="A367" s="18" t="inlineStr">
        <is>
          <t>194830675993</t>
        </is>
      </c>
      <c r="B367" s="19" t="inlineStr">
        <is>
          <t>https://www.amazon.com/dp/</t>
        </is>
      </c>
      <c r="C367" s="20" t="inlineStr">
        <is>
          <t>B091M81CXK</t>
        </is>
      </c>
      <c r="D367" s="44" t="n"/>
      <c r="E367" s="23" t="inlineStr">
        <is>
          <t>?th=1&amp;psc=1&amp;tag=sdcdeals03-20</t>
        </is>
      </c>
      <c r="F367" s="19">
        <f>HYPERLINK("https://redirect.sdcdeals.com/redirect?destination=https%3A%2F%2Fwww.amazon.com%2Fdp%2FB091M81CXK%3Fth%3D1%26psc%3D1%26tag%3Dsdcdeals03-20", "Amazon Link")</f>
        <v/>
      </c>
      <c r="G367" s="19" t="inlineStr">
        <is>
          <t>https://www.jcpenney.com/s?searchTerm={search_term}</t>
        </is>
      </c>
      <c r="H367" s="23" t="inlineStr">
        <is>
          <t>194830675993</t>
        </is>
      </c>
      <c r="I367" s="19">
        <f>HYPERLINK("https://www.jcpenney.com/s?searchTerm=194830675993", "Retail Link")</f>
        <v/>
      </c>
      <c r="J367" s="23" t="inlineStr">
        <is>
          <t>n/a</t>
        </is>
      </c>
      <c r="K367" s="21" t="inlineStr">
        <is>
          <t>adidas Women's Lite Racer 3.0 Running Shoe, Core Black/Core Black/Iron Metallic, 8</t>
        </is>
      </c>
      <c r="L367" s="24" t="n">
        <v>28.4905</v>
      </c>
      <c r="M367" s="24" t="n">
        <v>32.89</v>
      </c>
      <c r="N367" s="24" t="n">
        <v>-8.074000000000002</v>
      </c>
      <c r="O367" s="24">
        <f>V367-M367</f>
        <v/>
      </c>
      <c r="P367" s="25">
        <f>N367/L367</f>
        <v/>
      </c>
      <c r="Q367" s="23" t="n">
        <v>92085</v>
      </c>
      <c r="R367" s="23" t="n">
        <v>50</v>
      </c>
      <c r="S367" s="26" t="n">
        <v>1.25883802</v>
      </c>
      <c r="T367" s="24" t="n">
        <v>32.88</v>
      </c>
      <c r="U367" s="24" t="n">
        <v>37.21</v>
      </c>
      <c r="V367" s="24" t="n">
        <v>40.9</v>
      </c>
      <c r="W367" s="26" t="inlineStr">
        <is>
          <t>adidas Womens Lite Racer 3.0 Walking Shoes</t>
        </is>
      </c>
      <c r="X367" s="23" t="n">
        <v>26</v>
      </c>
      <c r="Y367" s="18">
        <f>AC367-AB367</f>
        <v/>
      </c>
      <c r="Z367" s="27" t="n">
        <v>74</v>
      </c>
      <c r="AA367" s="27" t="n">
        <v>180</v>
      </c>
      <c r="AB367" s="27" t="n">
        <v>29</v>
      </c>
      <c r="AC367" s="27" t="n">
        <v>111</v>
      </c>
      <c r="AD367" s="1" t="inlineStr">
        <is>
          <t>LWO23</t>
        </is>
      </c>
      <c r="AE367" s="1" t="inlineStr">
        <is>
          <t>Core Black/Core Black/Iron Metallic</t>
        </is>
      </c>
      <c r="AF367" s="4" t="n">
        <v>4.93</v>
      </c>
      <c r="AG367" s="4" t="n">
        <v>7.54</v>
      </c>
    </row>
    <row r="368" ht="47.25" customHeight="1">
      <c r="A368" s="18" t="inlineStr">
        <is>
          <t>194830675948</t>
        </is>
      </c>
      <c r="B368" s="19" t="inlineStr">
        <is>
          <t>https://www.amazon.com/dp/</t>
        </is>
      </c>
      <c r="C368" s="20" t="inlineStr">
        <is>
          <t>B091MPCYQ2</t>
        </is>
      </c>
      <c r="D368" s="44" t="n"/>
      <c r="E368" s="23" t="inlineStr">
        <is>
          <t>?th=1&amp;psc=1&amp;tag=sdcdeals03-20</t>
        </is>
      </c>
      <c r="F368" s="19">
        <f>HYPERLINK("https://redirect.sdcdeals.com/redirect?destination=https%3A%2F%2Fwww.amazon.com%2Fdp%2FB091MPCYQ2%3Fth%3D1%26psc%3D1%26tag%3Dsdcdeals03-20", "Amazon Link")</f>
        <v/>
      </c>
      <c r="G368" s="19" t="inlineStr">
        <is>
          <t>https://www.jcpenney.com/s?searchTerm={search_term}</t>
        </is>
      </c>
      <c r="H368" s="23" t="inlineStr">
        <is>
          <t>194830675948</t>
        </is>
      </c>
      <c r="I368" s="19">
        <f>HYPERLINK("https://www.jcpenney.com/s?searchTerm=194830675948", "Retail Link")</f>
        <v/>
      </c>
      <c r="J368" s="23" t="inlineStr">
        <is>
          <t>n/a</t>
        </is>
      </c>
      <c r="K368" s="21" t="inlineStr">
        <is>
          <t>adidas Women's Lite Racer 3.0 Running Shoe, Core Black/Core Black/Iron Metallic, 8.5</t>
        </is>
      </c>
      <c r="L368" s="24" t="n">
        <v>28.4905</v>
      </c>
      <c r="M368" s="24" t="n">
        <v>38</v>
      </c>
      <c r="N368" s="24" t="n">
        <v>-3.810500000000005</v>
      </c>
      <c r="O368" s="24">
        <f>V368-M368</f>
        <v/>
      </c>
      <c r="P368" s="25">
        <f>N368/L368</f>
        <v/>
      </c>
      <c r="Q368" s="23" t="n">
        <v>91517</v>
      </c>
      <c r="R368" s="23" t="n">
        <v>50</v>
      </c>
      <c r="S368" s="26" t="n">
        <v>1.10231</v>
      </c>
      <c r="T368" s="24" t="n">
        <v>36.7</v>
      </c>
      <c r="U368" s="24" t="n">
        <v>36.61</v>
      </c>
      <c r="V368" s="24" t="n">
        <v>40.31</v>
      </c>
      <c r="W368" s="26" t="inlineStr">
        <is>
          <t>adidas Womens Lite Racer 3.0 Walking Shoes</t>
        </is>
      </c>
      <c r="X368" s="23" t="n">
        <v>25</v>
      </c>
      <c r="Y368" s="18">
        <f>AC368-AB368</f>
        <v/>
      </c>
      <c r="Z368" s="27" t="n">
        <v>57</v>
      </c>
      <c r="AA368" s="27" t="n">
        <v>158</v>
      </c>
      <c r="AB368" s="27" t="n">
        <v>16</v>
      </c>
      <c r="AC368" s="27" t="n">
        <v>111</v>
      </c>
      <c r="AD368" s="1" t="inlineStr">
        <is>
          <t>LWO23</t>
        </is>
      </c>
      <c r="AE368" s="1" t="inlineStr">
        <is>
          <t>Core Black/Core Black/Iron Metallic</t>
        </is>
      </c>
      <c r="AF368" s="4" t="n">
        <v>5.7</v>
      </c>
      <c r="AG368" s="4" t="n">
        <v>7.62</v>
      </c>
    </row>
    <row r="369" ht="47.25" customHeight="1">
      <c r="A369" s="18" t="inlineStr">
        <is>
          <t>194830675917</t>
        </is>
      </c>
      <c r="B369" s="19" t="inlineStr">
        <is>
          <t>https://www.amazon.com/dp/</t>
        </is>
      </c>
      <c r="C369" s="20" t="inlineStr">
        <is>
          <t>B091MR1XTL</t>
        </is>
      </c>
      <c r="D369" s="44" t="n"/>
      <c r="E369" s="23" t="inlineStr">
        <is>
          <t>?th=1&amp;psc=1&amp;tag=sdcdeals03-20</t>
        </is>
      </c>
      <c r="F369" s="19">
        <f>HYPERLINK("https://redirect.sdcdeals.com/redirect?destination=https%3A%2F%2Fwww.amazon.com%2Fdp%2FB091MR1XTL%3Fth%3D1%26psc%3D1%26tag%3Dsdcdeals03-20", "Amazon Link")</f>
        <v/>
      </c>
      <c r="G369" s="19" t="inlineStr">
        <is>
          <t>https://www.jcpenney.com/s?searchTerm={search_term}</t>
        </is>
      </c>
      <c r="H369" s="23" t="inlineStr">
        <is>
          <t>194830675917</t>
        </is>
      </c>
      <c r="I369" s="19">
        <f>HYPERLINK("https://www.jcpenney.com/s?searchTerm=194830675917", "Retail Link")</f>
        <v/>
      </c>
      <c r="J369" s="23" t="inlineStr">
        <is>
          <t>n/a</t>
        </is>
      </c>
      <c r="K369" s="21" t="inlineStr">
        <is>
          <t>adidas Women's Lite Racer 3.0 Running Shoe, Core Black/Core Black/Iron Metallic, 9</t>
        </is>
      </c>
      <c r="L369" s="24" t="n">
        <v>28.4905</v>
      </c>
      <c r="M369" s="24" t="n">
        <v>38.73</v>
      </c>
      <c r="N369" s="24" t="n">
        <v>-3.190000000000005</v>
      </c>
      <c r="O369" s="24">
        <f>V369-M369</f>
        <v/>
      </c>
      <c r="P369" s="25">
        <f>N369/L369</f>
        <v/>
      </c>
      <c r="Q369" s="23" t="n">
        <v>29143</v>
      </c>
      <c r="R369" s="23" t="n">
        <v>50</v>
      </c>
      <c r="S369" s="26" t="n">
        <v>1.3117489</v>
      </c>
      <c r="T369" s="24" t="n">
        <v>38.73</v>
      </c>
      <c r="U369" s="24" t="n">
        <v>38.19</v>
      </c>
      <c r="V369" s="24" t="n">
        <v>40.46</v>
      </c>
      <c r="W369" s="26" t="inlineStr">
        <is>
          <t>adidas Womens Lite Racer 3.0 Walking Shoes</t>
        </is>
      </c>
      <c r="X369" s="23" t="n">
        <v>14</v>
      </c>
      <c r="Y369" s="18">
        <f>AC369-AB369</f>
        <v/>
      </c>
      <c r="Z369" s="27" t="n">
        <v>41</v>
      </c>
      <c r="AA369" s="27" t="n">
        <v>113</v>
      </c>
      <c r="AB369" s="27" t="n">
        <v>20</v>
      </c>
      <c r="AC369" s="27" t="n">
        <v>193</v>
      </c>
      <c r="AD369" s="1" t="inlineStr">
        <is>
          <t>LWO23</t>
        </is>
      </c>
      <c r="AE369" s="1" t="inlineStr">
        <is>
          <t>Core Black/Core Black/Iron Metallic</t>
        </is>
      </c>
      <c r="AF369" s="4" t="n">
        <v>5.81</v>
      </c>
      <c r="AG369" s="4" t="n">
        <v>7.62</v>
      </c>
    </row>
    <row r="370" ht="47.25" customHeight="1">
      <c r="A370" s="18" t="inlineStr">
        <is>
          <t>194830675962</t>
        </is>
      </c>
      <c r="B370" s="19" t="inlineStr">
        <is>
          <t>https://www.amazon.com/dp/</t>
        </is>
      </c>
      <c r="C370" s="20" t="inlineStr">
        <is>
          <t>B091MHZFHX</t>
        </is>
      </c>
      <c r="D370" s="44" t="n"/>
      <c r="E370" s="23" t="inlineStr">
        <is>
          <t>?th=1&amp;psc=1&amp;tag=sdcdeals03-20</t>
        </is>
      </c>
      <c r="F370" s="19">
        <f>HYPERLINK("https://redirect.sdcdeals.com/redirect?destination=https%3A%2F%2Fwww.amazon.com%2Fdp%2FB091MHZFHX%3Fth%3D1%26psc%3D1%26tag%3Dsdcdeals03-20", "Amazon Link")</f>
        <v/>
      </c>
      <c r="G370" s="19" t="inlineStr">
        <is>
          <t>https://www.jcpenney.com/s?searchTerm={search_term}</t>
        </is>
      </c>
      <c r="H370" s="23" t="inlineStr">
        <is>
          <t>194830675962</t>
        </is>
      </c>
      <c r="I370" s="19">
        <f>HYPERLINK("https://www.jcpenney.com/s?searchTerm=194830675962", "Retail Link")</f>
        <v/>
      </c>
      <c r="J370" s="23" t="inlineStr">
        <is>
          <t>n/a</t>
        </is>
      </c>
      <c r="K370" s="21" t="inlineStr">
        <is>
          <t>adidas Women's Lite Racer 3.0 Running Shoe, Core Black/Core Black/Iron Metallic, 9.5</t>
        </is>
      </c>
      <c r="L370" s="24" t="n">
        <v>28.4905</v>
      </c>
      <c r="M370" s="24" t="n">
        <v>37.86</v>
      </c>
      <c r="N370" s="24" t="n">
        <v>-3.849500000000003</v>
      </c>
      <c r="O370" s="24">
        <f>V370-M370</f>
        <v/>
      </c>
      <c r="P370" s="25">
        <f>N370/L370</f>
        <v/>
      </c>
      <c r="Q370" s="23" t="n">
        <v>29143</v>
      </c>
      <c r="R370" s="23" t="n"/>
      <c r="S370" s="26" t="n">
        <v>1.33599972</v>
      </c>
      <c r="T370" s="24" t="n">
        <v>37.86</v>
      </c>
      <c r="U370" s="24" t="n">
        <v>39.74</v>
      </c>
      <c r="V370" s="24" t="n">
        <v>42.08</v>
      </c>
      <c r="W370" s="26" t="inlineStr">
        <is>
          <t>adidas Womens Lite Racer 3.0 Walking Shoes</t>
        </is>
      </c>
      <c r="X370" s="23" t="n">
        <v>11</v>
      </c>
      <c r="Y370" s="18">
        <f>AC370-AB370</f>
        <v/>
      </c>
      <c r="Z370" s="27" t="n">
        <v>43</v>
      </c>
      <c r="AA370" s="27" t="n">
        <v>114</v>
      </c>
      <c r="AB370" s="27" t="n">
        <v>5</v>
      </c>
      <c r="AC370" s="27" t="n">
        <v>193</v>
      </c>
      <c r="AD370" s="1" t="inlineStr">
        <is>
          <t>LWO23</t>
        </is>
      </c>
      <c r="AE370" s="1" t="inlineStr">
        <is>
          <t>Core Black/Core Black/Iron Metallic</t>
        </is>
      </c>
      <c r="AF370" s="4" t="n">
        <v>5.68</v>
      </c>
      <c r="AG370" s="4" t="n">
        <v>7.54</v>
      </c>
    </row>
    <row r="371" ht="47.25" customHeight="1">
      <c r="A371" s="18" t="inlineStr">
        <is>
          <t>194830675986</t>
        </is>
      </c>
      <c r="B371" s="19" t="inlineStr">
        <is>
          <t>https://www.amazon.com/dp/</t>
        </is>
      </c>
      <c r="C371" s="20" t="inlineStr">
        <is>
          <t>B091MMMFD8</t>
        </is>
      </c>
      <c r="D371" s="44" t="n"/>
      <c r="E371" s="23" t="inlineStr">
        <is>
          <t>?th=1&amp;psc=1&amp;tag=sdcdeals03-20</t>
        </is>
      </c>
      <c r="F371" s="19">
        <f>HYPERLINK("https://redirect.sdcdeals.com/redirect?destination=https%3A%2F%2Fwww.amazon.com%2Fdp%2FB091MMMFD8%3Fth%3D1%26psc%3D1%26tag%3Dsdcdeals03-20", "Amazon Link")</f>
        <v/>
      </c>
      <c r="G371" s="19" t="inlineStr">
        <is>
          <t>https://www.jcpenney.com/s?searchTerm={search_term}</t>
        </is>
      </c>
      <c r="H371" s="23" t="inlineStr">
        <is>
          <t>194830675986</t>
        </is>
      </c>
      <c r="I371" s="19">
        <f>HYPERLINK("https://www.jcpenney.com/s?searchTerm=194830675986", "Retail Link")</f>
        <v/>
      </c>
      <c r="J371" s="23" t="inlineStr">
        <is>
          <t>n/a</t>
        </is>
      </c>
      <c r="K371" s="21" t="inlineStr">
        <is>
          <t>adidas Women's Lite Racer 3.0 Running Shoe, Core Black/Core Black/Iron Metallic, 10</t>
        </is>
      </c>
      <c r="L371" s="24" t="n">
        <v>28.4905</v>
      </c>
      <c r="M371" s="24" t="n">
        <v>37.47</v>
      </c>
      <c r="N371" s="24" t="n">
        <v>-4.501000000000001</v>
      </c>
      <c r="O371" s="24">
        <f>V371-M371</f>
        <v/>
      </c>
      <c r="P371" s="25">
        <f>N371/L371</f>
        <v/>
      </c>
      <c r="Q371" s="23" t="n">
        <v>29143</v>
      </c>
      <c r="R371" s="23" t="n"/>
      <c r="S371" s="26" t="n">
        <v>1.4550492</v>
      </c>
      <c r="T371" s="24" t="n">
        <v>37.47</v>
      </c>
      <c r="U371" s="24" t="n">
        <v>42.33</v>
      </c>
      <c r="V371" s="24" t="n">
        <v>45.96</v>
      </c>
      <c r="W371" s="26" t="inlineStr">
        <is>
          <t>adidas Womens Lite Racer 3.0 Walking Shoes</t>
        </is>
      </c>
      <c r="X371" s="23" t="n">
        <v>17</v>
      </c>
      <c r="Y371" s="18">
        <f>AC371-AB371</f>
        <v/>
      </c>
      <c r="Z371" s="27" t="n">
        <v>37</v>
      </c>
      <c r="AA371" s="27" t="n">
        <v>119</v>
      </c>
      <c r="AB371" s="27" t="n">
        <v>3</v>
      </c>
      <c r="AC371" s="27" t="n">
        <v>193</v>
      </c>
      <c r="AD371" s="1" t="inlineStr">
        <is>
          <t>LWO23</t>
        </is>
      </c>
      <c r="AE371" s="1" t="inlineStr">
        <is>
          <t>Core Black/Core Black/Iron Metallic</t>
        </is>
      </c>
      <c r="AF371" s="4" t="n">
        <v>5.62</v>
      </c>
      <c r="AG371" s="4" t="n">
        <v>7.86</v>
      </c>
    </row>
    <row r="372" ht="47.25" customHeight="1">
      <c r="A372" s="18" t="inlineStr">
        <is>
          <t>195739844800</t>
        </is>
      </c>
      <c r="B372" s="19" t="inlineStr">
        <is>
          <t>https://www.amazon.com/dp/</t>
        </is>
      </c>
      <c r="C372" s="20" t="inlineStr">
        <is>
          <t>B09DXW2SYG</t>
        </is>
      </c>
      <c r="D372" s="44" t="n"/>
      <c r="E372" s="23" t="inlineStr">
        <is>
          <t>?th=1&amp;psc=1&amp;tag=sdcdeals03-20</t>
        </is>
      </c>
      <c r="F372" s="19">
        <f>HYPERLINK("https://redirect.sdcdeals.com/redirect?destination=https%3A%2F%2Fwww.amazon.com%2Fdp%2FB09DXW2SYG%3Fth%3D1%26psc%3D1%26tag%3Dsdcdeals03-20", "Amazon Link")</f>
        <v/>
      </c>
      <c r="G372" s="19" t="inlineStr">
        <is>
          <t>https://www.jcpenney.com/s?searchTerm={search_term}</t>
        </is>
      </c>
      <c r="H372" s="23" t="inlineStr">
        <is>
          <t>195739844800</t>
        </is>
      </c>
      <c r="I372" s="19">
        <f>HYPERLINK("https://www.jcpenney.com/s?searchTerm=195739844800", "Retail Link")</f>
        <v/>
      </c>
      <c r="J372" s="23" t="inlineStr">
        <is>
          <t>n/a</t>
        </is>
      </c>
      <c r="K372" s="21" t="inlineStr">
        <is>
          <t>adidas Women's Grand Court 2.0 Tennis Shoe</t>
        </is>
      </c>
      <c r="L372" s="24" t="n"/>
      <c r="M372" s="24" t="n">
        <v>69.98999999999999</v>
      </c>
      <c r="N372" s="24" t="n"/>
      <c r="O372" s="24">
        <f>V372-M372</f>
        <v/>
      </c>
      <c r="P372" s="25">
        <f>N372/L372</f>
        <v/>
      </c>
      <c r="Q372" s="23" t="n">
        <v>3965</v>
      </c>
      <c r="R372" s="23" t="n"/>
      <c r="S372" s="26" t="n">
        <v>1.69535278</v>
      </c>
      <c r="T372" s="24" t="n">
        <v>69.95</v>
      </c>
      <c r="U372" s="24" t="n">
        <v>68.37</v>
      </c>
      <c r="V372" s="24" t="n">
        <v>68.48</v>
      </c>
      <c r="W372" s="26" t="inlineStr">
        <is>
          <t>adidas Grand Court 2.0 Womens Sneakers</t>
        </is>
      </c>
      <c r="X372" s="23" t="n">
        <v>5</v>
      </c>
      <c r="Y372" s="18">
        <f>AC372-AB372</f>
        <v/>
      </c>
      <c r="Z372" s="27" t="n">
        <v>50</v>
      </c>
      <c r="AA372" s="27" t="n">
        <v>144</v>
      </c>
      <c r="AB372" s="27" t="n">
        <v>15</v>
      </c>
      <c r="AC372" s="27" t="n">
        <v>2740</v>
      </c>
      <c r="AD372" s="1" t="inlineStr">
        <is>
          <t>GW9214</t>
        </is>
      </c>
      <c r="AE372" s="1" t="inlineStr">
        <is>
          <t>Black</t>
        </is>
      </c>
      <c r="AF372" s="4" t="n">
        <v>10.5</v>
      </c>
      <c r="AG372" s="4" t="n">
        <v>7.7</v>
      </c>
    </row>
    <row r="373" ht="47.25" customHeight="1">
      <c r="A373" s="18" t="inlineStr">
        <is>
          <t>195739844862</t>
        </is>
      </c>
      <c r="B373" s="19" t="inlineStr">
        <is>
          <t>https://www.amazon.com/dp/</t>
        </is>
      </c>
      <c r="C373" s="20" t="inlineStr">
        <is>
          <t>B09DXTRN2Z</t>
        </is>
      </c>
      <c r="D373" s="44" t="n"/>
      <c r="E373" s="23" t="inlineStr">
        <is>
          <t>?th=1&amp;psc=1&amp;tag=sdcdeals03-20</t>
        </is>
      </c>
      <c r="F373" s="19">
        <f>HYPERLINK("https://redirect.sdcdeals.com/redirect?destination=https%3A%2F%2Fwww.amazon.com%2Fdp%2FB09DXTRN2Z%3Fth%3D1%26psc%3D1%26tag%3Dsdcdeals03-20", "Amazon Link")</f>
        <v/>
      </c>
      <c r="G373" s="19" t="inlineStr">
        <is>
          <t>https://www.jcpenney.com/s?searchTerm={search_term}</t>
        </is>
      </c>
      <c r="H373" s="23" t="inlineStr">
        <is>
          <t>195739844862</t>
        </is>
      </c>
      <c r="I373" s="19">
        <f>HYPERLINK("https://www.jcpenney.com/s?searchTerm=195739844862", "Retail Link")</f>
        <v/>
      </c>
      <c r="J373" s="23" t="inlineStr">
        <is>
          <t>n/a</t>
        </is>
      </c>
      <c r="K373" s="21" t="inlineStr">
        <is>
          <t>adidas Women's Grand Court 2.0 Tennis Shoe</t>
        </is>
      </c>
      <c r="L373" s="24" t="n"/>
      <c r="M373" s="24" t="n">
        <v>70</v>
      </c>
      <c r="N373" s="24" t="n"/>
      <c r="O373" s="24">
        <f>V373-M373</f>
        <v/>
      </c>
      <c r="P373" s="25">
        <f>N373/L373</f>
        <v/>
      </c>
      <c r="Q373" s="23" t="n">
        <v>8133</v>
      </c>
      <c r="R373" s="23" t="n">
        <v>50</v>
      </c>
      <c r="S373" s="26" t="n">
        <v>1.58953102</v>
      </c>
      <c r="T373" s="24" t="n">
        <v>70</v>
      </c>
      <c r="U373" s="24" t="n">
        <v>65.33</v>
      </c>
      <c r="V373" s="24" t="n">
        <v>66.48999999999999</v>
      </c>
      <c r="W373" s="26" t="inlineStr">
        <is>
          <t>adidas Grand Court 2.0 Womens Sneakers</t>
        </is>
      </c>
      <c r="X373" s="23" t="n">
        <v>8</v>
      </c>
      <c r="Y373" s="18">
        <f>AC373-AB373</f>
        <v/>
      </c>
      <c r="Z373" s="27" t="n">
        <v>64</v>
      </c>
      <c r="AA373" s="27" t="n">
        <v>180</v>
      </c>
      <c r="AB373" s="27" t="n">
        <v>52</v>
      </c>
      <c r="AC373" s="27" t="n">
        <v>3633</v>
      </c>
      <c r="AD373" s="1" t="inlineStr">
        <is>
          <t>GW9214</t>
        </is>
      </c>
      <c r="AE373" s="1" t="inlineStr">
        <is>
          <t>Black</t>
        </is>
      </c>
      <c r="AF373" s="4" t="inlineStr"/>
      <c r="AG373" s="4" t="n">
        <v>6.61</v>
      </c>
    </row>
    <row r="374" ht="47.25" customHeight="1">
      <c r="A374" s="18" t="inlineStr">
        <is>
          <t>195739844824</t>
        </is>
      </c>
      <c r="B374" s="19" t="inlineStr">
        <is>
          <t>https://www.amazon.com/dp/</t>
        </is>
      </c>
      <c r="C374" s="20" t="inlineStr">
        <is>
          <t>B09DXVN1NB</t>
        </is>
      </c>
      <c r="D374" s="44" t="n"/>
      <c r="E374" s="23" t="inlineStr">
        <is>
          <t>?th=1&amp;psc=1&amp;tag=sdcdeals03-20</t>
        </is>
      </c>
      <c r="F374" s="19">
        <f>HYPERLINK("https://redirect.sdcdeals.com/redirect?destination=https%3A%2F%2Fwww.amazon.com%2Fdp%2FB09DXVN1NB%3Fth%3D1%26psc%3D1%26tag%3Dsdcdeals03-20", "Amazon Link")</f>
        <v/>
      </c>
      <c r="G374" s="19" t="inlineStr">
        <is>
          <t>https://www.jcpenney.com/s?searchTerm={search_term}</t>
        </is>
      </c>
      <c r="H374" s="23" t="inlineStr">
        <is>
          <t>195739844824</t>
        </is>
      </c>
      <c r="I374" s="19">
        <f>HYPERLINK("https://www.jcpenney.com/s?searchTerm=195739844824", "Retail Link")</f>
        <v/>
      </c>
      <c r="J374" s="23" t="inlineStr">
        <is>
          <t>n/a</t>
        </is>
      </c>
      <c r="K374" s="21" t="inlineStr">
        <is>
          <t>adidas Women's Grand Court 2.0 Tennis Shoe</t>
        </is>
      </c>
      <c r="L374" s="24" t="n"/>
      <c r="M374" s="24" t="n">
        <v>69.95</v>
      </c>
      <c r="N374" s="24" t="n"/>
      <c r="O374" s="24">
        <f>V374-M374</f>
        <v/>
      </c>
      <c r="P374" s="25">
        <f>N374/L374</f>
        <v/>
      </c>
      <c r="Q374" s="23" t="n">
        <v>8133</v>
      </c>
      <c r="R374" s="23" t="n">
        <v>200</v>
      </c>
      <c r="S374" s="26" t="n">
        <v>1.67992044</v>
      </c>
      <c r="T374" s="24" t="n">
        <v>69.95</v>
      </c>
      <c r="U374" s="24" t="n">
        <v>56.66</v>
      </c>
      <c r="V374" s="24" t="n">
        <v>57.33</v>
      </c>
      <c r="W374" s="26" t="inlineStr">
        <is>
          <t>adidas Grand Court 2.0 Womens Sneakers</t>
        </is>
      </c>
      <c r="X374" s="23" t="n">
        <v>11</v>
      </c>
      <c r="Y374" s="18">
        <f>AC374-AB374</f>
        <v/>
      </c>
      <c r="Z374" s="27" t="n">
        <v>106</v>
      </c>
      <c r="AA374" s="27" t="n">
        <v>285</v>
      </c>
      <c r="AB374" s="27" t="n">
        <v>241</v>
      </c>
      <c r="AC374" s="27" t="n">
        <v>3635</v>
      </c>
      <c r="AD374" s="1" t="inlineStr">
        <is>
          <t>LIT87</t>
        </is>
      </c>
      <c r="AE374" s="1" t="inlineStr">
        <is>
          <t>Black</t>
        </is>
      </c>
      <c r="AF374" s="4" t="n">
        <v>10.49</v>
      </c>
      <c r="AG374" s="4" t="n">
        <v>7.03</v>
      </c>
    </row>
    <row r="375" ht="47.25" customHeight="1">
      <c r="A375" s="18" t="inlineStr">
        <is>
          <t>195739844855</t>
        </is>
      </c>
      <c r="B375" s="19" t="inlineStr">
        <is>
          <t>https://www.amazon.com/dp/</t>
        </is>
      </c>
      <c r="C375" s="20" t="inlineStr">
        <is>
          <t>B09DXW115R</t>
        </is>
      </c>
      <c r="D375" s="44" t="n"/>
      <c r="E375" s="23" t="inlineStr">
        <is>
          <t>?th=1&amp;psc=1&amp;tag=sdcdeals03-20</t>
        </is>
      </c>
      <c r="F375" s="19">
        <f>HYPERLINK("https://redirect.sdcdeals.com/redirect?destination=https%3A%2F%2Fwww.amazon.com%2Fdp%2FB09DXW115R%3Fth%3D1%26psc%3D1%26tag%3Dsdcdeals03-20", "Amazon Link")</f>
        <v/>
      </c>
      <c r="G375" s="19" t="inlineStr">
        <is>
          <t>https://www.jcpenney.com/s?searchTerm={search_term}</t>
        </is>
      </c>
      <c r="H375" s="23" t="inlineStr">
        <is>
          <t>195739844855</t>
        </is>
      </c>
      <c r="I375" s="19">
        <f>HYPERLINK("https://www.jcpenney.com/s?searchTerm=195739844855", "Retail Link")</f>
        <v/>
      </c>
      <c r="J375" s="23" t="inlineStr">
        <is>
          <t>n/a</t>
        </is>
      </c>
      <c r="K375" s="21" t="inlineStr">
        <is>
          <t>adidas Women's Grand Court 2.0 Tennis Shoe</t>
        </is>
      </c>
      <c r="L375" s="24" t="n"/>
      <c r="M375" s="24" t="n">
        <v>54.99</v>
      </c>
      <c r="N375" s="24" t="n"/>
      <c r="O375" s="24">
        <f>V375-M375</f>
        <v/>
      </c>
      <c r="P375" s="25">
        <f>N375/L375</f>
        <v/>
      </c>
      <c r="Q375" s="23" t="n">
        <v>3965</v>
      </c>
      <c r="R375" s="23" t="n">
        <v>300</v>
      </c>
      <c r="S375" s="26" t="n">
        <v>1.80999302</v>
      </c>
      <c r="T375" s="24" t="n">
        <v>54.99</v>
      </c>
      <c r="U375" s="24" t="n">
        <v>55.93</v>
      </c>
      <c r="V375" s="24" t="n">
        <v>58.42</v>
      </c>
      <c r="W375" s="26" t="inlineStr">
        <is>
          <t>adidas Grand Court 2.0 Womens Sneakers</t>
        </is>
      </c>
      <c r="X375" s="23" t="n">
        <v>12</v>
      </c>
      <c r="Y375" s="18">
        <f>AC375-AB375</f>
        <v/>
      </c>
      <c r="Z375" s="27" t="n">
        <v>131</v>
      </c>
      <c r="AA375" s="27" t="n">
        <v>316</v>
      </c>
      <c r="AB375" s="27" t="n">
        <v>270</v>
      </c>
      <c r="AC375" s="27" t="n">
        <v>2740</v>
      </c>
      <c r="AD375" s="1" t="inlineStr">
        <is>
          <t>LIT87</t>
        </is>
      </c>
      <c r="AE375" s="1" t="inlineStr">
        <is>
          <t>White/Black/Black</t>
        </is>
      </c>
      <c r="AF375" s="4" t="n">
        <v>8.25</v>
      </c>
      <c r="AG375" s="4" t="n">
        <v>7.7</v>
      </c>
    </row>
    <row r="376" ht="47.25" customHeight="1">
      <c r="A376" s="18" t="inlineStr">
        <is>
          <t>195739844879</t>
        </is>
      </c>
      <c r="B376" s="19" t="inlineStr">
        <is>
          <t>https://www.amazon.com/dp/</t>
        </is>
      </c>
      <c r="C376" s="20" t="inlineStr">
        <is>
          <t>B09DXS73PP</t>
        </is>
      </c>
      <c r="D376" s="44" t="n"/>
      <c r="E376" s="23" t="inlineStr">
        <is>
          <t>?th=1&amp;psc=1&amp;tag=sdcdeals03-20</t>
        </is>
      </c>
      <c r="F376" s="19">
        <f>HYPERLINK("https://redirect.sdcdeals.com/redirect?destination=https%3A%2F%2Fwww.amazon.com%2Fdp%2FB09DXS73PP%3Fth%3D1%26psc%3D1%26tag%3Dsdcdeals03-20", "Amazon Link")</f>
        <v/>
      </c>
      <c r="G376" s="19" t="inlineStr">
        <is>
          <t>https://www.jcpenney.com/s?searchTerm={search_term}</t>
        </is>
      </c>
      <c r="H376" s="23" t="inlineStr">
        <is>
          <t>195739844879</t>
        </is>
      </c>
      <c r="I376" s="19">
        <f>HYPERLINK("https://www.jcpenney.com/s?searchTerm=195739844879", "Retail Link")</f>
        <v/>
      </c>
      <c r="J376" s="23" t="inlineStr">
        <is>
          <t>n/a</t>
        </is>
      </c>
      <c r="K376" s="21" t="inlineStr">
        <is>
          <t>adidas Women's Grand Court 2.0 Tennis Shoe</t>
        </is>
      </c>
      <c r="L376" s="24" t="n"/>
      <c r="M376" s="24" t="n">
        <v>59.45</v>
      </c>
      <c r="N376" s="24" t="n"/>
      <c r="O376" s="24">
        <f>V376-M376</f>
        <v/>
      </c>
      <c r="P376" s="25">
        <f>N376/L376</f>
        <v/>
      </c>
      <c r="Q376" s="23" t="n">
        <v>8133</v>
      </c>
      <c r="R376" s="23" t="n">
        <v>500</v>
      </c>
      <c r="S376" s="26" t="n">
        <v>1.8298346</v>
      </c>
      <c r="T376" s="24" t="n">
        <v>59.45</v>
      </c>
      <c r="U376" s="24" t="n">
        <v>56.15</v>
      </c>
      <c r="V376" s="24" t="n">
        <v>57</v>
      </c>
      <c r="W376" s="26" t="inlineStr">
        <is>
          <t>adidas Grand Court 2.0 Womens Sneakers</t>
        </is>
      </c>
      <c r="X376" s="23" t="n">
        <v>13</v>
      </c>
      <c r="Y376" s="18">
        <f>AC376-AB376</f>
        <v/>
      </c>
      <c r="Z376" s="27" t="n">
        <v>128</v>
      </c>
      <c r="AA376" s="27" t="n">
        <v>363</v>
      </c>
      <c r="AB376" s="27" t="n">
        <v>474</v>
      </c>
      <c r="AC376" s="27" t="n">
        <v>3635</v>
      </c>
      <c r="AD376" s="1" t="inlineStr">
        <is>
          <t>LIT87</t>
        </is>
      </c>
      <c r="AE376" s="1" t="inlineStr">
        <is>
          <t>Black</t>
        </is>
      </c>
      <c r="AF376" s="4" t="n">
        <v>8.92</v>
      </c>
      <c r="AG376" s="4" t="n">
        <v>7.7</v>
      </c>
    </row>
    <row r="377" ht="47.25" customHeight="1">
      <c r="A377" s="18" t="inlineStr">
        <is>
          <t>195739844916</t>
        </is>
      </c>
      <c r="B377" s="19" t="inlineStr">
        <is>
          <t>https://www.amazon.com/dp/</t>
        </is>
      </c>
      <c r="C377" s="20" t="inlineStr">
        <is>
          <t>B09DXVKGTW</t>
        </is>
      </c>
      <c r="D377" s="44" t="n"/>
      <c r="E377" s="23" t="inlineStr">
        <is>
          <t>?th=1&amp;psc=1&amp;tag=sdcdeals03-20</t>
        </is>
      </c>
      <c r="F377" s="19">
        <f>HYPERLINK("https://redirect.sdcdeals.com/redirect?destination=https%3A%2F%2Fwww.amazon.com%2Fdp%2FB09DXVKGTW%3Fth%3D1%26psc%3D1%26tag%3Dsdcdeals03-20", "Amazon Link")</f>
        <v/>
      </c>
      <c r="G377" s="19" t="inlineStr">
        <is>
          <t>https://www.jcpenney.com/s?searchTerm={search_term}</t>
        </is>
      </c>
      <c r="H377" s="23" t="inlineStr">
        <is>
          <t>195739844916</t>
        </is>
      </c>
      <c r="I377" s="19">
        <f>HYPERLINK("https://www.jcpenney.com/s?searchTerm=195739844916", "Retail Link")</f>
        <v/>
      </c>
      <c r="J377" s="23" t="inlineStr">
        <is>
          <t>n/a</t>
        </is>
      </c>
      <c r="K377" s="21" t="inlineStr">
        <is>
          <t>adidas Women's Grand Court 2.0 Tennis Shoe</t>
        </is>
      </c>
      <c r="L377" s="24" t="n"/>
      <c r="M377" s="24" t="n">
        <v>63.45</v>
      </c>
      <c r="N377" s="24" t="n"/>
      <c r="O377" s="24">
        <f>V377-M377</f>
        <v/>
      </c>
      <c r="P377" s="25">
        <f>N377/L377</f>
        <v/>
      </c>
      <c r="Q377" s="23" t="n">
        <v>8133</v>
      </c>
      <c r="R377" s="23" t="n">
        <v>600</v>
      </c>
      <c r="S377" s="26" t="n">
        <v>1.95990718</v>
      </c>
      <c r="T377" s="24" t="n">
        <v>63.45</v>
      </c>
      <c r="U377" s="24" t="n">
        <v>56.5</v>
      </c>
      <c r="V377" s="24" t="n">
        <v>56.63</v>
      </c>
      <c r="W377" s="26" t="inlineStr">
        <is>
          <t>adidas Grand Court 2.0 Womens Sneakers</t>
        </is>
      </c>
      <c r="X377" s="23" t="n">
        <v>11</v>
      </c>
      <c r="Y377" s="18">
        <f>AC377-AB377</f>
        <v/>
      </c>
      <c r="Z377" s="27" t="n">
        <v>81</v>
      </c>
      <c r="AA377" s="27" t="n">
        <v>332</v>
      </c>
      <c r="AB377" s="27" t="n">
        <v>468</v>
      </c>
      <c r="AC377" s="27" t="n">
        <v>3634</v>
      </c>
      <c r="AD377" s="1" t="inlineStr">
        <is>
          <t>LIT87</t>
        </is>
      </c>
      <c r="AE377" s="1" t="inlineStr">
        <is>
          <t>Black</t>
        </is>
      </c>
      <c r="AF377" s="4" t="n">
        <v>9.52</v>
      </c>
      <c r="AG377" s="4" t="n">
        <v>7.7</v>
      </c>
    </row>
    <row r="378" ht="47.25" customHeight="1">
      <c r="A378" s="18" t="inlineStr">
        <is>
          <t>195739844893</t>
        </is>
      </c>
      <c r="B378" s="19" t="inlineStr">
        <is>
          <t>https://www.amazon.com/dp/</t>
        </is>
      </c>
      <c r="C378" s="20" t="inlineStr">
        <is>
          <t>B09DXW5CSS</t>
        </is>
      </c>
      <c r="D378" s="44" t="n"/>
      <c r="E378" s="23" t="inlineStr">
        <is>
          <t>?th=1&amp;psc=1&amp;tag=sdcdeals03-20</t>
        </is>
      </c>
      <c r="F378" s="19">
        <f>HYPERLINK("https://redirect.sdcdeals.com/redirect?destination=https%3A%2F%2Fwww.amazon.com%2Fdp%2FB09DXW5CSS%3Fth%3D1%26psc%3D1%26tag%3Dsdcdeals03-20", "Amazon Link")</f>
        <v/>
      </c>
      <c r="G378" s="19" t="inlineStr">
        <is>
          <t>https://www.jcpenney.com/s?searchTerm={search_term}</t>
        </is>
      </c>
      <c r="H378" s="23" t="inlineStr">
        <is>
          <t>195739844893</t>
        </is>
      </c>
      <c r="I378" s="19">
        <f>HYPERLINK("https://www.jcpenney.com/s?searchTerm=195739844893", "Retail Link")</f>
        <v/>
      </c>
      <c r="J378" s="23" t="inlineStr">
        <is>
          <t>n/a</t>
        </is>
      </c>
      <c r="K378" s="21" t="inlineStr">
        <is>
          <t>adidas Women's Grand Court 2.0 Tennis Shoe</t>
        </is>
      </c>
      <c r="L378" s="24" t="n"/>
      <c r="M378" s="24" t="n">
        <v>69.95</v>
      </c>
      <c r="N378" s="24" t="n"/>
      <c r="O378" s="24">
        <f>V378-M378</f>
        <v/>
      </c>
      <c r="P378" s="25">
        <f>N378/L378</f>
        <v/>
      </c>
      <c r="Q378" s="23" t="n">
        <v>8133</v>
      </c>
      <c r="R378" s="23" t="n">
        <v>400</v>
      </c>
      <c r="S378" s="26" t="n">
        <v>1.95990718</v>
      </c>
      <c r="T378" s="24" t="n">
        <v>66.93000000000001</v>
      </c>
      <c r="U378" s="24" t="n">
        <v>59.22</v>
      </c>
      <c r="V378" s="24" t="n">
        <v>59.7</v>
      </c>
      <c r="W378" s="26" t="inlineStr">
        <is>
          <t>adidas Grand Court 2.0 Womens Sneakers</t>
        </is>
      </c>
      <c r="X378" s="23" t="n">
        <v>15</v>
      </c>
      <c r="Y378" s="18">
        <f>AC378-AB378</f>
        <v/>
      </c>
      <c r="Z378" s="27" t="n">
        <v>91</v>
      </c>
      <c r="AA378" s="27" t="n">
        <v>276</v>
      </c>
      <c r="AB378" s="27" t="n">
        <v>510</v>
      </c>
      <c r="AC378" s="27" t="n">
        <v>3635</v>
      </c>
      <c r="AD378" s="1" t="inlineStr">
        <is>
          <t>LIT87</t>
        </is>
      </c>
      <c r="AE378" s="1" t="inlineStr">
        <is>
          <t>White/Black/Black</t>
        </is>
      </c>
      <c r="AF378" s="4" t="n">
        <v>10.49</v>
      </c>
      <c r="AG378" s="4" t="n">
        <v>7.78</v>
      </c>
    </row>
    <row r="379" ht="47.25" customHeight="1">
      <c r="A379" s="18" t="inlineStr">
        <is>
          <t>195739844817</t>
        </is>
      </c>
      <c r="B379" s="19" t="inlineStr">
        <is>
          <t>https://www.amazon.com/dp/</t>
        </is>
      </c>
      <c r="C379" s="20" t="inlineStr">
        <is>
          <t>B09DXTJ1QR</t>
        </is>
      </c>
      <c r="D379" s="44" t="n"/>
      <c r="E379" s="23" t="inlineStr">
        <is>
          <t>?th=1&amp;psc=1&amp;tag=sdcdeals03-20</t>
        </is>
      </c>
      <c r="F379" s="19">
        <f>HYPERLINK("https://redirect.sdcdeals.com/redirect?destination=https%3A%2F%2Fwww.amazon.com%2Fdp%2FB09DXTJ1QR%3Fth%3D1%26psc%3D1%26tag%3Dsdcdeals03-20", "Amazon Link")</f>
        <v/>
      </c>
      <c r="G379" s="19" t="inlineStr">
        <is>
          <t>https://www.jcpenney.com/s?searchTerm={search_term}</t>
        </is>
      </c>
      <c r="H379" s="23" t="inlineStr">
        <is>
          <t>195739844817</t>
        </is>
      </c>
      <c r="I379" s="19">
        <f>HYPERLINK("https://www.jcpenney.com/s?searchTerm=195739844817", "Retail Link")</f>
        <v/>
      </c>
      <c r="J379" s="23" t="inlineStr">
        <is>
          <t>n/a</t>
        </is>
      </c>
      <c r="K379" s="21" t="inlineStr">
        <is>
          <t>adidas Women's Grand Court 2.0 Tennis Shoe</t>
        </is>
      </c>
      <c r="L379" s="24" t="n"/>
      <c r="M379" s="24" t="n">
        <v>69.98999999999999</v>
      </c>
      <c r="N379" s="24" t="n"/>
      <c r="O379" s="24">
        <f>V379-M379</f>
        <v/>
      </c>
      <c r="P379" s="25">
        <f>N379/L379</f>
        <v/>
      </c>
      <c r="Q379" s="23" t="n">
        <v>8133</v>
      </c>
      <c r="R379" s="23" t="n">
        <v>500</v>
      </c>
      <c r="S379" s="26" t="n">
        <v>2.03045502</v>
      </c>
      <c r="T379" s="24" t="n">
        <v>69.93000000000001</v>
      </c>
      <c r="U379" s="24" t="n">
        <v>56.74</v>
      </c>
      <c r="V379" s="24" t="n">
        <v>57.4</v>
      </c>
      <c r="W379" s="26" t="inlineStr">
        <is>
          <t>adidas Grand Court 2.0 Womens Sneakers</t>
        </is>
      </c>
      <c r="X379" s="23" t="n">
        <v>12</v>
      </c>
      <c r="Y379" s="18">
        <f>AC379-AB379</f>
        <v/>
      </c>
      <c r="Z379" s="27" t="n">
        <v>142</v>
      </c>
      <c r="AA379" s="27" t="n">
        <v>375</v>
      </c>
      <c r="AB379" s="27" t="n">
        <v>536</v>
      </c>
      <c r="AC379" s="27" t="n">
        <v>3635</v>
      </c>
      <c r="AD379" s="1" t="inlineStr">
        <is>
          <t>LIT87</t>
        </is>
      </c>
      <c r="AE379" s="1" t="inlineStr">
        <is>
          <t>Black</t>
        </is>
      </c>
      <c r="AF379" s="4" t="n">
        <v>10.5</v>
      </c>
      <c r="AG379" s="4" t="n">
        <v>7.7</v>
      </c>
    </row>
    <row r="380" ht="47.25" customHeight="1">
      <c r="A380" s="18" t="inlineStr">
        <is>
          <t>195739844886</t>
        </is>
      </c>
      <c r="B380" s="19" t="inlineStr">
        <is>
          <t>https://www.amazon.com/dp/</t>
        </is>
      </c>
      <c r="C380" s="20" t="inlineStr">
        <is>
          <t>B09DXV3M4W</t>
        </is>
      </c>
      <c r="D380" s="44" t="n"/>
      <c r="E380" s="23" t="inlineStr">
        <is>
          <t>?th=1&amp;psc=1&amp;tag=sdcdeals03-20</t>
        </is>
      </c>
      <c r="F380" s="19">
        <f>HYPERLINK("https://redirect.sdcdeals.com/redirect?destination=https%3A%2F%2Fwww.amazon.com%2Fdp%2FB09DXV3M4W%3Fth%3D1%26psc%3D1%26tag%3Dsdcdeals03-20", "Amazon Link")</f>
        <v/>
      </c>
      <c r="G380" s="19" t="inlineStr">
        <is>
          <t>https://www.jcpenney.com/s?searchTerm={search_term}</t>
        </is>
      </c>
      <c r="H380" s="23" t="inlineStr">
        <is>
          <t>195739844886</t>
        </is>
      </c>
      <c r="I380" s="19">
        <f>HYPERLINK("https://www.jcpenney.com/s?searchTerm=195739844886", "Retail Link")</f>
        <v/>
      </c>
      <c r="J380" s="23" t="inlineStr">
        <is>
          <t>n/a</t>
        </is>
      </c>
      <c r="K380" s="21" t="inlineStr">
        <is>
          <t>adidas Women's Grand Court 2.0 Tennis Shoe</t>
        </is>
      </c>
      <c r="L380" s="24" t="n"/>
      <c r="M380" s="24" t="n">
        <v>54.99</v>
      </c>
      <c r="N380" s="24" t="n"/>
      <c r="O380" s="24">
        <f>V380-M380</f>
        <v/>
      </c>
      <c r="P380" s="25">
        <f>N380/L380</f>
        <v/>
      </c>
      <c r="Q380" s="23" t="n">
        <v>3965</v>
      </c>
      <c r="R380" s="23" t="n">
        <v>600</v>
      </c>
      <c r="S380" s="26" t="n">
        <v>2.2707586</v>
      </c>
      <c r="T380" s="24" t="n">
        <v>54.99</v>
      </c>
      <c r="U380" s="24" t="n">
        <v>55.68</v>
      </c>
      <c r="V380" s="24" t="n">
        <v>57.71</v>
      </c>
      <c r="W380" s="26" t="inlineStr">
        <is>
          <t>adidas Grand Court 2.0 Womens Sneakers</t>
        </is>
      </c>
      <c r="X380" s="23" t="n">
        <v>17</v>
      </c>
      <c r="Y380" s="18">
        <f>AC380-AB380</f>
        <v/>
      </c>
      <c r="Z380" s="27" t="n">
        <v>122</v>
      </c>
      <c r="AA380" s="27" t="n">
        <v>301</v>
      </c>
      <c r="AB380" s="27" t="n">
        <v>367</v>
      </c>
      <c r="AC380" s="27" t="n">
        <v>2740</v>
      </c>
      <c r="AD380" s="1" t="inlineStr">
        <is>
          <t>LIT87</t>
        </is>
      </c>
      <c r="AE380" s="1" t="inlineStr">
        <is>
          <t>White/Black/Black</t>
        </is>
      </c>
      <c r="AF380" s="4" t="n">
        <v>8.25</v>
      </c>
      <c r="AG380" s="4" t="n">
        <v>7.86</v>
      </c>
    </row>
    <row r="381" ht="47.25" customHeight="1">
      <c r="A381" s="18" t="inlineStr">
        <is>
          <t>195739844909</t>
        </is>
      </c>
      <c r="B381" s="19" t="inlineStr">
        <is>
          <t>https://www.amazon.com/dp/</t>
        </is>
      </c>
      <c r="C381" s="20" t="inlineStr">
        <is>
          <t>B09DXT1BZH</t>
        </is>
      </c>
      <c r="D381" s="44" t="n"/>
      <c r="E381" s="23" t="inlineStr">
        <is>
          <t>?th=1&amp;psc=1&amp;tag=sdcdeals03-20</t>
        </is>
      </c>
      <c r="F381" s="19">
        <f>HYPERLINK("https://redirect.sdcdeals.com/redirect?destination=https%3A%2F%2Fwww.amazon.com%2Fdp%2FB09DXT1BZH%3Fth%3D1%26psc%3D1%26tag%3Dsdcdeals03-20", "Amazon Link")</f>
        <v/>
      </c>
      <c r="G381" s="19" t="inlineStr">
        <is>
          <t>https://www.jcpenney.com/s?searchTerm={search_term}</t>
        </is>
      </c>
      <c r="H381" s="23" t="inlineStr">
        <is>
          <t>195739844909</t>
        </is>
      </c>
      <c r="I381" s="19">
        <f>HYPERLINK("https://www.jcpenney.com/s?searchTerm=195739844909", "Retail Link")</f>
        <v/>
      </c>
      <c r="J381" s="23" t="inlineStr">
        <is>
          <t>n/a</t>
        </is>
      </c>
      <c r="K381" s="21" t="inlineStr">
        <is>
          <t>adidas Women's Grand Court 2.0 Tennis Shoe</t>
        </is>
      </c>
      <c r="L381" s="24" t="n"/>
      <c r="M381" s="24" t="n">
        <v>55.03</v>
      </c>
      <c r="N381" s="24" t="n"/>
      <c r="O381" s="24">
        <f>V381-M381</f>
        <v/>
      </c>
      <c r="P381" s="25">
        <f>N381/L381</f>
        <v/>
      </c>
      <c r="Q381" s="23" t="n">
        <v>3965</v>
      </c>
      <c r="R381" s="23" t="n">
        <v>300</v>
      </c>
      <c r="S381" s="26" t="n">
        <v>2.25091702</v>
      </c>
      <c r="T381" s="24" t="n">
        <v>54.89</v>
      </c>
      <c r="U381" s="24" t="n">
        <v>55.59</v>
      </c>
      <c r="V381" s="24" t="n">
        <v>57.23</v>
      </c>
      <c r="W381" s="26" t="inlineStr">
        <is>
          <t>adidas Grand Court 2.0 Womens Sneakers</t>
        </is>
      </c>
      <c r="X381" s="23" t="n">
        <v>15</v>
      </c>
      <c r="Y381" s="18">
        <f>AC381-AB381</f>
        <v/>
      </c>
      <c r="Z381" s="27" t="n">
        <v>105</v>
      </c>
      <c r="AA381" s="27" t="n">
        <v>271</v>
      </c>
      <c r="AB381" s="27" t="n">
        <v>183</v>
      </c>
      <c r="AC381" s="27" t="n">
        <v>2740</v>
      </c>
      <c r="AD381" s="1" t="inlineStr">
        <is>
          <t>LIT87</t>
        </is>
      </c>
      <c r="AE381" s="1" t="inlineStr">
        <is>
          <t>White/Black/Black</t>
        </is>
      </c>
      <c r="AF381" s="4" t="n">
        <v>8.25</v>
      </c>
      <c r="AG381" s="4" t="n">
        <v>7.86</v>
      </c>
    </row>
    <row r="382" ht="47.25" customHeight="1">
      <c r="A382" s="18" t="inlineStr">
        <is>
          <t>195739844831</t>
        </is>
      </c>
      <c r="B382" s="19" t="inlineStr">
        <is>
          <t>https://www.amazon.com/dp/</t>
        </is>
      </c>
      <c r="C382" s="20" t="inlineStr">
        <is>
          <t>B09DXTH118</t>
        </is>
      </c>
      <c r="D382" s="44" t="n"/>
      <c r="E382" s="23" t="inlineStr">
        <is>
          <t>?th=1&amp;psc=1&amp;tag=sdcdeals03-20</t>
        </is>
      </c>
      <c r="F382" s="19">
        <f>HYPERLINK("https://redirect.sdcdeals.com/redirect?destination=https%3A%2F%2Fwww.amazon.com%2Fdp%2FB09DXTH118%3Fth%3D1%26psc%3D1%26tag%3Dsdcdeals03-20", "Amazon Link")</f>
        <v/>
      </c>
      <c r="G382" s="19" t="inlineStr">
        <is>
          <t>https://www.jcpenney.com/s?searchTerm={search_term}</t>
        </is>
      </c>
      <c r="H382" s="23" t="inlineStr">
        <is>
          <t>195739844831</t>
        </is>
      </c>
      <c r="I382" s="19">
        <f>HYPERLINK("https://www.jcpenney.com/s?searchTerm=195739844831", "Retail Link")</f>
        <v/>
      </c>
      <c r="J382" s="23" t="inlineStr">
        <is>
          <t>n/a</t>
        </is>
      </c>
      <c r="K382" s="21" t="inlineStr">
        <is>
          <t>adidas Women's Grand Court 2.0 Tennis Shoe</t>
        </is>
      </c>
      <c r="L382" s="24" t="n"/>
      <c r="M382" s="24" t="n">
        <v>69.95</v>
      </c>
      <c r="N382" s="24" t="n"/>
      <c r="O382" s="24">
        <f>V382-M382</f>
        <v/>
      </c>
      <c r="P382" s="25">
        <f>N382/L382</f>
        <v/>
      </c>
      <c r="Q382" s="23" t="n">
        <v>3965</v>
      </c>
      <c r="R382" s="23" t="n">
        <v>100</v>
      </c>
      <c r="S382" s="26" t="n">
        <v>2.25091702</v>
      </c>
      <c r="T382" s="24" t="n">
        <v>69.94</v>
      </c>
      <c r="U382" s="24" t="n">
        <v>56.12</v>
      </c>
      <c r="V382" s="24" t="n">
        <v>56.26</v>
      </c>
      <c r="W382" s="26" t="inlineStr">
        <is>
          <t>adidas Grand Court 2.0 Womens Sneakers</t>
        </is>
      </c>
      <c r="X382" s="23" t="n">
        <v>12</v>
      </c>
      <c r="Y382" s="18">
        <f>AC382-AB382</f>
        <v/>
      </c>
      <c r="Z382" s="27" t="n">
        <v>112</v>
      </c>
      <c r="AA382" s="27" t="n">
        <v>251</v>
      </c>
      <c r="AB382" s="27" t="n">
        <v>264</v>
      </c>
      <c r="AC382" s="27" t="n">
        <v>2740</v>
      </c>
      <c r="AD382" s="1" t="inlineStr">
        <is>
          <t>LIT87</t>
        </is>
      </c>
      <c r="AE382" s="1" t="inlineStr">
        <is>
          <t>Black</t>
        </is>
      </c>
      <c r="AF382" s="4" t="n">
        <v>10.49</v>
      </c>
      <c r="AG382" s="4" t="n">
        <v>7.86</v>
      </c>
    </row>
    <row r="383" ht="47.25" customHeight="1">
      <c r="A383" s="18" t="inlineStr">
        <is>
          <t>195746015439</t>
        </is>
      </c>
      <c r="B383" s="19" t="inlineStr">
        <is>
          <t>https://www.amazon.com/dp/</t>
        </is>
      </c>
      <c r="C383" s="20" t="inlineStr">
        <is>
          <t>B09VCK8FW8</t>
        </is>
      </c>
      <c r="D383" s="44" t="n"/>
      <c r="E383" s="23" t="inlineStr">
        <is>
          <t>?th=1&amp;psc=1&amp;tag=sdcdeals03-20</t>
        </is>
      </c>
      <c r="F383" s="19">
        <f>HYPERLINK("https://redirect.sdcdeals.com/redirect?destination=https%3A%2F%2Fwww.amazon.com%2Fdp%2FB09VCK8FW8%3Fth%3D1%26psc%3D1%26tag%3Dsdcdeals03-20", "Amazon Link")</f>
        <v/>
      </c>
      <c r="G383" s="19" t="inlineStr">
        <is>
          <t>https://www.jcpenney.com/s?searchTerm={search_term}</t>
        </is>
      </c>
      <c r="H383" s="23" t="inlineStr">
        <is>
          <t>195746015439</t>
        </is>
      </c>
      <c r="I383" s="19">
        <f>HYPERLINK("https://www.jcpenney.com/s?searchTerm=195746015439", "Retail Link")</f>
        <v/>
      </c>
      <c r="J383" s="23" t="inlineStr">
        <is>
          <t>n/a</t>
        </is>
      </c>
      <c r="K383" s="21" t="inlineStr">
        <is>
          <t>adidas Women's Grand Court 2.0 Tennis Shoe</t>
        </is>
      </c>
      <c r="L383" s="24" t="n"/>
      <c r="M383" s="24" t="n">
        <v>69.98999999999999</v>
      </c>
      <c r="N383" s="24" t="n"/>
      <c r="O383" s="24">
        <f>V383-M383</f>
        <v/>
      </c>
      <c r="P383" s="25">
        <f>N383/L383</f>
        <v/>
      </c>
      <c r="Q383" s="23" t="n">
        <v>3965</v>
      </c>
      <c r="R383" s="23" t="n">
        <v>50</v>
      </c>
      <c r="S383" s="26" t="n">
        <v>2.1825738</v>
      </c>
      <c r="T383" s="24" t="n">
        <v>69.42</v>
      </c>
      <c r="U383" s="24" t="n">
        <v>63.19</v>
      </c>
      <c r="V383" s="24" t="n">
        <v>63.56</v>
      </c>
      <c r="W383" s="26" t="inlineStr">
        <is>
          <t>adidas Grand Court 2.0 Womens Sneakers</t>
        </is>
      </c>
      <c r="X383" s="23" t="n">
        <v>4</v>
      </c>
      <c r="Y383" s="18">
        <f>AC383-AB383</f>
        <v/>
      </c>
      <c r="Z383" s="27" t="n">
        <v>68</v>
      </c>
      <c r="AA383" s="27" t="n">
        <v>148</v>
      </c>
      <c r="AB383" s="27" t="n">
        <v>29</v>
      </c>
      <c r="AC383" s="27" t="n">
        <v>2738</v>
      </c>
      <c r="AD383" s="1" t="inlineStr">
        <is>
          <t>LIT87</t>
        </is>
      </c>
      <c r="AE383" s="1" t="inlineStr">
        <is>
          <t>Black</t>
        </is>
      </c>
      <c r="AF383" s="4" t="n">
        <v>10.5</v>
      </c>
      <c r="AG383" s="4" t="n">
        <v>8.02</v>
      </c>
    </row>
    <row r="384" ht="47.25" customHeight="1">
      <c r="A384" s="18" t="inlineStr">
        <is>
          <t>195740024611</t>
        </is>
      </c>
      <c r="B384" s="19" t="inlineStr">
        <is>
          <t>https://www.amazon.com/dp/</t>
        </is>
      </c>
      <c r="C384" s="20" t="inlineStr">
        <is>
          <t>B09DXTKDP7</t>
        </is>
      </c>
      <c r="D384" s="44" t="n"/>
      <c r="E384" s="23" t="inlineStr">
        <is>
          <t>?th=1&amp;psc=1&amp;tag=sdcdeals03-20</t>
        </is>
      </c>
      <c r="F384" s="19">
        <f>HYPERLINK("https://redirect.sdcdeals.com/redirect?destination=https%3A%2F%2Fwww.amazon.com%2Fdp%2FB09DXTKDP7%3Fth%3D1%26psc%3D1%26tag%3Dsdcdeals03-20", "Amazon Link")</f>
        <v/>
      </c>
      <c r="G384" s="19" t="inlineStr">
        <is>
          <t>https://www.jcpenney.com/s?searchTerm={search_term}</t>
        </is>
      </c>
      <c r="H384" s="23" t="inlineStr">
        <is>
          <t>195740024611</t>
        </is>
      </c>
      <c r="I384" s="19">
        <f>HYPERLINK("https://www.jcpenney.com/s?searchTerm=195740024611", "Retail Link")</f>
        <v/>
      </c>
      <c r="J384" s="23" t="inlineStr">
        <is>
          <t>n/a</t>
        </is>
      </c>
      <c r="K384" s="21" t="inlineStr">
        <is>
          <t>adidas Women's Grand Court 2.0 Tennis Shoe</t>
        </is>
      </c>
      <c r="L384" s="24" t="n"/>
      <c r="M384" s="24" t="n">
        <v>68.52</v>
      </c>
      <c r="N384" s="24" t="n"/>
      <c r="O384" s="24">
        <f>V384-M384</f>
        <v/>
      </c>
      <c r="P384" s="25">
        <f>N384/L384</f>
        <v/>
      </c>
      <c r="Q384" s="23" t="n">
        <v>3965</v>
      </c>
      <c r="R384" s="23" t="n"/>
      <c r="S384" s="26" t="n">
        <v>1.6093726</v>
      </c>
      <c r="T384" s="24" t="n">
        <v>66.94</v>
      </c>
      <c r="U384" s="24" t="n">
        <v>65.95999999999999</v>
      </c>
      <c r="V384" s="24" t="n">
        <v>67.29000000000001</v>
      </c>
      <c r="W384" s="26" t="inlineStr">
        <is>
          <t>adidas Grand Court 2.0 Womens Sneakers</t>
        </is>
      </c>
      <c r="X384" s="23" t="n">
        <v>2</v>
      </c>
      <c r="Y384" s="18">
        <f>AC384-AB384</f>
        <v/>
      </c>
      <c r="Z384" s="27" t="n">
        <v>96</v>
      </c>
      <c r="AA384" s="27" t="n">
        <v>206</v>
      </c>
      <c r="AB384" s="27" t="n">
        <v>8</v>
      </c>
      <c r="AC384" s="27" t="n">
        <v>2738</v>
      </c>
      <c r="AD384" s="1" t="inlineStr">
        <is>
          <t>LIT87</t>
        </is>
      </c>
      <c r="AE384" s="1" t="inlineStr">
        <is>
          <t>White/Platin Metallic/Platin Metallic</t>
        </is>
      </c>
      <c r="AF384" s="4" t="n">
        <v>10.28</v>
      </c>
      <c r="AG384" s="4" t="n">
        <v>7.03</v>
      </c>
    </row>
    <row r="385" ht="47.25" customHeight="1">
      <c r="A385" s="18" t="inlineStr">
        <is>
          <t>195740020941</t>
        </is>
      </c>
      <c r="B385" s="19" t="inlineStr">
        <is>
          <t>https://www.amazon.com/dp/</t>
        </is>
      </c>
      <c r="C385" s="20" t="inlineStr">
        <is>
          <t>B09DXVMWMN</t>
        </is>
      </c>
      <c r="D385" s="44" t="n"/>
      <c r="E385" s="23" t="inlineStr">
        <is>
          <t>?th=1&amp;psc=1&amp;tag=sdcdeals03-20</t>
        </is>
      </c>
      <c r="F385" s="19">
        <f>HYPERLINK("https://redirect.sdcdeals.com/redirect?destination=https%3A%2F%2Fwww.amazon.com%2Fdp%2FB09DXVMWMN%3Fth%3D1%26psc%3D1%26tag%3Dsdcdeals03-20", "Amazon Link")</f>
        <v/>
      </c>
      <c r="G385" s="19" t="inlineStr">
        <is>
          <t>https://www.jcpenney.com/s?searchTerm={search_term}</t>
        </is>
      </c>
      <c r="H385" s="23" t="inlineStr">
        <is>
          <t>195740020941</t>
        </is>
      </c>
      <c r="I385" s="19">
        <f>HYPERLINK("https://www.jcpenney.com/s?searchTerm=195740020941", "Retail Link")</f>
        <v/>
      </c>
      <c r="J385" s="23" t="inlineStr">
        <is>
          <t>n/a</t>
        </is>
      </c>
      <c r="K385" s="21" t="inlineStr">
        <is>
          <t>adidas Women's Grand Court 2.0 Tennis Shoe</t>
        </is>
      </c>
      <c r="L385" s="24" t="n"/>
      <c r="M385" s="24" t="n">
        <v>65.73999999999999</v>
      </c>
      <c r="N385" s="24" t="n"/>
      <c r="O385" s="24">
        <f>V385-M385</f>
        <v/>
      </c>
      <c r="P385" s="25">
        <f>N385/L385</f>
        <v/>
      </c>
      <c r="Q385" s="23" t="n">
        <v>3965</v>
      </c>
      <c r="R385" s="23" t="n"/>
      <c r="S385" s="26" t="n">
        <v>1.6865343</v>
      </c>
      <c r="T385" s="24" t="n">
        <v>65</v>
      </c>
      <c r="U385" s="24" t="n">
        <v>61.3</v>
      </c>
      <c r="V385" s="24" t="n">
        <v>68.18000000000001</v>
      </c>
      <c r="W385" s="26" t="inlineStr">
        <is>
          <t>adidas Grand Court 2.0 Womens Sneakers</t>
        </is>
      </c>
      <c r="X385" s="23" t="n">
        <v>6</v>
      </c>
      <c r="Y385" s="18">
        <f>AC385-AB385</f>
        <v/>
      </c>
      <c r="Z385" s="27" t="n">
        <v>96</v>
      </c>
      <c r="AA385" s="27" t="n">
        <v>246</v>
      </c>
      <c r="AB385" s="27" t="n">
        <v>14</v>
      </c>
      <c r="AC385" s="27" t="n">
        <v>2738</v>
      </c>
      <c r="AD385" s="1" t="inlineStr">
        <is>
          <t>LIT87</t>
        </is>
      </c>
      <c r="AE385" s="1" t="inlineStr">
        <is>
          <t>White/Platin Metallic/Platin Metallic</t>
        </is>
      </c>
      <c r="AF385" s="4" t="n">
        <v>9.859999999999999</v>
      </c>
      <c r="AG385" s="4" t="n">
        <v>6.61</v>
      </c>
    </row>
    <row r="386" ht="47.25" customHeight="1">
      <c r="A386" s="18" t="inlineStr">
        <is>
          <t>195740020989</t>
        </is>
      </c>
      <c r="B386" s="19" t="inlineStr">
        <is>
          <t>https://www.amazon.com/dp/</t>
        </is>
      </c>
      <c r="C386" s="20" t="inlineStr">
        <is>
          <t>B09DXVFPHS</t>
        </is>
      </c>
      <c r="D386" s="44" t="n"/>
      <c r="E386" s="23" t="inlineStr">
        <is>
          <t>?th=1&amp;psc=1&amp;tag=sdcdeals03-20</t>
        </is>
      </c>
      <c r="F386" s="19">
        <f>HYPERLINK("https://redirect.sdcdeals.com/redirect?destination=https%3A%2F%2Fwww.amazon.com%2Fdp%2FB09DXVFPHS%3Fth%3D1%26psc%3D1%26tag%3Dsdcdeals03-20", "Amazon Link")</f>
        <v/>
      </c>
      <c r="G386" s="19" t="inlineStr">
        <is>
          <t>https://www.jcpenney.com/s?searchTerm={search_term}</t>
        </is>
      </c>
      <c r="H386" s="23" t="inlineStr">
        <is>
          <t>195740020989</t>
        </is>
      </c>
      <c r="I386" s="19">
        <f>HYPERLINK("https://www.jcpenney.com/s?searchTerm=195740020989", "Retail Link")</f>
        <v/>
      </c>
      <c r="J386" s="23" t="inlineStr">
        <is>
          <t>n/a</t>
        </is>
      </c>
      <c r="K386" s="21" t="inlineStr">
        <is>
          <t>adidas Women's Grand Court 2.0 Tennis Shoe</t>
        </is>
      </c>
      <c r="L386" s="24" t="n"/>
      <c r="M386" s="24" t="n">
        <v>69.95</v>
      </c>
      <c r="N386" s="24" t="n"/>
      <c r="O386" s="24">
        <f>V386-M386</f>
        <v/>
      </c>
      <c r="P386" s="25">
        <f>N386/L386</f>
        <v/>
      </c>
      <c r="Q386" s="23" t="n">
        <v>3965</v>
      </c>
      <c r="R386" s="23" t="n">
        <v>100</v>
      </c>
      <c r="S386" s="26" t="n">
        <v>1.763696</v>
      </c>
      <c r="T386" s="24" t="n">
        <v>69.95</v>
      </c>
      <c r="U386" s="24" t="n">
        <v>62.58</v>
      </c>
      <c r="V386" s="24" t="n">
        <v>66.59999999999999</v>
      </c>
      <c r="W386" s="26" t="inlineStr">
        <is>
          <t>adidas Grand Court 2.0 Womens Sneakers</t>
        </is>
      </c>
      <c r="X386" s="23" t="n">
        <v>6</v>
      </c>
      <c r="Y386" s="18">
        <f>AC386-AB386</f>
        <v/>
      </c>
      <c r="Z386" s="27" t="n">
        <v>99</v>
      </c>
      <c r="AA386" s="27" t="n">
        <v>263</v>
      </c>
      <c r="AB386" s="27" t="n">
        <v>34</v>
      </c>
      <c r="AC386" s="27" t="n">
        <v>2739</v>
      </c>
      <c r="AD386" s="1" t="inlineStr">
        <is>
          <t>LIT87</t>
        </is>
      </c>
      <c r="AE386" s="1" t="inlineStr">
        <is>
          <t>White/Platin Metallic/Platin Metallic</t>
        </is>
      </c>
      <c r="AF386" s="4" t="n">
        <v>10.49</v>
      </c>
      <c r="AG386" s="4" t="n">
        <v>6.61</v>
      </c>
    </row>
    <row r="387" ht="47.25" customHeight="1">
      <c r="A387" s="18" t="inlineStr">
        <is>
          <t>195740020958</t>
        </is>
      </c>
      <c r="B387" s="19" t="inlineStr">
        <is>
          <t>https://www.amazon.com/dp/</t>
        </is>
      </c>
      <c r="C387" s="20" t="inlineStr">
        <is>
          <t>B09DXWL1XZ</t>
        </is>
      </c>
      <c r="D387" s="44" t="n"/>
      <c r="E387" s="23" t="inlineStr">
        <is>
          <t>?th=1&amp;psc=1&amp;tag=sdcdeals03-20</t>
        </is>
      </c>
      <c r="F387" s="19">
        <f>HYPERLINK("https://redirect.sdcdeals.com/redirect?destination=https%3A%2F%2Fwww.amazon.com%2Fdp%2FB09DXWL1XZ%3Fth%3D1%26psc%3D1%26tag%3Dsdcdeals03-20", "Amazon Link")</f>
        <v/>
      </c>
      <c r="G387" s="19" t="inlineStr">
        <is>
          <t>https://www.jcpenney.com/s?searchTerm={search_term}</t>
        </is>
      </c>
      <c r="H387" s="23" t="inlineStr">
        <is>
          <t>195740020958</t>
        </is>
      </c>
      <c r="I387" s="19">
        <f>HYPERLINK("https://www.jcpenney.com/s?searchTerm=195740020958", "Retail Link")</f>
        <v/>
      </c>
      <c r="J387" s="23" t="inlineStr">
        <is>
          <t>n/a</t>
        </is>
      </c>
      <c r="K387" s="21" t="inlineStr">
        <is>
          <t>adidas Women's Grand Court 2.0 Tennis Shoe</t>
        </is>
      </c>
      <c r="L387" s="24" t="n"/>
      <c r="M387" s="24" t="n">
        <v>66.34</v>
      </c>
      <c r="N387" s="24" t="n"/>
      <c r="O387" s="24">
        <f>V387-M387</f>
        <v/>
      </c>
      <c r="P387" s="25">
        <f>N387/L387</f>
        <v/>
      </c>
      <c r="Q387" s="23" t="n">
        <v>8133</v>
      </c>
      <c r="R387" s="23" t="n">
        <v>100</v>
      </c>
      <c r="S387" s="26" t="n">
        <v>1.83203922</v>
      </c>
      <c r="T387" s="24" t="n">
        <v>66</v>
      </c>
      <c r="U387" s="24" t="n">
        <v>65.26000000000001</v>
      </c>
      <c r="V387" s="24" t="n">
        <v>69.3</v>
      </c>
      <c r="W387" s="26" t="inlineStr">
        <is>
          <t>adidas Grand Court 2.0 Womens Sneakers</t>
        </is>
      </c>
      <c r="X387" s="23" t="n">
        <v>7</v>
      </c>
      <c r="Y387" s="18">
        <f>AC387-AB387</f>
        <v/>
      </c>
      <c r="Z387" s="27" t="n">
        <v>121</v>
      </c>
      <c r="AA387" s="27" t="n">
        <v>282</v>
      </c>
      <c r="AB387" s="27" t="n">
        <v>35</v>
      </c>
      <c r="AC387" s="27" t="n">
        <v>3635</v>
      </c>
      <c r="AD387" s="1" t="inlineStr">
        <is>
          <t>LIT87</t>
        </is>
      </c>
      <c r="AE387" s="1" t="inlineStr">
        <is>
          <t>White/Platin Metallic/Platin Metallic</t>
        </is>
      </c>
      <c r="AF387" s="4" t="n">
        <v>9.949999999999999</v>
      </c>
      <c r="AG387" s="4" t="n">
        <v>7.7</v>
      </c>
    </row>
    <row r="388" ht="47.25" customHeight="1">
      <c r="A388" s="18" t="inlineStr">
        <is>
          <t>195740024635</t>
        </is>
      </c>
      <c r="B388" s="19" t="inlineStr">
        <is>
          <t>https://www.amazon.com/dp/</t>
        </is>
      </c>
      <c r="C388" s="20" t="inlineStr">
        <is>
          <t>B09DXWJPHY</t>
        </is>
      </c>
      <c r="D388" s="44" t="n"/>
      <c r="E388" s="23" t="inlineStr">
        <is>
          <t>?th=1&amp;psc=1&amp;tag=sdcdeals03-20</t>
        </is>
      </c>
      <c r="F388" s="19">
        <f>HYPERLINK("https://redirect.sdcdeals.com/redirect?destination=https%3A%2F%2Fwww.amazon.com%2Fdp%2FB09DXWJPHY%3Fth%3D1%26psc%3D1%26tag%3Dsdcdeals03-20", "Amazon Link")</f>
        <v/>
      </c>
      <c r="G388" s="19" t="inlineStr">
        <is>
          <t>https://www.jcpenney.com/s?searchTerm={search_term}</t>
        </is>
      </c>
      <c r="H388" s="23" t="inlineStr">
        <is>
          <t>195740024635</t>
        </is>
      </c>
      <c r="I388" s="19">
        <f>HYPERLINK("https://www.jcpenney.com/s?searchTerm=195740024635", "Retail Link")</f>
        <v/>
      </c>
      <c r="J388" s="23" t="inlineStr">
        <is>
          <t>n/a</t>
        </is>
      </c>
      <c r="K388" s="21" t="inlineStr">
        <is>
          <t>adidas Women's Grand Court 2.0 Tennis Shoe</t>
        </is>
      </c>
      <c r="L388" s="24" t="n"/>
      <c r="M388" s="24" t="n">
        <v>70</v>
      </c>
      <c r="N388" s="24" t="n"/>
      <c r="O388" s="24">
        <f>V388-M388</f>
        <v/>
      </c>
      <c r="P388" s="25">
        <f>N388/L388</f>
        <v/>
      </c>
      <c r="Q388" s="23" t="n">
        <v>3860</v>
      </c>
      <c r="R388" s="23" t="n">
        <v>200</v>
      </c>
      <c r="S388" s="26" t="n">
        <v>1.84967618</v>
      </c>
      <c r="T388" s="24" t="n">
        <v>69.95</v>
      </c>
      <c r="U388" s="24" t="n">
        <v>60.98</v>
      </c>
      <c r="V388" s="24" t="n">
        <v>61.8</v>
      </c>
      <c r="W388" s="26" t="inlineStr">
        <is>
          <t>adidas Grand Court 2.0 Womens Sneakers</t>
        </is>
      </c>
      <c r="X388" s="23" t="n">
        <v>6</v>
      </c>
      <c r="Y388" s="18">
        <f>AC388-AB388</f>
        <v/>
      </c>
      <c r="Z388" s="27" t="n">
        <v>76</v>
      </c>
      <c r="AA388" s="27" t="n">
        <v>206</v>
      </c>
      <c r="AB388" s="27" t="n">
        <v>98</v>
      </c>
      <c r="AC388" s="27" t="n">
        <v>2740</v>
      </c>
      <c r="AD388" s="1" t="inlineStr">
        <is>
          <t>LIT87</t>
        </is>
      </c>
      <c r="AE388" s="1" t="inlineStr">
        <is>
          <t>White/Platin Metallic/Platin Metallic</t>
        </is>
      </c>
      <c r="AF388" s="4" t="n">
        <v>10.5</v>
      </c>
      <c r="AG388" s="4" t="n">
        <v>7.7</v>
      </c>
    </row>
    <row r="389" ht="47.25" customHeight="1">
      <c r="A389" s="18" t="inlineStr">
        <is>
          <t>195740024642</t>
        </is>
      </c>
      <c r="B389" s="19" t="inlineStr">
        <is>
          <t>https://www.amazon.com/dp/</t>
        </is>
      </c>
      <c r="C389" s="20" t="inlineStr">
        <is>
          <t>B09DXWPXQC</t>
        </is>
      </c>
      <c r="D389" s="44" t="n"/>
      <c r="E389" s="23" t="inlineStr">
        <is>
          <t>?th=1&amp;psc=1&amp;tag=sdcdeals03-20</t>
        </is>
      </c>
      <c r="F389" s="19">
        <f>HYPERLINK("https://redirect.sdcdeals.com/redirect?destination=https%3A%2F%2Fwww.amazon.com%2Fdp%2FB09DXWPXQC%3Fth%3D1%26psc%3D1%26tag%3Dsdcdeals03-20", "Amazon Link")</f>
        <v/>
      </c>
      <c r="G389" s="19" t="inlineStr">
        <is>
          <t>https://www.jcpenney.com/s?searchTerm={search_term}</t>
        </is>
      </c>
      <c r="H389" s="23" t="inlineStr">
        <is>
          <t>195740024642</t>
        </is>
      </c>
      <c r="I389" s="19">
        <f>HYPERLINK("https://www.jcpenney.com/s?searchTerm=195740024642", "Retail Link")</f>
        <v/>
      </c>
      <c r="J389" s="23" t="inlineStr">
        <is>
          <t>n/a</t>
        </is>
      </c>
      <c r="K389" s="21" t="inlineStr">
        <is>
          <t>adidas Women's Grand Court 2.0 Tennis Shoe</t>
        </is>
      </c>
      <c r="L389" s="24" t="n"/>
      <c r="M389" s="24" t="n">
        <v>69.95</v>
      </c>
      <c r="N389" s="24" t="n"/>
      <c r="O389" s="24">
        <f>V389-M389</f>
        <v/>
      </c>
      <c r="P389" s="25">
        <f>N389/L389</f>
        <v/>
      </c>
      <c r="Q389" s="23" t="n">
        <v>7312</v>
      </c>
      <c r="R389" s="23" t="n">
        <v>200</v>
      </c>
      <c r="S389" s="26" t="n">
        <v>1.8298346</v>
      </c>
      <c r="T389" s="24" t="n">
        <v>69.95</v>
      </c>
      <c r="U389" s="24" t="n">
        <v>63.13</v>
      </c>
      <c r="V389" s="24" t="n">
        <v>67.87</v>
      </c>
      <c r="W389" s="26" t="inlineStr">
        <is>
          <t>adidas Grand Court 2.0 Womens Sneakers</t>
        </is>
      </c>
      <c r="X389" s="23" t="n">
        <v>6</v>
      </c>
      <c r="Y389" s="18">
        <f>AC389-AB389</f>
        <v/>
      </c>
      <c r="Z389" s="27" t="n">
        <v>53</v>
      </c>
      <c r="AA389" s="27" t="n">
        <v>150</v>
      </c>
      <c r="AB389" s="27" t="n">
        <v>84</v>
      </c>
      <c r="AC389" s="27" t="n">
        <v>3635</v>
      </c>
      <c r="AD389" s="1" t="inlineStr">
        <is>
          <t>LIT87</t>
        </is>
      </c>
      <c r="AE389" s="1" t="inlineStr">
        <is>
          <t>White/Platin Metallic/Platin Metallic</t>
        </is>
      </c>
      <c r="AF389" s="4" t="n">
        <v>10.49</v>
      </c>
      <c r="AG389" s="4" t="n">
        <v>7.78</v>
      </c>
    </row>
    <row r="390" ht="47.25" customHeight="1">
      <c r="A390" s="18" t="inlineStr">
        <is>
          <t>195740024604</t>
        </is>
      </c>
      <c r="B390" s="19" t="inlineStr">
        <is>
          <t>https://www.amazon.com/dp/</t>
        </is>
      </c>
      <c r="C390" s="20" t="inlineStr">
        <is>
          <t>B09DXT914J</t>
        </is>
      </c>
      <c r="D390" s="44" t="n"/>
      <c r="E390" s="23" t="inlineStr">
        <is>
          <t>?th=1&amp;psc=1&amp;tag=sdcdeals03-20</t>
        </is>
      </c>
      <c r="F390" s="19">
        <f>HYPERLINK("https://redirect.sdcdeals.com/redirect?destination=https%3A%2F%2Fwww.amazon.com%2Fdp%2FB09DXT914J%3Fth%3D1%26psc%3D1%26tag%3Dsdcdeals03-20", "Amazon Link")</f>
        <v/>
      </c>
      <c r="G390" s="19" t="inlineStr">
        <is>
          <t>https://www.jcpenney.com/s?searchTerm={search_term}</t>
        </is>
      </c>
      <c r="H390" s="23" t="inlineStr">
        <is>
          <t>195740024604</t>
        </is>
      </c>
      <c r="I390" s="19">
        <f>HYPERLINK("https://www.jcpenney.com/s?searchTerm=195740024604", "Retail Link")</f>
        <v/>
      </c>
      <c r="J390" s="23" t="inlineStr">
        <is>
          <t>n/a</t>
        </is>
      </c>
      <c r="K390" s="21" t="inlineStr">
        <is>
          <t>adidas Women's Grand Court 2.0 Tennis Shoe</t>
        </is>
      </c>
      <c r="L390" s="24" t="n"/>
      <c r="M390" s="24" t="n">
        <v>66.90000000000001</v>
      </c>
      <c r="N390" s="24" t="n"/>
      <c r="O390" s="24">
        <f>V390-M390</f>
        <v/>
      </c>
      <c r="P390" s="25">
        <f>N390/L390</f>
        <v/>
      </c>
      <c r="Q390" s="23" t="n">
        <v>3965</v>
      </c>
      <c r="R390" s="23" t="n">
        <v>200</v>
      </c>
      <c r="S390" s="26" t="n">
        <v>1.8959732</v>
      </c>
      <c r="T390" s="24" t="n">
        <v>66.90000000000001</v>
      </c>
      <c r="U390" s="24" t="n">
        <v>66.12</v>
      </c>
      <c r="V390" s="24" t="n">
        <v>65.90000000000001</v>
      </c>
      <c r="W390" s="26" t="inlineStr">
        <is>
          <t>adidas Grand Court 2.0 Womens Sneakers</t>
        </is>
      </c>
      <c r="X390" s="23" t="n">
        <v>9</v>
      </c>
      <c r="Y390" s="18">
        <f>AC390-AB390</f>
        <v/>
      </c>
      <c r="Z390" s="27" t="n">
        <v>102</v>
      </c>
      <c r="AA390" s="27" t="n">
        <v>271</v>
      </c>
      <c r="AB390" s="27" t="n">
        <v>105</v>
      </c>
      <c r="AC390" s="27" t="n">
        <v>2740</v>
      </c>
      <c r="AD390" s="1" t="inlineStr">
        <is>
          <t>LIT87</t>
        </is>
      </c>
      <c r="AE390" s="1" t="inlineStr">
        <is>
          <t>White/Platin Metallic/Platin Metallic</t>
        </is>
      </c>
      <c r="AF390" s="4" t="n">
        <v>10.04</v>
      </c>
      <c r="AG390" s="4" t="n">
        <v>7.7</v>
      </c>
    </row>
    <row r="391" ht="47.25" customHeight="1">
      <c r="A391" s="18" t="inlineStr">
        <is>
          <t>195740024659</t>
        </is>
      </c>
      <c r="B391" s="19" t="inlineStr">
        <is>
          <t>https://www.amazon.com/dp/</t>
        </is>
      </c>
      <c r="C391" s="20" t="inlineStr">
        <is>
          <t>B09DXTZGX5</t>
        </is>
      </c>
      <c r="D391" s="44" t="n"/>
      <c r="E391" s="23" t="inlineStr">
        <is>
          <t>?th=1&amp;psc=1&amp;tag=sdcdeals03-20</t>
        </is>
      </c>
      <c r="F391" s="19">
        <f>HYPERLINK("https://redirect.sdcdeals.com/redirect?destination=https%3A%2F%2Fwww.amazon.com%2Fdp%2FB09DXTZGX5%3Fth%3D1%26psc%3D1%26tag%3Dsdcdeals03-20", "Amazon Link")</f>
        <v/>
      </c>
      <c r="G391" s="19" t="inlineStr">
        <is>
          <t>https://www.jcpenney.com/s?searchTerm={search_term}</t>
        </is>
      </c>
      <c r="H391" s="23" t="inlineStr">
        <is>
          <t>195740024659</t>
        </is>
      </c>
      <c r="I391" s="19">
        <f>HYPERLINK("https://www.jcpenney.com/s?searchTerm=195740024659", "Retail Link")</f>
        <v/>
      </c>
      <c r="J391" s="23" t="inlineStr">
        <is>
          <t>n/a</t>
        </is>
      </c>
      <c r="K391" s="21" t="inlineStr">
        <is>
          <t>adidas Women's Grand Court 2.0 Tennis Shoe</t>
        </is>
      </c>
      <c r="L391" s="24" t="n"/>
      <c r="M391" s="24" t="n">
        <v>69.94</v>
      </c>
      <c r="N391" s="24" t="n"/>
      <c r="O391" s="24">
        <f>V391-M391</f>
        <v/>
      </c>
      <c r="P391" s="25">
        <f>N391/L391</f>
        <v/>
      </c>
      <c r="Q391" s="23" t="n">
        <v>8133</v>
      </c>
      <c r="R391" s="23" t="n">
        <v>200</v>
      </c>
      <c r="S391" s="26" t="n">
        <v>2.1605276</v>
      </c>
      <c r="T391" s="24" t="n">
        <v>69.93000000000001</v>
      </c>
      <c r="U391" s="24" t="n">
        <v>64.45999999999999</v>
      </c>
      <c r="V391" s="24" t="n">
        <v>73.83</v>
      </c>
      <c r="W391" s="26" t="inlineStr">
        <is>
          <t>adidas Grand Court 2.0 Womens Sneakers</t>
        </is>
      </c>
      <c r="X391" s="23" t="n">
        <v>7</v>
      </c>
      <c r="Y391" s="18">
        <f>AC391-AB391</f>
        <v/>
      </c>
      <c r="Z391" s="27" t="n">
        <v>64</v>
      </c>
      <c r="AA391" s="27" t="n">
        <v>206</v>
      </c>
      <c r="AB391" s="27" t="n">
        <v>69</v>
      </c>
      <c r="AC391" s="27" t="n">
        <v>3635</v>
      </c>
      <c r="AD391" s="1" t="inlineStr">
        <is>
          <t>LIT87</t>
        </is>
      </c>
      <c r="AE391" s="1" t="inlineStr">
        <is>
          <t>White/Platin Metallic/Platin Metallic</t>
        </is>
      </c>
      <c r="AF391" s="4" t="n">
        <v>10.49</v>
      </c>
      <c r="AG391" s="4" t="n">
        <v>7.7</v>
      </c>
    </row>
    <row r="392" ht="47.25" customHeight="1">
      <c r="A392" s="18" t="inlineStr">
        <is>
          <t>195740024628</t>
        </is>
      </c>
      <c r="B392" s="19" t="inlineStr">
        <is>
          <t>https://www.amazon.com/dp/</t>
        </is>
      </c>
      <c r="C392" s="20" t="inlineStr">
        <is>
          <t>B09DXTQ9L6</t>
        </is>
      </c>
      <c r="D392" s="44" t="n"/>
      <c r="E392" s="23" t="inlineStr">
        <is>
          <t>?th=1&amp;psc=1&amp;tag=sdcdeals03-20</t>
        </is>
      </c>
      <c r="F392" s="19">
        <f>HYPERLINK("https://redirect.sdcdeals.com/redirect?destination=https%3A%2F%2Fwww.amazon.com%2Fdp%2FB09DXTQ9L6%3Fth%3D1%26psc%3D1%26tag%3Dsdcdeals03-20", "Amazon Link")</f>
        <v/>
      </c>
      <c r="G392" s="19" t="inlineStr">
        <is>
          <t>https://www.jcpenney.com/s?searchTerm={search_term}</t>
        </is>
      </c>
      <c r="H392" s="23" t="inlineStr">
        <is>
          <t>195740024628</t>
        </is>
      </c>
      <c r="I392" s="19">
        <f>HYPERLINK("https://www.jcpenney.com/s?searchTerm=195740024628", "Retail Link")</f>
        <v/>
      </c>
      <c r="J392" s="23" t="inlineStr">
        <is>
          <t>n/a</t>
        </is>
      </c>
      <c r="K392" s="21" t="inlineStr">
        <is>
          <t>adidas Women's Grand Court 2.0 Tennis Shoe</t>
        </is>
      </c>
      <c r="L392" s="24" t="n"/>
      <c r="M392" s="24" t="n">
        <v>70</v>
      </c>
      <c r="N392" s="24" t="n"/>
      <c r="O392" s="24">
        <f>V392-M392</f>
        <v/>
      </c>
      <c r="P392" s="25">
        <f>N392/L392</f>
        <v/>
      </c>
      <c r="Q392" s="23" t="n">
        <v>3965</v>
      </c>
      <c r="R392" s="23" t="n">
        <v>300</v>
      </c>
      <c r="S392" s="26" t="n">
        <v>2.18036918</v>
      </c>
      <c r="T392" s="24" t="n">
        <v>67.90000000000001</v>
      </c>
      <c r="U392" s="24" t="n">
        <v>62.31</v>
      </c>
      <c r="V392" s="24" t="n">
        <v>68.83</v>
      </c>
      <c r="W392" s="26" t="inlineStr">
        <is>
          <t>adidas Grand Court 2.0 Womens Sneakers</t>
        </is>
      </c>
      <c r="X392" s="23" t="n">
        <v>8</v>
      </c>
      <c r="Y392" s="18">
        <f>AC392-AB392</f>
        <v/>
      </c>
      <c r="Z392" s="27" t="n">
        <v>69</v>
      </c>
      <c r="AA392" s="27" t="n">
        <v>166</v>
      </c>
      <c r="AB392" s="27" t="n">
        <v>72</v>
      </c>
      <c r="AC392" s="27" t="n">
        <v>2740</v>
      </c>
      <c r="AD392" s="1" t="inlineStr">
        <is>
          <t>LIT87</t>
        </is>
      </c>
      <c r="AE392" s="1" t="inlineStr">
        <is>
          <t>White/Platin Metallic/Platin Metallic</t>
        </is>
      </c>
      <c r="AF392" s="4" t="n">
        <v>10.5</v>
      </c>
      <c r="AG392" s="4" t="n">
        <v>7.86</v>
      </c>
    </row>
    <row r="393" ht="47.25" customHeight="1">
      <c r="A393" s="18" t="inlineStr">
        <is>
          <t>195740020972</t>
        </is>
      </c>
      <c r="B393" s="19" t="inlineStr">
        <is>
          <t>https://www.amazon.com/dp/</t>
        </is>
      </c>
      <c r="C393" s="20" t="inlineStr">
        <is>
          <t>B09DXTKXPJ</t>
        </is>
      </c>
      <c r="D393" s="44" t="n"/>
      <c r="E393" s="23" t="inlineStr">
        <is>
          <t>?th=1&amp;psc=1&amp;tag=sdcdeals03-20</t>
        </is>
      </c>
      <c r="F393" s="19">
        <f>HYPERLINK("https://redirect.sdcdeals.com/redirect?destination=https%3A%2F%2Fwww.amazon.com%2Fdp%2FB09DXTKXPJ%3Fth%3D1%26psc%3D1%26tag%3Dsdcdeals03-20", "Amazon Link")</f>
        <v/>
      </c>
      <c r="G393" s="19" t="inlineStr">
        <is>
          <t>https://www.jcpenney.com/s?searchTerm={search_term}</t>
        </is>
      </c>
      <c r="H393" s="23" t="inlineStr">
        <is>
          <t>195740020972</t>
        </is>
      </c>
      <c r="I393" s="19">
        <f>HYPERLINK("https://www.jcpenney.com/s?searchTerm=195740020972", "Retail Link")</f>
        <v/>
      </c>
      <c r="J393" s="23" t="inlineStr">
        <is>
          <t>n/a</t>
        </is>
      </c>
      <c r="K393" s="21" t="inlineStr">
        <is>
          <t>adidas Women's Grand Court 2.0 Tennis Shoe</t>
        </is>
      </c>
      <c r="L393" s="24" t="n"/>
      <c r="M393" s="24" t="n">
        <v>67.22</v>
      </c>
      <c r="N393" s="24" t="n"/>
      <c r="O393" s="24">
        <f>V393-M393</f>
        <v/>
      </c>
      <c r="P393" s="25">
        <f>N393/L393</f>
        <v/>
      </c>
      <c r="Q393" s="23" t="n">
        <v>8133</v>
      </c>
      <c r="R393" s="23" t="n">
        <v>100</v>
      </c>
      <c r="S393" s="26" t="n">
        <v>2.23107544</v>
      </c>
      <c r="T393" s="24" t="n">
        <v>66.94</v>
      </c>
      <c r="U393" s="24" t="n">
        <v>66.22</v>
      </c>
      <c r="V393" s="24" t="n">
        <v>72.31</v>
      </c>
      <c r="W393" s="26" t="inlineStr">
        <is>
          <t>adidas Grand Court 2.0 Womens Sneakers</t>
        </is>
      </c>
      <c r="X393" s="23" t="n">
        <v>7</v>
      </c>
      <c r="Y393" s="18">
        <f>AC393-AB393</f>
        <v/>
      </c>
      <c r="Z393" s="27" t="n">
        <v>120</v>
      </c>
      <c r="AA393" s="27" t="n">
        <v>269</v>
      </c>
      <c r="AB393" s="27" t="n">
        <v>45</v>
      </c>
      <c r="AC393" s="27" t="n">
        <v>3634</v>
      </c>
      <c r="AD393" s="1" t="inlineStr">
        <is>
          <t>LIT87</t>
        </is>
      </c>
      <c r="AE393" s="1" t="inlineStr">
        <is>
          <t>White/Platin Metallic/Platin Metallic</t>
        </is>
      </c>
      <c r="AF393" s="4" t="n">
        <v>10.08</v>
      </c>
      <c r="AG393" s="4" t="n">
        <v>7.86</v>
      </c>
    </row>
    <row r="394" ht="47.25" customHeight="1">
      <c r="A394" s="18" t="inlineStr">
        <is>
          <t>195740020965</t>
        </is>
      </c>
      <c r="B394" s="19" t="inlineStr">
        <is>
          <t>https://www.amazon.com/dp/</t>
        </is>
      </c>
      <c r="C394" s="20" t="inlineStr">
        <is>
          <t>B09DXV3RKF</t>
        </is>
      </c>
      <c r="D394" s="44" t="n"/>
      <c r="E394" s="23" t="inlineStr">
        <is>
          <t>?th=1&amp;psc=1&amp;tag=sdcdeals03-20</t>
        </is>
      </c>
      <c r="F394" s="19">
        <f>HYPERLINK("https://redirect.sdcdeals.com/redirect?destination=https%3A%2F%2Fwww.amazon.com%2Fdp%2FB09DXV3RKF%3Fth%3D1%26psc%3D1%26tag%3Dsdcdeals03-20", "Amazon Link")</f>
        <v/>
      </c>
      <c r="G394" s="19" t="inlineStr">
        <is>
          <t>https://www.jcpenney.com/s?searchTerm={search_term}</t>
        </is>
      </c>
      <c r="H394" s="23" t="inlineStr">
        <is>
          <t>195740020965</t>
        </is>
      </c>
      <c r="I394" s="19">
        <f>HYPERLINK("https://www.jcpenney.com/s?searchTerm=195740020965", "Retail Link")</f>
        <v/>
      </c>
      <c r="J394" s="23" t="inlineStr">
        <is>
          <t>n/a</t>
        </is>
      </c>
      <c r="K394" s="21" t="inlineStr">
        <is>
          <t>adidas Women's Grand Court 2.0 Tennis Shoe</t>
        </is>
      </c>
      <c r="L394" s="24" t="n"/>
      <c r="M394" s="24" t="n">
        <v>69.95</v>
      </c>
      <c r="N394" s="24" t="n"/>
      <c r="O394" s="24">
        <f>V394-M394</f>
        <v/>
      </c>
      <c r="P394" s="25">
        <f>N394/L394</f>
        <v/>
      </c>
      <c r="Q394" s="23" t="n">
        <v>3965</v>
      </c>
      <c r="R394" s="23" t="n">
        <v>50</v>
      </c>
      <c r="S394" s="26" t="n">
        <v>2.09879824</v>
      </c>
      <c r="T394" s="24" t="n">
        <v>69.93000000000001</v>
      </c>
      <c r="U394" s="24" t="n">
        <v>67.92</v>
      </c>
      <c r="V394" s="24" t="n">
        <v>69.55</v>
      </c>
      <c r="W394" s="26" t="inlineStr">
        <is>
          <t>adidas Grand Court 2.0 Womens Sneakers</t>
        </is>
      </c>
      <c r="X394" s="23" t="n">
        <v>9</v>
      </c>
      <c r="Y394" s="18">
        <f>AC394-AB394</f>
        <v/>
      </c>
      <c r="Z394" s="27" t="n">
        <v>102</v>
      </c>
      <c r="AA394" s="27" t="n">
        <v>256</v>
      </c>
      <c r="AB394" s="27" t="n">
        <v>43</v>
      </c>
      <c r="AC394" s="27" t="n">
        <v>2738</v>
      </c>
      <c r="AD394" s="1" t="inlineStr">
        <is>
          <t>LIT87</t>
        </is>
      </c>
      <c r="AE394" s="1" t="inlineStr">
        <is>
          <t>White/Platin Metallic/Platin Metallic</t>
        </is>
      </c>
      <c r="AF394" s="4" t="n">
        <v>10.49</v>
      </c>
      <c r="AG394" s="4" t="n">
        <v>7.94</v>
      </c>
    </row>
    <row r="395" ht="47.25" customHeight="1">
      <c r="A395" s="18" t="inlineStr">
        <is>
          <t>195746012971</t>
        </is>
      </c>
      <c r="B395" s="19" t="inlineStr">
        <is>
          <t>https://www.amazon.com/dp/</t>
        </is>
      </c>
      <c r="C395" s="20" t="inlineStr">
        <is>
          <t>B09VCLSZ9F</t>
        </is>
      </c>
      <c r="D395" s="44" t="n"/>
      <c r="E395" s="23" t="inlineStr">
        <is>
          <t>?th=1&amp;psc=1&amp;tag=sdcdeals03-20</t>
        </is>
      </c>
      <c r="F395" s="19">
        <f>HYPERLINK("https://redirect.sdcdeals.com/redirect?destination=https%3A%2F%2Fwww.amazon.com%2Fdp%2FB09VCLSZ9F%3Fth%3D1%26psc%3D1%26tag%3Dsdcdeals03-20", "Amazon Link")</f>
        <v/>
      </c>
      <c r="G395" s="19" t="inlineStr">
        <is>
          <t>https://www.jcpenney.com/s?searchTerm={search_term}</t>
        </is>
      </c>
      <c r="H395" s="23" t="inlineStr">
        <is>
          <t>195746012971</t>
        </is>
      </c>
      <c r="I395" s="19">
        <f>HYPERLINK("https://www.jcpenney.com/s?searchTerm=195746012971", "Retail Link")</f>
        <v/>
      </c>
      <c r="J395" s="23" t="inlineStr">
        <is>
          <t>n/a</t>
        </is>
      </c>
      <c r="K395" s="21" t="inlineStr">
        <is>
          <t>adidas Women's Grand Court 2.0 Tennis Shoe</t>
        </is>
      </c>
      <c r="L395" s="24" t="n"/>
      <c r="M395" s="24" t="n">
        <v>70</v>
      </c>
      <c r="N395" s="24" t="n"/>
      <c r="O395" s="24">
        <f>V395-M395</f>
        <v/>
      </c>
      <c r="P395" s="25">
        <f>N395/L395</f>
        <v/>
      </c>
      <c r="Q395" s="23" t="n">
        <v>3965</v>
      </c>
      <c r="R395" s="23" t="n">
        <v>50</v>
      </c>
      <c r="S395" s="26" t="n">
        <v>2.40083118</v>
      </c>
      <c r="T395" s="24" t="n">
        <v>69.5</v>
      </c>
      <c r="U395" s="24" t="n">
        <v>67</v>
      </c>
      <c r="V395" s="24" t="n">
        <v>68.70999999999999</v>
      </c>
      <c r="W395" s="26" t="inlineStr">
        <is>
          <t>adidas Grand Court 2.0 Womens Sneakers</t>
        </is>
      </c>
      <c r="X395" s="23" t="n">
        <v>7</v>
      </c>
      <c r="Y395" s="18">
        <f>AC395-AB395</f>
        <v/>
      </c>
      <c r="Z395" s="27" t="n">
        <v>100</v>
      </c>
      <c r="AA395" s="27" t="n">
        <v>291</v>
      </c>
      <c r="AB395" s="27" t="n">
        <v>6</v>
      </c>
      <c r="AC395" s="27" t="n">
        <v>2738</v>
      </c>
      <c r="AD395" s="1" t="inlineStr">
        <is>
          <t>LIT87</t>
        </is>
      </c>
      <c r="AE395" s="1" t="inlineStr">
        <is>
          <t>White/Platin Metallic/Platin Metallic</t>
        </is>
      </c>
      <c r="AF395" s="4" t="n">
        <v>10.5</v>
      </c>
      <c r="AG395" s="4" t="n">
        <v>7.86</v>
      </c>
    </row>
    <row r="396" ht="47.25" customHeight="1">
      <c r="A396" s="18" t="inlineStr">
        <is>
          <t>196464736101</t>
        </is>
      </c>
      <c r="B396" s="19" t="inlineStr">
        <is>
          <t>https://www.amazon.com/dp/</t>
        </is>
      </c>
      <c r="C396" s="20" t="inlineStr">
        <is>
          <t>B0BHPSCWKW</t>
        </is>
      </c>
      <c r="D396" s="44" t="n"/>
      <c r="E396" s="23" t="inlineStr">
        <is>
          <t>?th=1&amp;psc=1&amp;tag=sdcdeals03-20</t>
        </is>
      </c>
      <c r="F396" s="19">
        <f>HYPERLINK("https://redirect.sdcdeals.com/redirect?destination=https%3A%2F%2Fwww.amazon.com%2Fdp%2FB0BHPSCWKW%3Fth%3D1%26psc%3D1%26tag%3Dsdcdeals03-20", "Amazon Link")</f>
        <v/>
      </c>
      <c r="G396" s="19" t="inlineStr">
        <is>
          <t>https://www.jcpenney.com/s?searchTerm={search_term}</t>
        </is>
      </c>
      <c r="H396" s="23" t="inlineStr">
        <is>
          <t>196464736101</t>
        </is>
      </c>
      <c r="I396" s="19">
        <f>HYPERLINK("https://www.jcpenney.com/s?searchTerm=196464736101", "Retail Link")</f>
        <v/>
      </c>
      <c r="J396" s="23" t="inlineStr">
        <is>
          <t>n/a</t>
        </is>
      </c>
      <c r="K396" s="21" t="inlineStr">
        <is>
          <t>adidas Women's Grant Court 2.0 Sneaker, White/Wonder Clay/Gold Metallic, 5</t>
        </is>
      </c>
      <c r="L396" s="24" t="n"/>
      <c r="M396" s="24" t="inlineStr"/>
      <c r="N396" s="24" t="n"/>
      <c r="O396" s="24">
        <f>V396-M396</f>
        <v/>
      </c>
      <c r="P396" s="25">
        <f>N396/L396</f>
        <v/>
      </c>
      <c r="Q396" s="23" t="n">
        <v>8204</v>
      </c>
      <c r="R396" s="23" t="n"/>
      <c r="S396" s="26" t="n">
        <v>1.73944518</v>
      </c>
      <c r="T396" s="24" t="inlineStr"/>
      <c r="U396" s="24" t="inlineStr"/>
      <c r="V396" s="24" t="inlineStr"/>
      <c r="W396" s="26" t="inlineStr">
        <is>
          <t>adidas Grand Court 2.0 Womens Sneakers</t>
        </is>
      </c>
      <c r="X396" s="23" t="n"/>
      <c r="Y396" s="18">
        <f>AC396-AB396</f>
        <v/>
      </c>
      <c r="Z396" s="27" t="n">
        <v>13</v>
      </c>
      <c r="AA396" s="27" t="n">
        <v>22</v>
      </c>
      <c r="AB396" s="27" t="n">
        <v>0</v>
      </c>
      <c r="AC396" s="27" t="n">
        <v>3540</v>
      </c>
      <c r="AD396" s="1" t="inlineStr">
        <is>
          <t>LIT87</t>
        </is>
      </c>
      <c r="AE396" s="1" t="inlineStr">
        <is>
          <t>White/Wonder Clay/Gold Metallic</t>
        </is>
      </c>
      <c r="AF396" s="4" t="inlineStr"/>
      <c r="AG396" s="4" t="n">
        <v>6.61</v>
      </c>
    </row>
    <row r="397" ht="47.25" customHeight="1">
      <c r="A397" s="18" t="inlineStr">
        <is>
          <t>196464736149</t>
        </is>
      </c>
      <c r="B397" s="19" t="inlineStr">
        <is>
          <t>https://www.amazon.com/dp/</t>
        </is>
      </c>
      <c r="C397" s="20" t="inlineStr">
        <is>
          <t>B0BHPS8K4H</t>
        </is>
      </c>
      <c r="D397" s="44" t="n"/>
      <c r="E397" s="23" t="inlineStr">
        <is>
          <t>?th=1&amp;psc=1&amp;tag=sdcdeals03-20</t>
        </is>
      </c>
      <c r="F397" s="19">
        <f>HYPERLINK("https://redirect.sdcdeals.com/redirect?destination=https%3A%2F%2Fwww.amazon.com%2Fdp%2FB0BHPS8K4H%3Fth%3D1%26psc%3D1%26tag%3Dsdcdeals03-20", "Amazon Link")</f>
        <v/>
      </c>
      <c r="G397" s="19" t="inlineStr">
        <is>
          <t>https://www.jcpenney.com/s?searchTerm={search_term}</t>
        </is>
      </c>
      <c r="H397" s="23" t="inlineStr">
        <is>
          <t>196464736149</t>
        </is>
      </c>
      <c r="I397" s="19">
        <f>HYPERLINK("https://www.jcpenney.com/s?searchTerm=196464736149", "Retail Link")</f>
        <v/>
      </c>
      <c r="J397" s="23" t="inlineStr">
        <is>
          <t>n/a</t>
        </is>
      </c>
      <c r="K397" s="21" t="inlineStr">
        <is>
          <t>adidas Women's Grant Court 2.0 Sneaker, White/Wonder Clay/Gold Metallic, 5.5</t>
        </is>
      </c>
      <c r="L397" s="24" t="n"/>
      <c r="M397" s="24" t="inlineStr"/>
      <c r="N397" s="24" t="n"/>
      <c r="O397" s="24">
        <f>V397-M397</f>
        <v/>
      </c>
      <c r="P397" s="25">
        <f>N397/L397</f>
        <v/>
      </c>
      <c r="Q397" s="23" t="n"/>
      <c r="R397" s="23" t="n"/>
      <c r="S397" s="26" t="n">
        <v>1.67992044</v>
      </c>
      <c r="T397" s="24" t="inlineStr"/>
      <c r="U397" s="24" t="inlineStr"/>
      <c r="V397" s="24" t="inlineStr"/>
      <c r="W397" s="26" t="inlineStr">
        <is>
          <t>adidas Grand Court 2.0 Womens Sneakers</t>
        </is>
      </c>
      <c r="X397" s="23" t="n"/>
      <c r="Y397" s="18">
        <f>AC397-AB397</f>
        <v/>
      </c>
      <c r="Z397" s="27" t="n">
        <v>1</v>
      </c>
      <c r="AA397" s="27" t="n">
        <v>1</v>
      </c>
      <c r="AB397" s="27" t="n">
        <v>1</v>
      </c>
      <c r="AC397" s="27" t="n">
        <v>66</v>
      </c>
      <c r="AD397" s="1" t="inlineStr">
        <is>
          <t>LIT87</t>
        </is>
      </c>
      <c r="AE397" s="1" t="inlineStr">
        <is>
          <t>White/Wonder Clay/Gold Metallic</t>
        </is>
      </c>
      <c r="AF397" s="4" t="inlineStr"/>
      <c r="AG397" s="4" t="n">
        <v>6.61</v>
      </c>
    </row>
    <row r="398" ht="47.25" customHeight="1">
      <c r="A398" s="18" t="inlineStr">
        <is>
          <t>196464738334</t>
        </is>
      </c>
      <c r="B398" s="19" t="inlineStr">
        <is>
          <t>https://www.amazon.com/dp/</t>
        </is>
      </c>
      <c r="C398" s="20" t="inlineStr">
        <is>
          <t>B0BHPVTTMY</t>
        </is>
      </c>
      <c r="D398" s="44" t="n"/>
      <c r="E398" s="23" t="inlineStr">
        <is>
          <t>?th=1&amp;psc=1&amp;tag=sdcdeals03-20</t>
        </is>
      </c>
      <c r="F398" s="19">
        <f>HYPERLINK("https://redirect.sdcdeals.com/redirect?destination=https%3A%2F%2Fwww.amazon.com%2Fdp%2FB0BHPVTTMY%3Fth%3D1%26psc%3D1%26tag%3Dsdcdeals03-20", "Amazon Link")</f>
        <v/>
      </c>
      <c r="G398" s="19" t="inlineStr">
        <is>
          <t>https://www.jcpenney.com/s?searchTerm={search_term}</t>
        </is>
      </c>
      <c r="H398" s="23" t="inlineStr">
        <is>
          <t>196464738334</t>
        </is>
      </c>
      <c r="I398" s="19">
        <f>HYPERLINK("https://www.jcpenney.com/s?searchTerm=196464738334", "Retail Link")</f>
        <v/>
      </c>
      <c r="J398" s="23" t="inlineStr">
        <is>
          <t>n/a</t>
        </is>
      </c>
      <c r="K398" s="21" t="inlineStr">
        <is>
          <t>adidas Women's Grant Court 2.0 Sneaker, White/Wonder Clay/Gold Metallic, 6</t>
        </is>
      </c>
      <c r="L398" s="24" t="n"/>
      <c r="M398" s="24" t="n">
        <v>48.52</v>
      </c>
      <c r="N398" s="24" t="n"/>
      <c r="O398" s="24">
        <f>V398-M398</f>
        <v/>
      </c>
      <c r="P398" s="25">
        <f>N398/L398</f>
        <v/>
      </c>
      <c r="Q398" s="23" t="n">
        <v>724072</v>
      </c>
      <c r="R398" s="23" t="n"/>
      <c r="S398" s="26" t="n">
        <v>1.6755112</v>
      </c>
      <c r="T398" s="24" t="n">
        <v>48.52</v>
      </c>
      <c r="U398" s="24" t="n">
        <v>48.29</v>
      </c>
      <c r="V398" s="24" t="n">
        <v>61.45</v>
      </c>
      <c r="W398" s="26" t="inlineStr">
        <is>
          <t>adidas Grand Court 2.0 Womens Sneakers</t>
        </is>
      </c>
      <c r="X398" s="23" t="n">
        <v>2</v>
      </c>
      <c r="Y398" s="18">
        <f>AC398-AB398</f>
        <v/>
      </c>
      <c r="Z398" s="27" t="n">
        <v>11</v>
      </c>
      <c r="AA398" s="27" t="n">
        <v>21</v>
      </c>
      <c r="AB398" s="27" t="n">
        <v>3</v>
      </c>
      <c r="AC398" s="27" t="n">
        <v>135</v>
      </c>
      <c r="AD398" s="1" t="inlineStr">
        <is>
          <t>LIT87</t>
        </is>
      </c>
      <c r="AE398" s="1" t="inlineStr">
        <is>
          <t>White/Wonder Clay/Gold Metallic</t>
        </is>
      </c>
      <c r="AF398" s="4" t="n">
        <v>7.28</v>
      </c>
      <c r="AG398" s="4" t="n">
        <v>7.54</v>
      </c>
    </row>
    <row r="399" ht="47.25" customHeight="1">
      <c r="A399" s="18" t="inlineStr">
        <is>
          <t>196464736095</t>
        </is>
      </c>
      <c r="B399" s="19" t="inlineStr">
        <is>
          <t>https://www.amazon.com/dp/</t>
        </is>
      </c>
      <c r="C399" s="20" t="inlineStr">
        <is>
          <t>B0BHPQ4H5R</t>
        </is>
      </c>
      <c r="D399" s="44" t="n"/>
      <c r="E399" s="23" t="inlineStr">
        <is>
          <t>?th=1&amp;psc=1&amp;tag=sdcdeals03-20</t>
        </is>
      </c>
      <c r="F399" s="19">
        <f>HYPERLINK("https://redirect.sdcdeals.com/redirect?destination=https%3A%2F%2Fwww.amazon.com%2Fdp%2FB0BHPQ4H5R%3Fth%3D1%26psc%3D1%26tag%3Dsdcdeals03-20", "Amazon Link")</f>
        <v/>
      </c>
      <c r="G399" s="19" t="inlineStr">
        <is>
          <t>https://www.jcpenney.com/s?searchTerm={search_term}</t>
        </is>
      </c>
      <c r="H399" s="23" t="inlineStr">
        <is>
          <t>196464736095</t>
        </is>
      </c>
      <c r="I399" s="19">
        <f>HYPERLINK("https://www.jcpenney.com/s?searchTerm=196464736095", "Retail Link")</f>
        <v/>
      </c>
      <c r="J399" s="23" t="inlineStr">
        <is>
          <t>n/a</t>
        </is>
      </c>
      <c r="K399" s="21" t="inlineStr">
        <is>
          <t>adidas Women's Grant Court 2.0 Sneaker, White/Wonder Clay/Gold Metallic, 6.5</t>
        </is>
      </c>
      <c r="L399" s="24" t="n"/>
      <c r="M399" s="24" t="n">
        <v>47.62</v>
      </c>
      <c r="N399" s="24" t="n"/>
      <c r="O399" s="24">
        <f>V399-M399</f>
        <v/>
      </c>
      <c r="P399" s="25">
        <f>N399/L399</f>
        <v/>
      </c>
      <c r="Q399" s="23" t="n">
        <v>724072</v>
      </c>
      <c r="R399" s="23" t="n"/>
      <c r="S399" s="26" t="n">
        <v>1.84967618</v>
      </c>
      <c r="T399" s="24" t="n">
        <v>47.62</v>
      </c>
      <c r="U399" s="24" t="n">
        <v>47.8</v>
      </c>
      <c r="V399" s="24" t="n">
        <v>47.8</v>
      </c>
      <c r="W399" s="26" t="inlineStr">
        <is>
          <t>adidas Grand Court 2.0 Womens Sneakers</t>
        </is>
      </c>
      <c r="X399" s="23" t="n">
        <v>1</v>
      </c>
      <c r="Y399" s="18">
        <f>AC399-AB399</f>
        <v/>
      </c>
      <c r="Z399" s="27" t="n">
        <v>6</v>
      </c>
      <c r="AA399" s="27" t="n">
        <v>11</v>
      </c>
      <c r="AB399" s="27" t="n">
        <v>2</v>
      </c>
      <c r="AC399" s="27" t="n">
        <v>135</v>
      </c>
      <c r="AD399" s="1" t="inlineStr">
        <is>
          <t>LIT87</t>
        </is>
      </c>
      <c r="AE399" s="1" t="inlineStr">
        <is>
          <t>White/Wonder Clay/Gold Metallic</t>
        </is>
      </c>
      <c r="AF399" s="4" t="n">
        <v>7.14</v>
      </c>
      <c r="AG399" s="4" t="n">
        <v>7.7</v>
      </c>
    </row>
    <row r="400" ht="47.25" customHeight="1">
      <c r="A400" s="18" t="inlineStr">
        <is>
          <t>196464736132</t>
        </is>
      </c>
      <c r="B400" s="19" t="inlineStr">
        <is>
          <t>https://www.amazon.com/dp/</t>
        </is>
      </c>
      <c r="C400" s="20" t="inlineStr">
        <is>
          <t>B0BHPSQ47H</t>
        </is>
      </c>
      <c r="D400" s="44" t="n"/>
      <c r="E400" s="23" t="inlineStr">
        <is>
          <t>?th=1&amp;psc=1&amp;tag=sdcdeals03-20</t>
        </is>
      </c>
      <c r="F400" s="19">
        <f>HYPERLINK("https://redirect.sdcdeals.com/redirect?destination=https%3A%2F%2Fwww.amazon.com%2Fdp%2FB0BHPSQ47H%3Fth%3D1%26psc%3D1%26tag%3Dsdcdeals03-20", "Amazon Link")</f>
        <v/>
      </c>
      <c r="G400" s="19" t="inlineStr">
        <is>
          <t>https://www.jcpenney.com/s?searchTerm={search_term}</t>
        </is>
      </c>
      <c r="H400" s="23" t="inlineStr">
        <is>
          <t>196464736132</t>
        </is>
      </c>
      <c r="I400" s="19">
        <f>HYPERLINK("https://www.jcpenney.com/s?searchTerm=196464736132", "Retail Link")</f>
        <v/>
      </c>
      <c r="J400" s="23" t="inlineStr">
        <is>
          <t>n/a</t>
        </is>
      </c>
      <c r="K400" s="21" t="inlineStr">
        <is>
          <t>adidas Women's Grant Court 2.0 Sneaker, White/Wonder Clay/Gold Metallic, 7</t>
        </is>
      </c>
      <c r="L400" s="24" t="n"/>
      <c r="M400" s="24" t="n">
        <v>48.39</v>
      </c>
      <c r="N400" s="24" t="n"/>
      <c r="O400" s="24">
        <f>V400-M400</f>
        <v/>
      </c>
      <c r="P400" s="25">
        <f>N400/L400</f>
        <v/>
      </c>
      <c r="Q400" s="23" t="n">
        <v>652864</v>
      </c>
      <c r="R400" s="23" t="n"/>
      <c r="S400" s="26" t="n">
        <v>1.85408542</v>
      </c>
      <c r="T400" s="24" t="n">
        <v>48.39</v>
      </c>
      <c r="U400" s="24" t="n">
        <v>56.34</v>
      </c>
      <c r="V400" s="24" t="n">
        <v>56.34</v>
      </c>
      <c r="W400" s="26" t="inlineStr">
        <is>
          <t>adidas Grand Court 2.0 Womens Sneakers</t>
        </is>
      </c>
      <c r="X400" s="23" t="n">
        <v>3</v>
      </c>
      <c r="Y400" s="18">
        <f>AC400-AB400</f>
        <v/>
      </c>
      <c r="Z400" s="27" t="n">
        <v>14</v>
      </c>
      <c r="AA400" s="27" t="n">
        <v>27</v>
      </c>
      <c r="AB400" s="27" t="n">
        <v>7</v>
      </c>
      <c r="AC400" s="27" t="n">
        <v>135</v>
      </c>
      <c r="AD400" s="1" t="inlineStr">
        <is>
          <t>LIT87</t>
        </is>
      </c>
      <c r="AE400" s="1" t="inlineStr">
        <is>
          <t>White/Wonder Clay/Gold Metallic</t>
        </is>
      </c>
      <c r="AF400" s="4" t="n">
        <v>7.26</v>
      </c>
      <c r="AG400" s="4" t="n">
        <v>7.78</v>
      </c>
    </row>
    <row r="401" ht="47.25" customHeight="1">
      <c r="A401" s="18" t="inlineStr">
        <is>
          <t>196464736088</t>
        </is>
      </c>
      <c r="B401" s="19" t="inlineStr">
        <is>
          <t>https://www.amazon.com/dp/</t>
        </is>
      </c>
      <c r="C401" s="20" t="inlineStr">
        <is>
          <t>B0BHPSK6ZK</t>
        </is>
      </c>
      <c r="D401" s="44" t="n"/>
      <c r="E401" s="23" t="inlineStr">
        <is>
          <t>?th=1&amp;psc=1&amp;tag=sdcdeals03-20</t>
        </is>
      </c>
      <c r="F401" s="19">
        <f>HYPERLINK("https://redirect.sdcdeals.com/redirect?destination=https%3A%2F%2Fwww.amazon.com%2Fdp%2FB0BHPSK6ZK%3Fth%3D1%26psc%3D1%26tag%3Dsdcdeals03-20", "Amazon Link")</f>
        <v/>
      </c>
      <c r="G401" s="19" t="inlineStr">
        <is>
          <t>https://www.jcpenney.com/s?searchTerm={search_term}</t>
        </is>
      </c>
      <c r="H401" s="23" t="inlineStr">
        <is>
          <t>196464736088</t>
        </is>
      </c>
      <c r="I401" s="19">
        <f>HYPERLINK("https://www.jcpenney.com/s?searchTerm=196464736088", "Retail Link")</f>
        <v/>
      </c>
      <c r="J401" s="23" t="inlineStr">
        <is>
          <t>n/a</t>
        </is>
      </c>
      <c r="K401" s="21" t="inlineStr">
        <is>
          <t>adidas Women's Grant Court 2.0 Sneaker, White/Wonder Clay/Gold Metallic, 7.5</t>
        </is>
      </c>
      <c r="L401" s="24" t="n"/>
      <c r="M401" s="24" t="n">
        <v>54.72</v>
      </c>
      <c r="N401" s="24" t="n"/>
      <c r="O401" s="24">
        <f>V401-M401</f>
        <v/>
      </c>
      <c r="P401" s="25">
        <f>N401/L401</f>
        <v/>
      </c>
      <c r="Q401" s="23" t="n">
        <v>693379</v>
      </c>
      <c r="R401" s="23" t="n"/>
      <c r="S401" s="26" t="n">
        <v>1.8629039</v>
      </c>
      <c r="T401" s="24" t="n">
        <v>54.72</v>
      </c>
      <c r="U401" s="24" t="n">
        <v>54.84</v>
      </c>
      <c r="V401" s="24" t="n">
        <v>63.75</v>
      </c>
      <c r="W401" s="26" t="inlineStr">
        <is>
          <t>adidas Grand Court 2.0 Womens Sneakers</t>
        </is>
      </c>
      <c r="X401" s="23" t="n">
        <v>3</v>
      </c>
      <c r="Y401" s="18">
        <f>AC401-AB401</f>
        <v/>
      </c>
      <c r="Z401" s="27" t="n">
        <v>18</v>
      </c>
      <c r="AA401" s="27" t="n">
        <v>33</v>
      </c>
      <c r="AB401" s="27" t="n">
        <v>4</v>
      </c>
      <c r="AC401" s="27" t="n">
        <v>135</v>
      </c>
      <c r="AD401" s="1" t="inlineStr">
        <is>
          <t>LIT87</t>
        </is>
      </c>
      <c r="AE401" s="1" t="inlineStr">
        <is>
          <t>White/Wonder Clay/Gold Metallic</t>
        </is>
      </c>
      <c r="AF401" s="4" t="n">
        <v>8.210000000000001</v>
      </c>
      <c r="AG401" s="4" t="n">
        <v>7.7</v>
      </c>
    </row>
    <row r="402" ht="47.25" customHeight="1">
      <c r="A402" s="18" t="inlineStr">
        <is>
          <t>196464736125</t>
        </is>
      </c>
      <c r="B402" s="19" t="inlineStr">
        <is>
          <t>https://www.amazon.com/dp/</t>
        </is>
      </c>
      <c r="C402" s="20" t="inlineStr">
        <is>
          <t>B0BHPSDLNJ</t>
        </is>
      </c>
      <c r="D402" s="44" t="n"/>
      <c r="E402" s="23" t="inlineStr">
        <is>
          <t>?th=1&amp;psc=1&amp;tag=sdcdeals03-20</t>
        </is>
      </c>
      <c r="F402" s="19">
        <f>HYPERLINK("https://redirect.sdcdeals.com/redirect?destination=https%3A%2F%2Fwww.amazon.com%2Fdp%2FB0BHPSDLNJ%3Fth%3D1%26psc%3D1%26tag%3Dsdcdeals03-20", "Amazon Link")</f>
        <v/>
      </c>
      <c r="G402" s="19" t="inlineStr">
        <is>
          <t>https://www.jcpenney.com/s?searchTerm={search_term}</t>
        </is>
      </c>
      <c r="H402" s="23" t="inlineStr">
        <is>
          <t>196464736125</t>
        </is>
      </c>
      <c r="I402" s="19">
        <f>HYPERLINK("https://www.jcpenney.com/s?searchTerm=196464736125", "Retail Link")</f>
        <v/>
      </c>
      <c r="J402" s="23" t="inlineStr">
        <is>
          <t>n/a</t>
        </is>
      </c>
      <c r="K402" s="21" t="inlineStr">
        <is>
          <t>adidas Women's Grant Court 2.0 Sneaker, White/Wonder Clay/Gold Metallic, 8</t>
        </is>
      </c>
      <c r="L402" s="24" t="n"/>
      <c r="M402" s="24" t="n">
        <v>93.51000000000001</v>
      </c>
      <c r="N402" s="24" t="n"/>
      <c r="O402" s="24">
        <f>V402-M402</f>
        <v/>
      </c>
      <c r="P402" s="25">
        <f>N402/L402</f>
        <v/>
      </c>
      <c r="Q402" s="23" t="n">
        <v>8133</v>
      </c>
      <c r="R402" s="23" t="n"/>
      <c r="S402" s="26" t="n">
        <v>1.9731349</v>
      </c>
      <c r="T402" s="24" t="n">
        <v>93.51000000000001</v>
      </c>
      <c r="U402" s="24" t="n">
        <v>69.81</v>
      </c>
      <c r="V402" s="24" t="n">
        <v>64.70999999999999</v>
      </c>
      <c r="W402" s="26" t="inlineStr">
        <is>
          <t>adidas Grand Court 2.0 Womens Sneakers</t>
        </is>
      </c>
      <c r="X402" s="23" t="n">
        <v>2</v>
      </c>
      <c r="Y402" s="18">
        <f>AC402-AB402</f>
        <v/>
      </c>
      <c r="Z402" s="27" t="n">
        <v>61</v>
      </c>
      <c r="AA402" s="27" t="n">
        <v>85</v>
      </c>
      <c r="AB402" s="27" t="n">
        <v>9</v>
      </c>
      <c r="AC402" s="27" t="n">
        <v>3633</v>
      </c>
      <c r="AD402" s="1" t="inlineStr">
        <is>
          <t>LIT87</t>
        </is>
      </c>
      <c r="AE402" s="1" t="inlineStr">
        <is>
          <t>White/Wonder Clay/Gold Metallic</t>
        </is>
      </c>
      <c r="AF402" s="4" t="inlineStr"/>
      <c r="AG402" s="4" t="n">
        <v>7.78</v>
      </c>
    </row>
    <row r="403" ht="47.25" customHeight="1">
      <c r="A403" s="18" t="inlineStr">
        <is>
          <t>196464736163</t>
        </is>
      </c>
      <c r="B403" s="19" t="inlineStr">
        <is>
          <t>https://www.amazon.com/dp/</t>
        </is>
      </c>
      <c r="C403" s="20" t="inlineStr">
        <is>
          <t>B0BHPS5S55</t>
        </is>
      </c>
      <c r="D403" s="44" t="n"/>
      <c r="E403" s="23" t="inlineStr">
        <is>
          <t>?th=1&amp;psc=1&amp;tag=sdcdeals03-20</t>
        </is>
      </c>
      <c r="F403" s="19">
        <f>HYPERLINK("https://redirect.sdcdeals.com/redirect?destination=https%3A%2F%2Fwww.amazon.com%2Fdp%2FB0BHPS5S55%3Fth%3D1%26psc%3D1%26tag%3Dsdcdeals03-20", "Amazon Link")</f>
        <v/>
      </c>
      <c r="G403" s="19" t="inlineStr">
        <is>
          <t>https://www.jcpenney.com/s?searchTerm={search_term}</t>
        </is>
      </c>
      <c r="H403" s="23" t="inlineStr">
        <is>
          <t>196464736163</t>
        </is>
      </c>
      <c r="I403" s="19">
        <f>HYPERLINK("https://www.jcpenney.com/s?searchTerm=196464736163", "Retail Link")</f>
        <v/>
      </c>
      <c r="J403" s="23" t="inlineStr">
        <is>
          <t>n/a</t>
        </is>
      </c>
      <c r="K403" s="21" t="inlineStr">
        <is>
          <t>adidas Women's Grant Court 2.0 Sneaker, White/Wonder Clay/Gold Metallic, 8.5</t>
        </is>
      </c>
      <c r="L403" s="24" t="n"/>
      <c r="M403" s="24" t="n">
        <v>51.75</v>
      </c>
      <c r="N403" s="24" t="n"/>
      <c r="O403" s="24">
        <f>V403-M403</f>
        <v/>
      </c>
      <c r="P403" s="25">
        <f>N403/L403</f>
        <v/>
      </c>
      <c r="Q403" s="23" t="n">
        <v>724072</v>
      </c>
      <c r="R403" s="23" t="n"/>
      <c r="S403" s="26" t="n">
        <v>1.984158</v>
      </c>
      <c r="T403" s="24" t="n">
        <v>51.75</v>
      </c>
      <c r="U403" s="24" t="n">
        <v>57.5</v>
      </c>
      <c r="V403" s="24" t="n">
        <v>61.4</v>
      </c>
      <c r="W403" s="26" t="inlineStr">
        <is>
          <t>adidas Grand Court 2.0 Womens Sneakers</t>
        </is>
      </c>
      <c r="X403" s="23" t="n">
        <v>1</v>
      </c>
      <c r="Y403" s="18">
        <f>AC403-AB403</f>
        <v/>
      </c>
      <c r="Z403" s="27" t="n">
        <v>5</v>
      </c>
      <c r="AA403" s="27" t="n">
        <v>17</v>
      </c>
      <c r="AB403" s="27" t="n">
        <v>2</v>
      </c>
      <c r="AC403" s="27" t="n">
        <v>135</v>
      </c>
      <c r="AD403" s="1" t="inlineStr">
        <is>
          <t>LIT87</t>
        </is>
      </c>
      <c r="AE403" s="1" t="inlineStr">
        <is>
          <t>White/Wonder Clay/Gold Metallic</t>
        </is>
      </c>
      <c r="AF403" s="4" t="n">
        <v>7.76</v>
      </c>
      <c r="AG403" s="4" t="n">
        <v>7.78</v>
      </c>
    </row>
    <row r="404" ht="47.25" customHeight="1">
      <c r="A404" s="18" t="inlineStr">
        <is>
          <t>196464736156</t>
        </is>
      </c>
      <c r="B404" s="19" t="inlineStr">
        <is>
          <t>https://www.amazon.com/dp/</t>
        </is>
      </c>
      <c r="C404" s="20" t="inlineStr">
        <is>
          <t>B0BHPSVXVS</t>
        </is>
      </c>
      <c r="D404" s="44" t="n"/>
      <c r="E404" s="23" t="inlineStr">
        <is>
          <t>?th=1&amp;psc=1&amp;tag=sdcdeals03-20</t>
        </is>
      </c>
      <c r="F404" s="19">
        <f>HYPERLINK("https://redirect.sdcdeals.com/redirect?destination=https%3A%2F%2Fwww.amazon.com%2Fdp%2FB0BHPSVXVS%3Fth%3D1%26psc%3D1%26tag%3Dsdcdeals03-20", "Amazon Link")</f>
        <v/>
      </c>
      <c r="G404" s="19" t="inlineStr">
        <is>
          <t>https://www.jcpenney.com/s?searchTerm={search_term}</t>
        </is>
      </c>
      <c r="H404" s="23" t="inlineStr">
        <is>
          <t>196464736156</t>
        </is>
      </c>
      <c r="I404" s="19">
        <f>HYPERLINK("https://www.jcpenney.com/s?searchTerm=196464736156", "Retail Link")</f>
        <v/>
      </c>
      <c r="J404" s="23" t="inlineStr">
        <is>
          <t>n/a</t>
        </is>
      </c>
      <c r="K404" s="21" t="inlineStr">
        <is>
          <t>adidas Women's Grant Court 2.0 Sneaker, White/Wonder Clay/Gold Metallic, 9</t>
        </is>
      </c>
      <c r="L404" s="24" t="n"/>
      <c r="M404" s="24" t="n">
        <v>51.48</v>
      </c>
      <c r="N404" s="24" t="n"/>
      <c r="O404" s="24">
        <f>V404-M404</f>
        <v/>
      </c>
      <c r="P404" s="25">
        <f>N404/L404</f>
        <v/>
      </c>
      <c r="Q404" s="23" t="n">
        <v>693379</v>
      </c>
      <c r="R404" s="23" t="n"/>
      <c r="S404" s="26" t="n">
        <v>2.12084444</v>
      </c>
      <c r="T404" s="24" t="n">
        <v>51.48</v>
      </c>
      <c r="U404" s="24" t="n">
        <v>51.65</v>
      </c>
      <c r="V404" s="24" t="n">
        <v>54.49</v>
      </c>
      <c r="W404" s="26" t="inlineStr">
        <is>
          <t>adidas Grand Court 2.0 Womens Sneakers</t>
        </is>
      </c>
      <c r="X404" s="23" t="n">
        <v>1</v>
      </c>
      <c r="Y404" s="18">
        <f>AC404-AB404</f>
        <v/>
      </c>
      <c r="Z404" s="27" t="n">
        <v>10</v>
      </c>
      <c r="AA404" s="27" t="n">
        <v>16</v>
      </c>
      <c r="AB404" s="27" t="n">
        <v>6</v>
      </c>
      <c r="AC404" s="27" t="n">
        <v>135</v>
      </c>
      <c r="AD404" s="1" t="inlineStr">
        <is>
          <t>LIT87</t>
        </is>
      </c>
      <c r="AE404" s="1" t="inlineStr">
        <is>
          <t>White/Wonder Clay/Gold Metallic</t>
        </is>
      </c>
      <c r="AF404" s="4" t="n">
        <v>7.72</v>
      </c>
      <c r="AG404" s="4" t="n">
        <v>7.86</v>
      </c>
    </row>
    <row r="405" ht="47.25" customHeight="1">
      <c r="A405" s="18" t="inlineStr">
        <is>
          <t>196464738372</t>
        </is>
      </c>
      <c r="B405" s="19" t="inlineStr">
        <is>
          <t>https://www.amazon.com/dp/</t>
        </is>
      </c>
      <c r="C405" s="20" t="inlineStr">
        <is>
          <t>B0BHPTBX8Y</t>
        </is>
      </c>
      <c r="D405" s="44" t="n"/>
      <c r="E405" s="23" t="inlineStr">
        <is>
          <t>?th=1&amp;psc=1&amp;tag=sdcdeals03-20</t>
        </is>
      </c>
      <c r="F405" s="19">
        <f>HYPERLINK("https://redirect.sdcdeals.com/redirect?destination=https%3A%2F%2Fwww.amazon.com%2Fdp%2FB0BHPTBX8Y%3Fth%3D1%26psc%3D1%26tag%3Dsdcdeals03-20", "Amazon Link")</f>
        <v/>
      </c>
      <c r="G405" s="19" t="inlineStr">
        <is>
          <t>https://www.jcpenney.com/s?searchTerm={search_term}</t>
        </is>
      </c>
      <c r="H405" s="23" t="inlineStr">
        <is>
          <t>196464738372</t>
        </is>
      </c>
      <c r="I405" s="19">
        <f>HYPERLINK("https://www.jcpenney.com/s?searchTerm=196464738372", "Retail Link")</f>
        <v/>
      </c>
      <c r="J405" s="23" t="inlineStr">
        <is>
          <t>n/a</t>
        </is>
      </c>
      <c r="K405" s="21" t="inlineStr">
        <is>
          <t>adidas Women's Grant Court 2.0 Sneaker, White/Wonder Clay/Gold Metallic, 9.5</t>
        </is>
      </c>
      <c r="L405" s="24" t="n"/>
      <c r="M405" s="24" t="n">
        <v>53.59</v>
      </c>
      <c r="N405" s="24" t="n"/>
      <c r="O405" s="24">
        <f>V405-M405</f>
        <v/>
      </c>
      <c r="P405" s="25">
        <f>N405/L405</f>
        <v/>
      </c>
      <c r="Q405" s="23" t="n">
        <v>693379</v>
      </c>
      <c r="R405" s="23" t="n"/>
      <c r="S405" s="26" t="n">
        <v>2.1605276</v>
      </c>
      <c r="T405" s="24" t="n">
        <v>53.59</v>
      </c>
      <c r="U405" s="24" t="n">
        <v>62.1</v>
      </c>
      <c r="V405" s="24" t="n">
        <v>61.88</v>
      </c>
      <c r="W405" s="26" t="inlineStr">
        <is>
          <t>adidas Grand Court 2.0 Womens Sneakers</t>
        </is>
      </c>
      <c r="X405" s="23" t="n">
        <v>2</v>
      </c>
      <c r="Y405" s="18">
        <f>AC405-AB405</f>
        <v/>
      </c>
      <c r="Z405" s="27" t="n">
        <v>12</v>
      </c>
      <c r="AA405" s="27" t="n">
        <v>17</v>
      </c>
      <c r="AB405" s="27" t="n">
        <v>4</v>
      </c>
      <c r="AC405" s="27" t="n">
        <v>135</v>
      </c>
      <c r="AD405" s="1" t="inlineStr">
        <is>
          <t>LIT87</t>
        </is>
      </c>
      <c r="AE405" s="1" t="inlineStr">
        <is>
          <t>White/Wonder Clay/Gold Metallic</t>
        </is>
      </c>
      <c r="AF405" s="4" t="n">
        <v>8.039999999999999</v>
      </c>
      <c r="AG405" s="4" t="n">
        <v>8.18</v>
      </c>
    </row>
    <row r="406" ht="47.25" customHeight="1">
      <c r="A406" s="18" t="inlineStr">
        <is>
          <t>196464738358</t>
        </is>
      </c>
      <c r="B406" s="19" t="inlineStr">
        <is>
          <t>https://www.amazon.com/dp/</t>
        </is>
      </c>
      <c r="C406" s="20" t="inlineStr">
        <is>
          <t>B0BHPSZ1HD</t>
        </is>
      </c>
      <c r="D406" s="44" t="n"/>
      <c r="E406" s="23" t="inlineStr">
        <is>
          <t>?th=1&amp;psc=1&amp;tag=sdcdeals03-20</t>
        </is>
      </c>
      <c r="F406" s="19">
        <f>HYPERLINK("https://redirect.sdcdeals.com/redirect?destination=https%3A%2F%2Fwww.amazon.com%2Fdp%2FB0BHPSZ1HD%3Fth%3D1%26psc%3D1%26tag%3Dsdcdeals03-20", "Amazon Link")</f>
        <v/>
      </c>
      <c r="G406" s="19" t="inlineStr">
        <is>
          <t>https://www.jcpenney.com/s?searchTerm={search_term}</t>
        </is>
      </c>
      <c r="H406" s="23" t="inlineStr">
        <is>
          <t>196464738358</t>
        </is>
      </c>
      <c r="I406" s="19">
        <f>HYPERLINK("https://www.jcpenney.com/s?searchTerm=196464738358", "Retail Link")</f>
        <v/>
      </c>
      <c r="J406" s="23" t="inlineStr">
        <is>
          <t>n/a</t>
        </is>
      </c>
      <c r="K406" s="21" t="inlineStr">
        <is>
          <t>adidas Women's Grant Court 2.0 Sneaker, White/Wonder Clay/Gold Metallic, 10</t>
        </is>
      </c>
      <c r="L406" s="24" t="n"/>
      <c r="M406" s="24" t="n">
        <v>60.2</v>
      </c>
      <c r="N406" s="24" t="n"/>
      <c r="O406" s="24">
        <f>V406-M406</f>
        <v/>
      </c>
      <c r="P406" s="25">
        <f>N406/L406</f>
        <v/>
      </c>
      <c r="Q406" s="23" t="n">
        <v>652864</v>
      </c>
      <c r="R406" s="23" t="n"/>
      <c r="S406" s="26" t="n">
        <v>2.14068602</v>
      </c>
      <c r="T406" s="24" t="n">
        <v>60.2</v>
      </c>
      <c r="U406" s="24" t="n">
        <v>68.95</v>
      </c>
      <c r="V406" s="24" t="n">
        <v>69.14</v>
      </c>
      <c r="W406" s="26" t="inlineStr">
        <is>
          <t>adidas Grand Court 2.0 Womens Sneakers</t>
        </is>
      </c>
      <c r="X406" s="23" t="n">
        <v>3</v>
      </c>
      <c r="Y406" s="18">
        <f>AC406-AB406</f>
        <v/>
      </c>
      <c r="Z406" s="27" t="n">
        <v>16</v>
      </c>
      <c r="AA406" s="27" t="n">
        <v>43</v>
      </c>
      <c r="AB406" s="27" t="n">
        <v>6</v>
      </c>
      <c r="AC406" s="27" t="n">
        <v>135</v>
      </c>
      <c r="AD406" s="1" t="inlineStr">
        <is>
          <t>LIT87</t>
        </is>
      </c>
      <c r="AE406" s="1" t="inlineStr">
        <is>
          <t>White/Wonder Clay/Gold Metallic</t>
        </is>
      </c>
      <c r="AF406" s="4" t="n">
        <v>9.029999999999999</v>
      </c>
      <c r="AG406" s="4" t="n">
        <v>7.86</v>
      </c>
    </row>
    <row r="407" ht="47.25" customHeight="1">
      <c r="A407" s="18" t="inlineStr">
        <is>
          <t>196464738365</t>
        </is>
      </c>
      <c r="B407" s="19" t="inlineStr">
        <is>
          <t>https://www.amazon.com/dp/</t>
        </is>
      </c>
      <c r="C407" s="20" t="inlineStr">
        <is>
          <t>B0BHPVGK5S</t>
        </is>
      </c>
      <c r="D407" s="44" t="n"/>
      <c r="E407" s="23" t="inlineStr">
        <is>
          <t>?th=1&amp;psc=1&amp;tag=sdcdeals03-20</t>
        </is>
      </c>
      <c r="F407" s="19">
        <f>HYPERLINK("https://redirect.sdcdeals.com/redirect?destination=https%3A%2F%2Fwww.amazon.com%2Fdp%2FB0BHPVGK5S%3Fth%3D1%26psc%3D1%26tag%3Dsdcdeals03-20", "Amazon Link")</f>
        <v/>
      </c>
      <c r="G407" s="19" t="inlineStr">
        <is>
          <t>https://www.jcpenney.com/s?searchTerm={search_term}</t>
        </is>
      </c>
      <c r="H407" s="23" t="inlineStr">
        <is>
          <t>196464738365</t>
        </is>
      </c>
      <c r="I407" s="19">
        <f>HYPERLINK("https://www.jcpenney.com/s?searchTerm=196464738365", "Retail Link")</f>
        <v/>
      </c>
      <c r="J407" s="23" t="inlineStr">
        <is>
          <t>n/a</t>
        </is>
      </c>
      <c r="K407" s="21" t="inlineStr">
        <is>
          <t>adidas Women's Grant Court 2.0 Sneaker, White/Wonder Clay/Gold Metallic, 11</t>
        </is>
      </c>
      <c r="L407" s="24" t="n"/>
      <c r="M407" s="24" t="n">
        <v>62.2</v>
      </c>
      <c r="N407" s="24" t="n"/>
      <c r="O407" s="24">
        <f>V407-M407</f>
        <v/>
      </c>
      <c r="P407" s="25">
        <f>N407/L407</f>
        <v/>
      </c>
      <c r="Q407" s="23" t="n">
        <v>681236</v>
      </c>
      <c r="R407" s="23" t="n"/>
      <c r="S407" s="26" t="n">
        <v>2.31044176</v>
      </c>
      <c r="T407" s="24" t="n">
        <v>62.2</v>
      </c>
      <c r="U407" s="24" t="n">
        <v>65.18000000000001</v>
      </c>
      <c r="V407" s="24" t="n">
        <v>66.53</v>
      </c>
      <c r="W407" s="26" t="inlineStr">
        <is>
          <t>adidas Grand Court 2.0 Womens Sneakers</t>
        </is>
      </c>
      <c r="X407" s="23" t="n">
        <v>2</v>
      </c>
      <c r="Y407" s="18">
        <f>AC407-AB407</f>
        <v/>
      </c>
      <c r="Z407" s="27" t="n">
        <v>16</v>
      </c>
      <c r="AA407" s="27" t="n">
        <v>35</v>
      </c>
      <c r="AB407" s="27" t="n">
        <v>3</v>
      </c>
      <c r="AC407" s="27" t="n">
        <v>135</v>
      </c>
      <c r="AD407" s="1" t="inlineStr">
        <is>
          <t>LIT87</t>
        </is>
      </c>
      <c r="AE407" s="1" t="inlineStr">
        <is>
          <t>White/Wonder Clay/Gold Metallic</t>
        </is>
      </c>
      <c r="AF407" s="4" t="n">
        <v>9.33</v>
      </c>
      <c r="AG407" s="4" t="n">
        <v>7.63</v>
      </c>
    </row>
    <row r="408" ht="47.25" customHeight="1">
      <c r="A408" s="18" t="inlineStr">
        <is>
          <t>195098412931</t>
        </is>
      </c>
      <c r="B408" s="19" t="inlineStr">
        <is>
          <t>https://www.amazon.com/dp/</t>
        </is>
      </c>
      <c r="C408" s="20" t="inlineStr">
        <is>
          <t>B0BCVV6PFK</t>
        </is>
      </c>
      <c r="D408" s="44" t="n"/>
      <c r="E408" s="23" t="inlineStr">
        <is>
          <t>?th=1&amp;psc=1&amp;tag=sdcdeals03-20</t>
        </is>
      </c>
      <c r="F408" s="19">
        <f>HYPERLINK("https://redirect.sdcdeals.com/redirect?destination=https%3A%2F%2Fwww.amazon.com%2Fdp%2FB0BCVV6PFK%3Fth%3D1%26psc%3D1%26tag%3Dsdcdeals03-20", "Amazon Link")</f>
        <v/>
      </c>
      <c r="G408" s="19" t="inlineStr">
        <is>
          <t>https://www.jcpenney.com/s?searchTerm={search_term}</t>
        </is>
      </c>
      <c r="H408" s="23" t="inlineStr">
        <is>
          <t>195098412931</t>
        </is>
      </c>
      <c r="I408" s="19">
        <f>HYPERLINK("https://www.jcpenney.com/s?searchTerm=195098412931", "Retail Link")</f>
        <v/>
      </c>
      <c r="J408" s="23" t="inlineStr">
        <is>
          <t>n/a</t>
        </is>
      </c>
      <c r="K408" s="21" t="inlineStr">
        <is>
          <t>PUMA Womens Star Vital Shoes, Size: 5.5 M US, Color: Puma Black/Rose Gold</t>
        </is>
      </c>
      <c r="L408" s="24" t="n">
        <v>61.75</v>
      </c>
      <c r="M408" s="24" t="n">
        <v>54.26</v>
      </c>
      <c r="N408" s="24" t="n">
        <v>-22.239</v>
      </c>
      <c r="O408" s="24">
        <f>V408-M408</f>
        <v/>
      </c>
      <c r="P408" s="25">
        <f>N408/L408</f>
        <v/>
      </c>
      <c r="Q408" s="23" t="n"/>
      <c r="R408" s="23" t="n"/>
      <c r="S408" s="26" t="n">
        <v>1.17065322</v>
      </c>
      <c r="T408" s="24" t="inlineStr"/>
      <c r="U408" s="24" t="n">
        <v>54.26</v>
      </c>
      <c r="V408" s="24" t="n">
        <v>53.55</v>
      </c>
      <c r="W408" s="26" t="inlineStr">
        <is>
          <t>PUMA Star Vital Womens Running Shoes</t>
        </is>
      </c>
      <c r="X408" s="23" t="n">
        <v>1</v>
      </c>
      <c r="Y408" s="18">
        <f>AC408-AB408</f>
        <v/>
      </c>
      <c r="Z408" s="27" t="n">
        <v>7</v>
      </c>
      <c r="AA408" s="27" t="n">
        <v>13</v>
      </c>
      <c r="AB408" s="27" t="n">
        <v>1</v>
      </c>
      <c r="AC408" s="27" t="n">
        <v>48</v>
      </c>
      <c r="AD408" s="1" t="inlineStr">
        <is>
          <t>19433115</t>
        </is>
      </c>
      <c r="AE408" s="1" t="inlineStr">
        <is>
          <t>Puma Black/Rose Gold</t>
        </is>
      </c>
      <c r="AF408" s="4" t="inlineStr"/>
      <c r="AG408" s="4" t="n">
        <v>6.61</v>
      </c>
    </row>
    <row r="409" ht="47.25" customHeight="1">
      <c r="A409" s="18" t="inlineStr">
        <is>
          <t>195098412948</t>
        </is>
      </c>
      <c r="B409" s="19" t="inlineStr">
        <is>
          <t>https://www.amazon.com/dp/</t>
        </is>
      </c>
      <c r="C409" s="20" t="inlineStr">
        <is>
          <t>B0BCVYCYTV</t>
        </is>
      </c>
      <c r="D409" s="44" t="n"/>
      <c r="E409" s="23" t="inlineStr">
        <is>
          <t>?th=1&amp;psc=1&amp;tag=sdcdeals03-20</t>
        </is>
      </c>
      <c r="F409" s="19">
        <f>HYPERLINK("https://redirect.sdcdeals.com/redirect?destination=https%3A%2F%2Fwww.amazon.com%2Fdp%2FB0BCVYCYTV%3Fth%3D1%26psc%3D1%26tag%3Dsdcdeals03-20", "Amazon Link")</f>
        <v/>
      </c>
      <c r="G409" s="19" t="inlineStr">
        <is>
          <t>https://www.jcpenney.com/s?searchTerm={search_term}</t>
        </is>
      </c>
      <c r="H409" s="23" t="inlineStr">
        <is>
          <t>195098412948</t>
        </is>
      </c>
      <c r="I409" s="19">
        <f>HYPERLINK("https://www.jcpenney.com/s?searchTerm=195098412948", "Retail Link")</f>
        <v/>
      </c>
      <c r="J409" s="23" t="inlineStr">
        <is>
          <t>n/a</t>
        </is>
      </c>
      <c r="K409" s="21" t="inlineStr">
        <is>
          <t>PUMA Womens Star Vital Shoes, Size: 6 M US, Color: Puma Black/Rose Gold</t>
        </is>
      </c>
      <c r="L409" s="24" t="n">
        <v>61.75</v>
      </c>
      <c r="M409" s="24" t="n">
        <v>64.95</v>
      </c>
      <c r="N409" s="24" t="n">
        <v>-13.1525</v>
      </c>
      <c r="O409" s="24">
        <f>V409-M409</f>
        <v/>
      </c>
      <c r="P409" s="25">
        <f>N409/L409</f>
        <v/>
      </c>
      <c r="Q409" s="23" t="n">
        <v>357751</v>
      </c>
      <c r="R409" s="23" t="n"/>
      <c r="S409" s="26" t="n">
        <v>1.75046828</v>
      </c>
      <c r="T409" s="24" t="n">
        <v>64.95</v>
      </c>
      <c r="U409" s="24" t="n">
        <v>50.3</v>
      </c>
      <c r="V409" s="24" t="n">
        <v>54.77</v>
      </c>
      <c r="W409" s="26" t="inlineStr">
        <is>
          <t>PUMA Star Vital Womens Running Shoes</t>
        </is>
      </c>
      <c r="X409" s="23" t="n">
        <v>2</v>
      </c>
      <c r="Y409" s="18">
        <f>AC409-AB409</f>
        <v/>
      </c>
      <c r="Z409" s="27" t="n">
        <v>0</v>
      </c>
      <c r="AA409" s="27" t="n">
        <v>38</v>
      </c>
      <c r="AB409" s="27" t="n">
        <v>7</v>
      </c>
      <c r="AC409" s="27" t="n">
        <v>55</v>
      </c>
      <c r="AD409" s="1" t="inlineStr">
        <is>
          <t>19433115</t>
        </is>
      </c>
      <c r="AE409" s="1" t="inlineStr">
        <is>
          <t>Puma Black/Rose Gold</t>
        </is>
      </c>
      <c r="AF409" s="4" t="n">
        <v>9.74</v>
      </c>
      <c r="AG409" s="4" t="n">
        <v>6.61</v>
      </c>
    </row>
    <row r="410" ht="47.25" customHeight="1">
      <c r="A410" s="18" t="inlineStr">
        <is>
          <t>195098412955</t>
        </is>
      </c>
      <c r="B410" s="19" t="inlineStr">
        <is>
          <t>https://www.amazon.com/dp/</t>
        </is>
      </c>
      <c r="C410" s="20" t="inlineStr">
        <is>
          <t>B0BCW78S9T</t>
        </is>
      </c>
      <c r="D410" s="44" t="n"/>
      <c r="E410" s="23" t="inlineStr">
        <is>
          <t>?th=1&amp;psc=1&amp;tag=sdcdeals03-20</t>
        </is>
      </c>
      <c r="F410" s="19">
        <f>HYPERLINK("https://redirect.sdcdeals.com/redirect?destination=https%3A%2F%2Fwww.amazon.com%2Fdp%2FB0BCW78S9T%3Fth%3D1%26psc%3D1%26tag%3Dsdcdeals03-20", "Amazon Link")</f>
        <v/>
      </c>
      <c r="G410" s="19" t="inlineStr">
        <is>
          <t>https://www.jcpenney.com/s?searchTerm={search_term}</t>
        </is>
      </c>
      <c r="H410" s="23" t="inlineStr">
        <is>
          <t>195098412955</t>
        </is>
      </c>
      <c r="I410" s="19">
        <f>HYPERLINK("https://www.jcpenney.com/s?searchTerm=195098412955", "Retail Link")</f>
        <v/>
      </c>
      <c r="J410" s="23" t="inlineStr">
        <is>
          <t>n/a</t>
        </is>
      </c>
      <c r="K410" s="21" t="inlineStr">
        <is>
          <t>PUMA Womens Star Vital Shoes, Size: 6.5 M US, Color: Puma Black/Rose Gold</t>
        </is>
      </c>
      <c r="L410" s="24" t="n">
        <v>61.75</v>
      </c>
      <c r="M410" s="24" t="n">
        <v>36.99</v>
      </c>
      <c r="N410" s="24" t="n">
        <v>-36.91849999999999</v>
      </c>
      <c r="O410" s="24">
        <f>V410-M410</f>
        <v/>
      </c>
      <c r="P410" s="25">
        <f>N410/L410</f>
        <v/>
      </c>
      <c r="Q410" s="23" t="n">
        <v>702143</v>
      </c>
      <c r="R410" s="23" t="n"/>
      <c r="S410" s="26" t="n">
        <v>1.3999337</v>
      </c>
      <c r="T410" s="24" t="n">
        <v>36.99</v>
      </c>
      <c r="U410" s="24" t="n">
        <v>49.43</v>
      </c>
      <c r="V410" s="24" t="n">
        <v>58.84</v>
      </c>
      <c r="W410" s="26" t="inlineStr">
        <is>
          <t>PUMA Star Vital Womens Running Shoes</t>
        </is>
      </c>
      <c r="X410" s="23" t="n">
        <v>3</v>
      </c>
      <c r="Y410" s="18">
        <f>AC410-AB410</f>
        <v/>
      </c>
      <c r="Z410" s="27" t="n">
        <v>16</v>
      </c>
      <c r="AA410" s="27" t="n">
        <v>24</v>
      </c>
      <c r="AB410" s="27" t="n">
        <v>3</v>
      </c>
      <c r="AC410" s="27" t="n">
        <v>55</v>
      </c>
      <c r="AD410" s="1" t="inlineStr">
        <is>
          <t>PUMA-194331</t>
        </is>
      </c>
      <c r="AE410" s="1" t="inlineStr">
        <is>
          <t>Puma Black/Rose Gold</t>
        </is>
      </c>
      <c r="AF410" s="4" t="inlineStr"/>
      <c r="AG410" s="4" t="n">
        <v>6.61</v>
      </c>
    </row>
    <row r="411" ht="47.25" customHeight="1">
      <c r="A411" s="18" t="inlineStr">
        <is>
          <t>195098412962</t>
        </is>
      </c>
      <c r="B411" s="19" t="inlineStr">
        <is>
          <t>https://www.amazon.com/dp/</t>
        </is>
      </c>
      <c r="C411" s="20" t="inlineStr">
        <is>
          <t>B0BCVT88P1</t>
        </is>
      </c>
      <c r="D411" s="44" t="n"/>
      <c r="E411" s="23" t="inlineStr">
        <is>
          <t>?th=1&amp;psc=1&amp;tag=sdcdeals03-20</t>
        </is>
      </c>
      <c r="F411" s="19">
        <f>HYPERLINK("https://redirect.sdcdeals.com/redirect?destination=https%3A%2F%2Fwww.amazon.com%2Fdp%2FB0BCVT88P1%3Fth%3D1%26psc%3D1%26tag%3Dsdcdeals03-20", "Amazon Link")</f>
        <v/>
      </c>
      <c r="G411" s="19" t="inlineStr">
        <is>
          <t>https://www.jcpenney.com/s?searchTerm={search_term}</t>
        </is>
      </c>
      <c r="H411" s="23" t="inlineStr">
        <is>
          <t>195098412962</t>
        </is>
      </c>
      <c r="I411" s="19">
        <f>HYPERLINK("https://www.jcpenney.com/s?searchTerm=195098412962", "Retail Link")</f>
        <v/>
      </c>
      <c r="J411" s="23" t="inlineStr">
        <is>
          <t>n/a</t>
        </is>
      </c>
      <c r="K411" s="21" t="inlineStr">
        <is>
          <t>PUMA - Womens Star Vital Shoes, Size: 7 M US, Color: Black/Rose Gold</t>
        </is>
      </c>
      <c r="L411" s="24" t="n">
        <v>61.75</v>
      </c>
      <c r="M411" s="24" t="n">
        <v>30.99</v>
      </c>
      <c r="N411" s="24" t="n">
        <v>-41.8485</v>
      </c>
      <c r="O411" s="24">
        <f>V411-M411</f>
        <v/>
      </c>
      <c r="P411" s="25">
        <f>N411/L411</f>
        <v/>
      </c>
      <c r="Q411" s="23" t="n">
        <v>662802</v>
      </c>
      <c r="R411" s="23" t="n"/>
      <c r="S411" s="26" t="n">
        <v>1.1904948</v>
      </c>
      <c r="T411" s="24" t="n">
        <v>30.99</v>
      </c>
      <c r="U411" s="24" t="n">
        <v>48.79</v>
      </c>
      <c r="V411" s="24" t="n">
        <v>57.67</v>
      </c>
      <c r="W411" s="26" t="inlineStr">
        <is>
          <t>PUMA Star Vital Womens Running Shoes</t>
        </is>
      </c>
      <c r="X411" s="23" t="n">
        <v>2</v>
      </c>
      <c r="Y411" s="18">
        <f>AC411-AB411</f>
        <v/>
      </c>
      <c r="Z411" s="27" t="n">
        <v>15</v>
      </c>
      <c r="AA411" s="27" t="n">
        <v>43</v>
      </c>
      <c r="AB411" s="27" t="n">
        <v>5</v>
      </c>
      <c r="AC411" s="27" t="n">
        <v>55</v>
      </c>
      <c r="AD411" s="1" t="inlineStr">
        <is>
          <t>19433115</t>
        </is>
      </c>
      <c r="AE411" s="1" t="inlineStr">
        <is>
          <t>Puma Black/Rose Gold</t>
        </is>
      </c>
      <c r="AF411" s="4" t="inlineStr"/>
      <c r="AG411" s="4" t="n">
        <v>6.44</v>
      </c>
    </row>
    <row r="412" ht="47.25" customHeight="1">
      <c r="A412" s="18" t="inlineStr">
        <is>
          <t>195098412979</t>
        </is>
      </c>
      <c r="B412" s="19" t="inlineStr">
        <is>
          <t>https://www.amazon.com/dp/</t>
        </is>
      </c>
      <c r="C412" s="20" t="inlineStr">
        <is>
          <t>B0BCVZ8471</t>
        </is>
      </c>
      <c r="D412" s="44" t="n"/>
      <c r="E412" s="23" t="inlineStr">
        <is>
          <t>?th=1&amp;psc=1&amp;tag=sdcdeals03-20</t>
        </is>
      </c>
      <c r="F412" s="19">
        <f>HYPERLINK("https://redirect.sdcdeals.com/redirect?destination=https%3A%2F%2Fwww.amazon.com%2Fdp%2FB0BCVZ8471%3Fth%3D1%26psc%3D1%26tag%3Dsdcdeals03-20", "Amazon Link")</f>
        <v/>
      </c>
      <c r="G412" s="19" t="inlineStr">
        <is>
          <t>https://www.jcpenney.com/s?searchTerm={search_term}</t>
        </is>
      </c>
      <c r="H412" s="23" t="inlineStr">
        <is>
          <t>195098412979</t>
        </is>
      </c>
      <c r="I412" s="19">
        <f>HYPERLINK("https://www.jcpenney.com/s?searchTerm=195098412979", "Retail Link")</f>
        <v/>
      </c>
      <c r="J412" s="23" t="inlineStr">
        <is>
          <t>n/a</t>
        </is>
      </c>
      <c r="K412" s="21" t="inlineStr">
        <is>
          <t>PUMA Womens Star Vital Shoes, Size: 7.5 M US, Color: Puma Black/Rose Gold</t>
        </is>
      </c>
      <c r="L412" s="24" t="n">
        <v>61.75</v>
      </c>
      <c r="M412" s="24" t="n">
        <v>36.99</v>
      </c>
      <c r="N412" s="24" t="n">
        <v>-37.8485</v>
      </c>
      <c r="O412" s="24">
        <f>V412-M412</f>
        <v/>
      </c>
      <c r="P412" s="25">
        <f>N412/L412</f>
        <v/>
      </c>
      <c r="Q412" s="23" t="n">
        <v>702143</v>
      </c>
      <c r="R412" s="23" t="n"/>
      <c r="S412" s="26" t="n">
        <v>3.09969572</v>
      </c>
      <c r="T412" s="24" t="n">
        <v>36.99</v>
      </c>
      <c r="U412" s="24" t="n">
        <v>51.86</v>
      </c>
      <c r="V412" s="24" t="n">
        <v>58.07</v>
      </c>
      <c r="W412" s="26" t="inlineStr">
        <is>
          <t>PUMA Star Vital Womens Running Shoes</t>
        </is>
      </c>
      <c r="X412" s="23" t="n">
        <v>3</v>
      </c>
      <c r="Y412" s="18">
        <f>AC412-AB412</f>
        <v/>
      </c>
      <c r="Z412" s="27" t="n">
        <v>10</v>
      </c>
      <c r="AA412" s="27" t="n">
        <v>23</v>
      </c>
      <c r="AB412" s="27" t="n">
        <v>7</v>
      </c>
      <c r="AC412" s="27" t="n">
        <v>55</v>
      </c>
      <c r="AD412" s="1" t="inlineStr">
        <is>
          <t>19433115</t>
        </is>
      </c>
      <c r="AE412" s="1" t="inlineStr">
        <is>
          <t>Puma Black/Rose Gold</t>
        </is>
      </c>
      <c r="AF412" s="4" t="inlineStr"/>
      <c r="AG412" s="4" t="n">
        <v>7.54</v>
      </c>
    </row>
    <row r="413" ht="47.25" customHeight="1">
      <c r="A413" s="18" t="inlineStr">
        <is>
          <t>195098412986</t>
        </is>
      </c>
      <c r="B413" s="19" t="inlineStr">
        <is>
          <t>https://www.amazon.com/dp/</t>
        </is>
      </c>
      <c r="C413" s="20" t="inlineStr">
        <is>
          <t>B0BCVXC94F</t>
        </is>
      </c>
      <c r="D413" s="44" t="n"/>
      <c r="E413" s="23" t="inlineStr">
        <is>
          <t>?th=1&amp;psc=1&amp;tag=sdcdeals03-20</t>
        </is>
      </c>
      <c r="F413" s="19">
        <f>HYPERLINK("https://redirect.sdcdeals.com/redirect?destination=https%3A%2F%2Fwww.amazon.com%2Fdp%2FB0BCVXC94F%3Fth%3D1%26psc%3D1%26tag%3Dsdcdeals03-20", "Amazon Link")</f>
        <v/>
      </c>
      <c r="G413" s="19" t="inlineStr">
        <is>
          <t>https://www.jcpenney.com/s?searchTerm={search_term}</t>
        </is>
      </c>
      <c r="H413" s="23" t="inlineStr">
        <is>
          <t>195098412986</t>
        </is>
      </c>
      <c r="I413" s="19">
        <f>HYPERLINK("https://www.jcpenney.com/s?searchTerm=195098412986", "Retail Link")</f>
        <v/>
      </c>
      <c r="J413" s="23" t="inlineStr">
        <is>
          <t>n/a</t>
        </is>
      </c>
      <c r="K413" s="21" t="inlineStr">
        <is>
          <t>PUMA Puma - Womens Star Vital Shoes, Size: 8 M US, Color: Puma Black/Rose Gold</t>
        </is>
      </c>
      <c r="L413" s="24" t="n">
        <v>61.75</v>
      </c>
      <c r="M413" s="24" t="n">
        <v>48.94</v>
      </c>
      <c r="N413" s="24" t="n">
        <v>-27.181</v>
      </c>
      <c r="O413" s="24">
        <f>V413-M413</f>
        <v/>
      </c>
      <c r="P413" s="25">
        <f>N413/L413</f>
        <v/>
      </c>
      <c r="Q413" s="23" t="n">
        <v>662802</v>
      </c>
      <c r="R413" s="23" t="n"/>
      <c r="S413" s="26" t="n">
        <v>1.4991416</v>
      </c>
      <c r="T413" s="24" t="n">
        <v>33.99</v>
      </c>
      <c r="U413" s="24" t="n">
        <v>54.48</v>
      </c>
      <c r="V413" s="24" t="n">
        <v>59.08</v>
      </c>
      <c r="W413" s="26" t="inlineStr">
        <is>
          <t>PUMA Star Vital Womens Running Shoes</t>
        </is>
      </c>
      <c r="X413" s="23" t="n">
        <v>3</v>
      </c>
      <c r="Y413" s="18">
        <f>AC413-AB413</f>
        <v/>
      </c>
      <c r="Z413" s="27" t="n">
        <v>25</v>
      </c>
      <c r="AA413" s="27" t="n">
        <v>38</v>
      </c>
      <c r="AB413" s="27" t="n">
        <v>9</v>
      </c>
      <c r="AC413" s="27" t="n">
        <v>55</v>
      </c>
      <c r="AD413" s="1" t="inlineStr">
        <is>
          <t>19433115</t>
        </is>
      </c>
      <c r="AE413" s="1" t="inlineStr">
        <is>
          <t>Puma Black/Rose Gold</t>
        </is>
      </c>
      <c r="AF413" s="4" t="n">
        <v>7.34</v>
      </c>
      <c r="AG413" s="4" t="n">
        <v>7.03</v>
      </c>
    </row>
    <row r="414" ht="47.25" customHeight="1">
      <c r="A414" s="18" t="inlineStr">
        <is>
          <t>195098412993</t>
        </is>
      </c>
      <c r="B414" s="19" t="inlineStr">
        <is>
          <t>https://www.amazon.com/dp/</t>
        </is>
      </c>
      <c r="C414" s="20" t="inlineStr">
        <is>
          <t>B0BCVXXY3G</t>
        </is>
      </c>
      <c r="D414" s="44" t="n"/>
      <c r="E414" s="23" t="inlineStr">
        <is>
          <t>?th=1&amp;psc=1&amp;tag=sdcdeals03-20</t>
        </is>
      </c>
      <c r="F414" s="19">
        <f>HYPERLINK("https://redirect.sdcdeals.com/redirect?destination=https%3A%2F%2Fwww.amazon.com%2Fdp%2FB0BCVXXY3G%3Fth%3D1%26psc%3D1%26tag%3Dsdcdeals03-20", "Amazon Link")</f>
        <v/>
      </c>
      <c r="G414" s="19" t="inlineStr">
        <is>
          <t>https://www.jcpenney.com/s?searchTerm={search_term}</t>
        </is>
      </c>
      <c r="H414" s="23" t="inlineStr">
        <is>
          <t>195098412993</t>
        </is>
      </c>
      <c r="I414" s="19">
        <f>HYPERLINK("https://www.jcpenney.com/s?searchTerm=195098412993", "Retail Link")</f>
        <v/>
      </c>
      <c r="J414" s="23" t="inlineStr">
        <is>
          <t>n/a</t>
        </is>
      </c>
      <c r="K414" s="21" t="inlineStr">
        <is>
          <t>PUMA Womens Star Vital Shoes, Size: 8.5 M US, Color: Puma Black/Rose Gold</t>
        </is>
      </c>
      <c r="L414" s="24" t="n">
        <v>61.75</v>
      </c>
      <c r="M414" s="24" t="n">
        <v>64.95</v>
      </c>
      <c r="N414" s="24" t="n">
        <v>-14.0825</v>
      </c>
      <c r="O414" s="24">
        <f>V414-M414</f>
        <v/>
      </c>
      <c r="P414" s="25">
        <f>N414/L414</f>
        <v/>
      </c>
      <c r="Q414" s="23" t="n">
        <v>702143</v>
      </c>
      <c r="R414" s="23" t="n"/>
      <c r="S414" s="26" t="n">
        <v>1.3999337</v>
      </c>
      <c r="T414" s="24" t="n">
        <v>64.95</v>
      </c>
      <c r="U414" s="24" t="n">
        <v>55.51</v>
      </c>
      <c r="V414" s="24" t="n">
        <v>58.27</v>
      </c>
      <c r="W414" s="26" t="inlineStr">
        <is>
          <t>PUMA Star Vital Womens Running Shoes</t>
        </is>
      </c>
      <c r="X414" s="23" t="n">
        <v>2</v>
      </c>
      <c r="Y414" s="18">
        <f>AC414-AB414</f>
        <v/>
      </c>
      <c r="Z414" s="27" t="n">
        <v>18</v>
      </c>
      <c r="AA414" s="27" t="n">
        <v>29</v>
      </c>
      <c r="AB414" s="27" t="n">
        <v>9</v>
      </c>
      <c r="AC414" s="27" t="n">
        <v>55</v>
      </c>
      <c r="AD414" s="1" t="inlineStr">
        <is>
          <t>19433115</t>
        </is>
      </c>
      <c r="AE414" s="1" t="inlineStr">
        <is>
          <t>Puma Black/Rose Gold</t>
        </is>
      </c>
      <c r="AF414" s="4" t="inlineStr"/>
      <c r="AG414" s="4" t="n">
        <v>7.54</v>
      </c>
    </row>
    <row r="415" ht="47.25" customHeight="1">
      <c r="A415" s="18" t="inlineStr">
        <is>
          <t>195098413006</t>
        </is>
      </c>
      <c r="B415" s="19" t="inlineStr">
        <is>
          <t>https://www.amazon.com/dp/</t>
        </is>
      </c>
      <c r="C415" s="20" t="inlineStr">
        <is>
          <t>B0BCVXSHKW</t>
        </is>
      </c>
      <c r="D415" s="44" t="n"/>
      <c r="E415" s="23" t="inlineStr">
        <is>
          <t>?th=1&amp;psc=1&amp;tag=sdcdeals03-20</t>
        </is>
      </c>
      <c r="F415" s="19">
        <f>HYPERLINK("https://redirect.sdcdeals.com/redirect?destination=https%3A%2F%2Fwww.amazon.com%2Fdp%2FB0BCVXSHKW%3Fth%3D1%26psc%3D1%26tag%3Dsdcdeals03-20", "Amazon Link")</f>
        <v/>
      </c>
      <c r="G415" s="19" t="inlineStr">
        <is>
          <t>https://www.jcpenney.com/s?searchTerm={search_term}</t>
        </is>
      </c>
      <c r="H415" s="23" t="inlineStr">
        <is>
          <t>195098413006</t>
        </is>
      </c>
      <c r="I415" s="19">
        <f>HYPERLINK("https://www.jcpenney.com/s?searchTerm=195098413006", "Retail Link")</f>
        <v/>
      </c>
      <c r="J415" s="23" t="inlineStr">
        <is>
          <t>n/a</t>
        </is>
      </c>
      <c r="K415" s="21" t="inlineStr">
        <is>
          <t>PUMA Womens Star Vital Shoes, Size: 9 M US, Color: Puma Black/Rose Gold</t>
        </is>
      </c>
      <c r="L415" s="24" t="n">
        <v>61.75</v>
      </c>
      <c r="M415" s="24" t="n">
        <v>52.8</v>
      </c>
      <c r="N415" s="24" t="n">
        <v>-23.90000000000001</v>
      </c>
      <c r="O415" s="24">
        <f>V415-M415</f>
        <v/>
      </c>
      <c r="P415" s="25">
        <f>N415/L415</f>
        <v/>
      </c>
      <c r="Q415" s="23" t="n">
        <v>639696</v>
      </c>
      <c r="R415" s="23" t="n"/>
      <c r="S415" s="26" t="n">
        <v>2.35012492</v>
      </c>
      <c r="T415" s="24" t="n">
        <v>52.8</v>
      </c>
      <c r="U415" s="24" t="n">
        <v>51.8</v>
      </c>
      <c r="V415" s="24" t="n">
        <v>57.27</v>
      </c>
      <c r="W415" s="26" t="inlineStr">
        <is>
          <t>PUMA Star Vital Womens Running Shoes</t>
        </is>
      </c>
      <c r="X415" s="23" t="n">
        <v>3</v>
      </c>
      <c r="Y415" s="18">
        <f>AC415-AB415</f>
        <v/>
      </c>
      <c r="Z415" s="27" t="n">
        <v>13</v>
      </c>
      <c r="AA415" s="27" t="n">
        <v>29</v>
      </c>
      <c r="AB415" s="27" t="n">
        <v>8</v>
      </c>
      <c r="AC415" s="27" t="n">
        <v>55</v>
      </c>
      <c r="AD415" s="1" t="inlineStr">
        <is>
          <t>19433115</t>
        </is>
      </c>
      <c r="AE415" s="1" t="inlineStr">
        <is>
          <t>Puma Black/Rose Gold</t>
        </is>
      </c>
      <c r="AF415" s="4" t="inlineStr"/>
      <c r="AG415" s="4" t="n">
        <v>7.03</v>
      </c>
    </row>
    <row r="416" ht="47.25" customHeight="1">
      <c r="A416" s="18" t="inlineStr">
        <is>
          <t>195098413013</t>
        </is>
      </c>
      <c r="B416" s="19" t="inlineStr">
        <is>
          <t>https://www.amazon.com/dp/</t>
        </is>
      </c>
      <c r="C416" s="20" t="inlineStr">
        <is>
          <t>B0BCVVSTVC</t>
        </is>
      </c>
      <c r="D416" s="44" t="n"/>
      <c r="E416" s="23" t="inlineStr">
        <is>
          <t>?th=1&amp;psc=1&amp;tag=sdcdeals03-20</t>
        </is>
      </c>
      <c r="F416" s="19">
        <f>HYPERLINK("https://redirect.sdcdeals.com/redirect?destination=https%3A%2F%2Fwww.amazon.com%2Fdp%2FB0BCVVSTVC%3Fth%3D1%26psc%3D1%26tag%3Dsdcdeals03-20", "Amazon Link")</f>
        <v/>
      </c>
      <c r="G416" s="19" t="inlineStr">
        <is>
          <t>https://www.jcpenney.com/s?searchTerm={search_term}</t>
        </is>
      </c>
      <c r="H416" s="23" t="inlineStr">
        <is>
          <t>195098413013</t>
        </is>
      </c>
      <c r="I416" s="19">
        <f>HYPERLINK("https://www.jcpenney.com/s?searchTerm=195098413013", "Retail Link")</f>
        <v/>
      </c>
      <c r="J416" s="23" t="inlineStr">
        <is>
          <t>n/a</t>
        </is>
      </c>
      <c r="K416" s="21" t="inlineStr">
        <is>
          <t>PUMA Womens Star Vital Shoes, Size: 9.5 M US, Color: Puma Black/Rose Gold</t>
        </is>
      </c>
      <c r="L416" s="24" t="n">
        <v>61.75</v>
      </c>
      <c r="M416" s="24" t="n">
        <v>53.73</v>
      </c>
      <c r="N416" s="24" t="n">
        <v>-23.6995</v>
      </c>
      <c r="O416" s="24">
        <f>V416-M416</f>
        <v/>
      </c>
      <c r="P416" s="25">
        <f>N416/L416</f>
        <v/>
      </c>
      <c r="Q416" s="23" t="n">
        <v>3008226</v>
      </c>
      <c r="R416" s="23" t="n"/>
      <c r="S416" s="26" t="n">
        <v>1.42418452</v>
      </c>
      <c r="T416" s="24" t="inlineStr"/>
      <c r="U416" s="24" t="n">
        <v>53.73</v>
      </c>
      <c r="V416" s="24" t="n">
        <v>58.32</v>
      </c>
      <c r="W416" s="26" t="inlineStr">
        <is>
          <t>PUMA Star Vital Womens Running Shoes</t>
        </is>
      </c>
      <c r="X416" s="23" t="n">
        <v>1</v>
      </c>
      <c r="Y416" s="18">
        <f>AC416-AB416</f>
        <v/>
      </c>
      <c r="Z416" s="27" t="n">
        <v>2</v>
      </c>
      <c r="AA416" s="27" t="n">
        <v>12</v>
      </c>
      <c r="AB416" s="27" t="n">
        <v>4</v>
      </c>
      <c r="AC416" s="27" t="n">
        <v>55</v>
      </c>
      <c r="AD416" s="1" t="inlineStr">
        <is>
          <t>19433115</t>
        </is>
      </c>
      <c r="AE416" s="1" t="inlineStr">
        <is>
          <t>Puma Black/Rose Gold</t>
        </is>
      </c>
      <c r="AF416" s="4" t="inlineStr"/>
      <c r="AG416" s="4" t="n">
        <v>7.62</v>
      </c>
    </row>
    <row r="417" ht="47.25" customHeight="1">
      <c r="A417" s="18" t="inlineStr">
        <is>
          <t>195098413020</t>
        </is>
      </c>
      <c r="B417" s="19" t="inlineStr">
        <is>
          <t>https://www.amazon.com/dp/</t>
        </is>
      </c>
      <c r="C417" s="20" t="inlineStr">
        <is>
          <t>B0BCVXD9VJ</t>
        </is>
      </c>
      <c r="D417" s="44" t="n"/>
      <c r="E417" s="23" t="inlineStr">
        <is>
          <t>?th=1&amp;psc=1&amp;tag=sdcdeals03-20</t>
        </is>
      </c>
      <c r="F417" s="19">
        <f>HYPERLINK("https://redirect.sdcdeals.com/redirect?destination=https%3A%2F%2Fwww.amazon.com%2Fdp%2FB0BCVXD9VJ%3Fth%3D1%26psc%3D1%26tag%3Dsdcdeals03-20", "Amazon Link")</f>
        <v/>
      </c>
      <c r="G417" s="19" t="inlineStr">
        <is>
          <t>https://www.jcpenney.com/s?searchTerm={search_term}</t>
        </is>
      </c>
      <c r="H417" s="23" t="inlineStr">
        <is>
          <t>195098413020</t>
        </is>
      </c>
      <c r="I417" s="19">
        <f>HYPERLINK("https://www.jcpenney.com/s?searchTerm=195098413020", "Retail Link")</f>
        <v/>
      </c>
      <c r="J417" s="23" t="inlineStr">
        <is>
          <t>n/a</t>
        </is>
      </c>
      <c r="K417" s="21" t="inlineStr">
        <is>
          <t>PUMA Womens Star Vital Shoes, Size: 10 M US, Color: Puma Black/Rose Gold</t>
        </is>
      </c>
      <c r="L417" s="24" t="n">
        <v>61.75</v>
      </c>
      <c r="M417" s="24" t="n">
        <v>49.95</v>
      </c>
      <c r="N417" s="24" t="n">
        <v>-26.8325</v>
      </c>
      <c r="O417" s="24">
        <f>V417-M417</f>
        <v/>
      </c>
      <c r="P417" s="25">
        <f>N417/L417</f>
        <v/>
      </c>
      <c r="Q417" s="23" t="n"/>
      <c r="R417" s="23" t="n"/>
      <c r="S417" s="26" t="n">
        <v>2.50003908</v>
      </c>
      <c r="T417" s="24" t="inlineStr"/>
      <c r="U417" s="24" t="n">
        <v>49.95</v>
      </c>
      <c r="V417" s="24" t="n">
        <v>54.01</v>
      </c>
      <c r="W417" s="26" t="inlineStr">
        <is>
          <t>PUMA Star Vital Womens Running Shoes</t>
        </is>
      </c>
      <c r="X417" s="23" t="n">
        <v>1</v>
      </c>
      <c r="Y417" s="18">
        <f>AC417-AB417</f>
        <v/>
      </c>
      <c r="Z417" s="27" t="n">
        <v>4</v>
      </c>
      <c r="AA417" s="27" t="n">
        <v>9</v>
      </c>
      <c r="AB417" s="27" t="n">
        <v>3</v>
      </c>
      <c r="AC417" s="27" t="n">
        <v>52</v>
      </c>
      <c r="AD417" s="1" t="inlineStr">
        <is>
          <t>19433115</t>
        </is>
      </c>
      <c r="AE417" s="1" t="inlineStr">
        <is>
          <t>Puma Black/Rose Gold</t>
        </is>
      </c>
      <c r="AF417" s="4" t="inlineStr"/>
      <c r="AG417" s="4" t="n">
        <v>7.54</v>
      </c>
    </row>
    <row r="418" ht="47.25" customHeight="1">
      <c r="A418" s="18" t="inlineStr">
        <is>
          <t>195098413044</t>
        </is>
      </c>
      <c r="B418" s="19" t="inlineStr">
        <is>
          <t>https://www.amazon.com/dp/</t>
        </is>
      </c>
      <c r="C418" s="20" t="inlineStr">
        <is>
          <t>B0BCVX8MHG</t>
        </is>
      </c>
      <c r="D418" s="44" t="n"/>
      <c r="E418" s="23" t="inlineStr">
        <is>
          <t>?th=1&amp;psc=1&amp;tag=sdcdeals03-20</t>
        </is>
      </c>
      <c r="F418" s="19">
        <f>HYPERLINK("https://redirect.sdcdeals.com/redirect?destination=https%3A%2F%2Fwww.amazon.com%2Fdp%2FB0BCVX8MHG%3Fth%3D1%26psc%3D1%26tag%3Dsdcdeals03-20", "Amazon Link")</f>
        <v/>
      </c>
      <c r="G418" s="19" t="inlineStr">
        <is>
          <t>https://www.jcpenney.com/s?searchTerm={search_term}</t>
        </is>
      </c>
      <c r="H418" s="23" t="inlineStr">
        <is>
          <t>195098413044</t>
        </is>
      </c>
      <c r="I418" s="19">
        <f>HYPERLINK("https://www.jcpenney.com/s?searchTerm=195098413044", "Retail Link")</f>
        <v/>
      </c>
      <c r="J418" s="23" t="inlineStr">
        <is>
          <t>n/a</t>
        </is>
      </c>
      <c r="K418" s="21" t="inlineStr">
        <is>
          <t>PUMA Womens Star Vital Shoes, Size: 11 M US, Color: Puma Black/Rose Gold</t>
        </is>
      </c>
      <c r="L418" s="24" t="n">
        <v>61.75</v>
      </c>
      <c r="M418" s="24" t="n">
        <v>64.95</v>
      </c>
      <c r="N418" s="24" t="n"/>
      <c r="O418" s="24">
        <f>V418-M418</f>
        <v/>
      </c>
      <c r="P418" s="25">
        <f>N418/L418</f>
        <v/>
      </c>
      <c r="Q418" s="23" t="n">
        <v>639696</v>
      </c>
      <c r="R418" s="23" t="n"/>
      <c r="S418" s="26" t="n"/>
      <c r="T418" s="24" t="n">
        <v>64.95</v>
      </c>
      <c r="U418" s="24" t="n">
        <v>56.9</v>
      </c>
      <c r="V418" s="24" t="n">
        <v>57.85</v>
      </c>
      <c r="W418" s="26" t="inlineStr">
        <is>
          <t>PUMA Star Vital Womens Running Shoes</t>
        </is>
      </c>
      <c r="X418" s="23" t="n">
        <v>1</v>
      </c>
      <c r="Y418" s="18">
        <f>AC418-AB418</f>
        <v/>
      </c>
      <c r="Z418" s="27" t="n">
        <v>9</v>
      </c>
      <c r="AA418" s="27" t="n">
        <v>17</v>
      </c>
      <c r="AB418" s="27" t="n">
        <v>1</v>
      </c>
      <c r="AC418" s="27" t="n">
        <v>48</v>
      </c>
      <c r="AD418" s="1" t="inlineStr">
        <is>
          <t>19433115</t>
        </is>
      </c>
      <c r="AE418" s="1" t="inlineStr">
        <is>
          <t>Puma Black/Rose Gold</t>
        </is>
      </c>
      <c r="AF418" s="4" t="inlineStr"/>
      <c r="AG418" s="4" t="inlineStr"/>
    </row>
    <row r="419" ht="47.25" customHeight="1">
      <c r="A419" s="18" t="inlineStr">
        <is>
          <t>197609835178</t>
        </is>
      </c>
      <c r="B419" s="19" t="inlineStr">
        <is>
          <t>https://www.amazon.com/dp/</t>
        </is>
      </c>
      <c r="C419" s="20" t="inlineStr">
        <is>
          <t>B0CM7S8XSM</t>
        </is>
      </c>
      <c r="D419" s="44" t="n"/>
      <c r="E419" s="23" t="inlineStr">
        <is>
          <t>?th=1&amp;psc=1&amp;tag=sdcdeals03-20</t>
        </is>
      </c>
      <c r="F419" s="19">
        <f>HYPERLINK("https://redirect.sdcdeals.com/redirect?destination=https%3A%2F%2Fwww.amazon.com%2Fdp%2FB0CM7S8XSM%3Fth%3D1%26psc%3D1%26tag%3Dsdcdeals03-20", "Amazon Link")</f>
        <v/>
      </c>
      <c r="G419" s="19" t="inlineStr">
        <is>
          <t>https://www.jcpenney.com/s?searchTerm={search_term}</t>
        </is>
      </c>
      <c r="H419" s="23" t="inlineStr">
        <is>
          <t>197609835178</t>
        </is>
      </c>
      <c r="I419" s="19">
        <f>HYPERLINK("https://www.jcpenney.com/s?searchTerm=197609835178", "Retail Link")</f>
        <v/>
      </c>
      <c r="J419" s="23" t="inlineStr">
        <is>
          <t>n/a</t>
        </is>
      </c>
      <c r="K419" s="21" t="inlineStr">
        <is>
          <t>adidas Women's Run 72 Sneaker, White/Black/Black, 5</t>
        </is>
      </c>
      <c r="L419" s="24" t="n"/>
      <c r="M419" s="24" t="inlineStr"/>
      <c r="N419" s="24" t="n"/>
      <c r="O419" s="24">
        <f>V419-M419</f>
        <v/>
      </c>
      <c r="P419" s="25">
        <f>N419/L419</f>
        <v/>
      </c>
      <c r="Q419" s="23" t="n">
        <v>27608</v>
      </c>
      <c r="R419" s="23" t="n"/>
      <c r="S419" s="26" t="n">
        <v>2.1605276</v>
      </c>
      <c r="T419" s="24" t="inlineStr"/>
      <c r="U419" s="24" t="inlineStr"/>
      <c r="V419" s="24" t="inlineStr"/>
      <c r="W419" s="26" t="inlineStr">
        <is>
          <t>adidas Run 72 Womens Sneakers</t>
        </is>
      </c>
      <c r="X419" s="23" t="n"/>
      <c r="Y419" s="18">
        <f>AC419-AB419</f>
        <v/>
      </c>
      <c r="Z419" s="27" t="n">
        <v>6</v>
      </c>
      <c r="AA419" s="27" t="n">
        <v>19</v>
      </c>
      <c r="AB419" s="27" t="n">
        <v>0</v>
      </c>
      <c r="AC419" s="27" t="n">
        <v>27</v>
      </c>
      <c r="AD419" s="1" t="inlineStr">
        <is>
          <t>IH8601</t>
        </is>
      </c>
      <c r="AE419" s="1" t="inlineStr">
        <is>
          <t>White/Black/Black</t>
        </is>
      </c>
      <c r="AF419" s="4" t="inlineStr"/>
      <c r="AG419" s="4" t="n">
        <v>6.61</v>
      </c>
    </row>
    <row r="420" ht="47.25" customHeight="1">
      <c r="A420" s="18" t="inlineStr">
        <is>
          <t>197609835130</t>
        </is>
      </c>
      <c r="B420" s="19" t="inlineStr">
        <is>
          <t>https://www.amazon.com/dp/</t>
        </is>
      </c>
      <c r="C420" s="20" t="inlineStr">
        <is>
          <t>B0CM7ZVH4Y</t>
        </is>
      </c>
      <c r="D420" s="44" t="n"/>
      <c r="E420" s="23" t="inlineStr">
        <is>
          <t>?th=1&amp;psc=1&amp;tag=sdcdeals03-20</t>
        </is>
      </c>
      <c r="F420" s="19">
        <f>HYPERLINK("https://redirect.sdcdeals.com/redirect?destination=https%3A%2F%2Fwww.amazon.com%2Fdp%2FB0CM7ZVH4Y%3Fth%3D1%26psc%3D1%26tag%3Dsdcdeals03-20", "Amazon Link")</f>
        <v/>
      </c>
      <c r="G420" s="19" t="inlineStr">
        <is>
          <t>https://www.jcpenney.com/s?searchTerm={search_term}</t>
        </is>
      </c>
      <c r="H420" s="23" t="inlineStr">
        <is>
          <t>197609835130</t>
        </is>
      </c>
      <c r="I420" s="19">
        <f>HYPERLINK("https://www.jcpenney.com/s?searchTerm=197609835130", "Retail Link")</f>
        <v/>
      </c>
      <c r="J420" s="23" t="inlineStr">
        <is>
          <t>n/a</t>
        </is>
      </c>
      <c r="K420" s="21" t="inlineStr">
        <is>
          <t>adidas Women's Run 72 Sneaker, White/Black/Black, 5.5</t>
        </is>
      </c>
      <c r="L420" s="24" t="n"/>
      <c r="M420" s="24" t="inlineStr"/>
      <c r="N420" s="24" t="n"/>
      <c r="O420" s="24">
        <f>V420-M420</f>
        <v/>
      </c>
      <c r="P420" s="25">
        <f>N420/L420</f>
        <v/>
      </c>
      <c r="Q420" s="23" t="n">
        <v>22531</v>
      </c>
      <c r="R420" s="23" t="n"/>
      <c r="S420" s="26" t="n">
        <v>2.20021076</v>
      </c>
      <c r="T420" s="24" t="inlineStr"/>
      <c r="U420" s="24" t="inlineStr"/>
      <c r="V420" s="24" t="inlineStr"/>
      <c r="W420" s="26" t="inlineStr">
        <is>
          <t>adidas Run 72 Womens Sneakers</t>
        </is>
      </c>
      <c r="X420" s="23" t="n"/>
      <c r="Y420" s="18">
        <f>AC420-AB420</f>
        <v/>
      </c>
      <c r="Z420" s="27" t="n">
        <v>6</v>
      </c>
      <c r="AA420" s="27" t="n">
        <v>22</v>
      </c>
      <c r="AB420" s="27" t="n">
        <v>0</v>
      </c>
      <c r="AC420" s="27" t="n">
        <v>27</v>
      </c>
      <c r="AD420" s="1" t="inlineStr">
        <is>
          <t>IH8601</t>
        </is>
      </c>
      <c r="AE420" s="1" t="inlineStr">
        <is>
          <t>White/Black/Black</t>
        </is>
      </c>
      <c r="AF420" s="4" t="inlineStr"/>
      <c r="AG420" s="4" t="n">
        <v>7.03</v>
      </c>
    </row>
    <row r="421" ht="47.25" customHeight="1">
      <c r="A421" s="18" t="inlineStr">
        <is>
          <t>197609835192</t>
        </is>
      </c>
      <c r="B421" s="19" t="inlineStr">
        <is>
          <t>https://www.amazon.com/dp/</t>
        </is>
      </c>
      <c r="C421" s="20" t="inlineStr">
        <is>
          <t>B0CM811YRK</t>
        </is>
      </c>
      <c r="D421" s="44" t="n"/>
      <c r="E421" s="23" t="inlineStr">
        <is>
          <t>?th=1&amp;psc=1&amp;tag=sdcdeals03-20</t>
        </is>
      </c>
      <c r="F421" s="19">
        <f>HYPERLINK("https://redirect.sdcdeals.com/redirect?destination=https%3A%2F%2Fwww.amazon.com%2Fdp%2FB0CM811YRK%3Fth%3D1%26psc%3D1%26tag%3Dsdcdeals03-20", "Amazon Link")</f>
        <v/>
      </c>
      <c r="G421" s="19" t="inlineStr">
        <is>
          <t>https://www.jcpenney.com/s?searchTerm={search_term}</t>
        </is>
      </c>
      <c r="H421" s="23" t="inlineStr">
        <is>
          <t>197609835192</t>
        </is>
      </c>
      <c r="I421" s="19">
        <f>HYPERLINK("https://www.jcpenney.com/s?searchTerm=197609835192", "Retail Link")</f>
        <v/>
      </c>
      <c r="J421" s="23" t="inlineStr">
        <is>
          <t>n/a</t>
        </is>
      </c>
      <c r="K421" s="21" t="inlineStr">
        <is>
          <t>adidas Women's Run 72 Sneaker, White/Black/Black, 6</t>
        </is>
      </c>
      <c r="L421" s="24" t="n"/>
      <c r="M421" s="24" t="n">
        <v>90.16</v>
      </c>
      <c r="N421" s="24" t="n"/>
      <c r="O421" s="24">
        <f>V421-M421</f>
        <v/>
      </c>
      <c r="P421" s="25">
        <f>N421/L421</f>
        <v/>
      </c>
      <c r="Q421" s="23" t="n">
        <v>22531</v>
      </c>
      <c r="R421" s="23" t="n"/>
      <c r="S421" s="26" t="n">
        <v>2.25091702</v>
      </c>
      <c r="T421" s="24" t="n">
        <v>90.16</v>
      </c>
      <c r="U421" s="24" t="inlineStr"/>
      <c r="V421" s="24" t="inlineStr"/>
      <c r="W421" s="26" t="inlineStr">
        <is>
          <t>adidas Run 72 Womens Sneakers</t>
        </is>
      </c>
      <c r="X421" s="23" t="n">
        <v>1</v>
      </c>
      <c r="Y421" s="18">
        <f>AC421-AB421</f>
        <v/>
      </c>
      <c r="Z421" s="27" t="n">
        <v>12</v>
      </c>
      <c r="AA421" s="27" t="n">
        <v>25</v>
      </c>
      <c r="AB421" s="27" t="n">
        <v>0</v>
      </c>
      <c r="AC421" s="27" t="n">
        <v>27</v>
      </c>
      <c r="AD421" s="1" t="inlineStr">
        <is>
          <t>IH8601</t>
        </is>
      </c>
      <c r="AE421" s="1" t="inlineStr">
        <is>
          <t>White/Black/Black</t>
        </is>
      </c>
      <c r="AF421" s="4" t="inlineStr"/>
      <c r="AG421" s="4" t="n">
        <v>6.61</v>
      </c>
    </row>
    <row r="422" ht="47.25" customHeight="1">
      <c r="A422" s="18" t="inlineStr">
        <is>
          <t>197609835215</t>
        </is>
      </c>
      <c r="B422" s="19" t="inlineStr">
        <is>
          <t>https://www.amazon.com/dp/</t>
        </is>
      </c>
      <c r="C422" s="20" t="inlineStr">
        <is>
          <t>B0CM7VT132</t>
        </is>
      </c>
      <c r="D422" s="44" t="n"/>
      <c r="E422" s="23" t="inlineStr">
        <is>
          <t>?th=1&amp;psc=1&amp;tag=sdcdeals03-20</t>
        </is>
      </c>
      <c r="F422" s="19">
        <f>HYPERLINK("https://redirect.sdcdeals.com/redirect?destination=https%3A%2F%2Fwww.amazon.com%2Fdp%2FB0CM7VT132%3Fth%3D1%26psc%3D1%26tag%3Dsdcdeals03-20", "Amazon Link")</f>
        <v/>
      </c>
      <c r="G422" s="19" t="inlineStr">
        <is>
          <t>https://www.jcpenney.com/s?searchTerm={search_term}</t>
        </is>
      </c>
      <c r="H422" s="23" t="inlineStr">
        <is>
          <t>197609835215</t>
        </is>
      </c>
      <c r="I422" s="19">
        <f>HYPERLINK("https://www.jcpenney.com/s?searchTerm=197609835215", "Retail Link")</f>
        <v/>
      </c>
      <c r="J422" s="23" t="inlineStr">
        <is>
          <t>n/a</t>
        </is>
      </c>
      <c r="K422" s="21" t="inlineStr">
        <is>
          <t>adidas Women's Run 72 Sneaker, White/Black/Black, 6.5</t>
        </is>
      </c>
      <c r="L422" s="24" t="n"/>
      <c r="M422" s="24" t="n">
        <v>90.16</v>
      </c>
      <c r="N422" s="24" t="n"/>
      <c r="O422" s="24">
        <f>V422-M422</f>
        <v/>
      </c>
      <c r="P422" s="25">
        <f>N422/L422</f>
        <v/>
      </c>
      <c r="Q422" s="23" t="n">
        <v>22531</v>
      </c>
      <c r="R422" s="23" t="n"/>
      <c r="S422" s="26" t="n">
        <v>2.2707586</v>
      </c>
      <c r="T422" s="24" t="n">
        <v>90.16</v>
      </c>
      <c r="U422" s="24" t="inlineStr"/>
      <c r="V422" s="24" t="inlineStr"/>
      <c r="W422" s="26" t="inlineStr">
        <is>
          <t>adidas Run 72 Womens Sneakers</t>
        </is>
      </c>
      <c r="X422" s="23" t="n">
        <v>1</v>
      </c>
      <c r="Y422" s="18">
        <f>AC422-AB422</f>
        <v/>
      </c>
      <c r="Z422" s="27" t="n">
        <v>9</v>
      </c>
      <c r="AA422" s="27" t="n">
        <v>23</v>
      </c>
      <c r="AB422" s="27" t="n">
        <v>0</v>
      </c>
      <c r="AC422" s="27" t="n">
        <v>27</v>
      </c>
      <c r="AD422" s="1" t="inlineStr">
        <is>
          <t>IH8601</t>
        </is>
      </c>
      <c r="AE422" s="1" t="inlineStr">
        <is>
          <t>White/Black/Black</t>
        </is>
      </c>
      <c r="AF422" s="4" t="inlineStr"/>
      <c r="AG422" s="4" t="n">
        <v>6.61</v>
      </c>
    </row>
    <row r="423" ht="47.25" customHeight="1">
      <c r="A423" s="18" t="inlineStr">
        <is>
          <t>197609835208</t>
        </is>
      </c>
      <c r="B423" s="19" t="inlineStr">
        <is>
          <t>https://www.amazon.com/dp/</t>
        </is>
      </c>
      <c r="C423" s="20" t="inlineStr">
        <is>
          <t>B0CM847T3Q</t>
        </is>
      </c>
      <c r="D423" s="44" t="n"/>
      <c r="E423" s="23" t="inlineStr">
        <is>
          <t>?th=1&amp;psc=1&amp;tag=sdcdeals03-20</t>
        </is>
      </c>
      <c r="F423" s="19">
        <f>HYPERLINK("https://redirect.sdcdeals.com/redirect?destination=https%3A%2F%2Fwww.amazon.com%2Fdp%2FB0CM847T3Q%3Fth%3D1%26psc%3D1%26tag%3Dsdcdeals03-20", "Amazon Link")</f>
        <v/>
      </c>
      <c r="G423" s="19" t="inlineStr">
        <is>
          <t>https://www.jcpenney.com/s?searchTerm={search_term}</t>
        </is>
      </c>
      <c r="H423" s="23" t="inlineStr">
        <is>
          <t>197609835208</t>
        </is>
      </c>
      <c r="I423" s="19">
        <f>HYPERLINK("https://www.jcpenney.com/s?searchTerm=197609835208", "Retail Link")</f>
        <v/>
      </c>
      <c r="J423" s="23" t="inlineStr">
        <is>
          <t>n/a</t>
        </is>
      </c>
      <c r="K423" s="21" t="inlineStr">
        <is>
          <t>adidas Women's Run 72 Sneaker, White/Black/Black, 7</t>
        </is>
      </c>
      <c r="L423" s="24" t="n"/>
      <c r="M423" s="24" t="n">
        <v>90.16</v>
      </c>
      <c r="N423" s="24" t="n"/>
      <c r="O423" s="24">
        <f>V423-M423</f>
        <v/>
      </c>
      <c r="P423" s="25">
        <f>N423/L423</f>
        <v/>
      </c>
      <c r="Q423" s="23" t="n">
        <v>22531</v>
      </c>
      <c r="R423" s="23" t="n"/>
      <c r="S423" s="26" t="n">
        <v>2.33910182</v>
      </c>
      <c r="T423" s="24" t="n">
        <v>90.16</v>
      </c>
      <c r="U423" s="24" t="inlineStr"/>
      <c r="V423" s="24" t="inlineStr"/>
      <c r="W423" s="26" t="inlineStr">
        <is>
          <t>adidas Run 72 Womens Sneakers</t>
        </is>
      </c>
      <c r="X423" s="23" t="n">
        <v>1</v>
      </c>
      <c r="Y423" s="18">
        <f>AC423-AB423</f>
        <v/>
      </c>
      <c r="Z423" s="27" t="n">
        <v>11</v>
      </c>
      <c r="AA423" s="27" t="n">
        <v>25</v>
      </c>
      <c r="AB423" s="27" t="n">
        <v>0</v>
      </c>
      <c r="AC423" s="27" t="n">
        <v>27</v>
      </c>
      <c r="AD423" s="1" t="inlineStr">
        <is>
          <t>IH8601</t>
        </is>
      </c>
      <c r="AE423" s="1" t="inlineStr">
        <is>
          <t>White/Black/Black</t>
        </is>
      </c>
      <c r="AF423" s="4" t="inlineStr"/>
      <c r="AG423" s="4" t="n">
        <v>7.62</v>
      </c>
    </row>
    <row r="424" ht="47.25" customHeight="1">
      <c r="A424" s="18" t="inlineStr">
        <is>
          <t>197609835154</t>
        </is>
      </c>
      <c r="B424" s="19" t="inlineStr">
        <is>
          <t>https://www.amazon.com/dp/</t>
        </is>
      </c>
      <c r="C424" s="20" t="inlineStr">
        <is>
          <t>B0CM7ZKT1S</t>
        </is>
      </c>
      <c r="D424" s="44" t="n"/>
      <c r="E424" s="23" t="inlineStr">
        <is>
          <t>?th=1&amp;psc=1&amp;tag=sdcdeals03-20</t>
        </is>
      </c>
      <c r="F424" s="19">
        <f>HYPERLINK("https://redirect.sdcdeals.com/redirect?destination=https%3A%2F%2Fwww.amazon.com%2Fdp%2FB0CM7ZKT1S%3Fth%3D1%26psc%3D1%26tag%3Dsdcdeals03-20", "Amazon Link")</f>
        <v/>
      </c>
      <c r="G424" s="19" t="inlineStr">
        <is>
          <t>https://www.jcpenney.com/s?searchTerm={search_term}</t>
        </is>
      </c>
      <c r="H424" s="23" t="inlineStr">
        <is>
          <t>197609835154</t>
        </is>
      </c>
      <c r="I424" s="19">
        <f>HYPERLINK("https://www.jcpenney.com/s?searchTerm=197609835154", "Retail Link")</f>
        <v/>
      </c>
      <c r="J424" s="23" t="inlineStr">
        <is>
          <t>n/a</t>
        </is>
      </c>
      <c r="K424" s="21" t="inlineStr">
        <is>
          <t>adidas Women's Run 72 Sneaker, White/Black/Black, 7.5</t>
        </is>
      </c>
      <c r="L424" s="24" t="n"/>
      <c r="M424" s="24" t="n">
        <v>90.16</v>
      </c>
      <c r="N424" s="24" t="n"/>
      <c r="O424" s="24">
        <f>V424-M424</f>
        <v/>
      </c>
      <c r="P424" s="25">
        <f>N424/L424</f>
        <v/>
      </c>
      <c r="Q424" s="23" t="n">
        <v>22531</v>
      </c>
      <c r="R424" s="23" t="n"/>
      <c r="S424" s="26" t="n">
        <v>2.40083118</v>
      </c>
      <c r="T424" s="24" t="n">
        <v>90.16</v>
      </c>
      <c r="U424" s="24" t="inlineStr"/>
      <c r="V424" s="24" t="inlineStr"/>
      <c r="W424" s="26" t="inlineStr">
        <is>
          <t>adidas Run 72 Womens Sneakers</t>
        </is>
      </c>
      <c r="X424" s="23" t="n">
        <v>1</v>
      </c>
      <c r="Y424" s="18">
        <f>AC424-AB424</f>
        <v/>
      </c>
      <c r="Z424" s="27" t="n">
        <v>11</v>
      </c>
      <c r="AA424" s="27" t="n">
        <v>25</v>
      </c>
      <c r="AB424" s="27" t="n">
        <v>0</v>
      </c>
      <c r="AC424" s="27" t="n">
        <v>27</v>
      </c>
      <c r="AD424" s="1" t="inlineStr">
        <is>
          <t>IH8601</t>
        </is>
      </c>
      <c r="AE424" s="1" t="inlineStr">
        <is>
          <t>White/Black/Black</t>
        </is>
      </c>
      <c r="AF424" s="4" t="inlineStr"/>
      <c r="AG424" s="4" t="n">
        <v>7.62</v>
      </c>
    </row>
    <row r="425" ht="47.25" customHeight="1">
      <c r="A425" s="18" t="inlineStr">
        <is>
          <t>197609835222</t>
        </is>
      </c>
      <c r="B425" s="19" t="inlineStr">
        <is>
          <t>https://www.amazon.com/dp/</t>
        </is>
      </c>
      <c r="C425" s="20" t="inlineStr">
        <is>
          <t>B0CM884DZR</t>
        </is>
      </c>
      <c r="D425" s="44" t="n"/>
      <c r="E425" s="23" t="inlineStr">
        <is>
          <t>?th=1&amp;psc=1&amp;tag=sdcdeals03-20</t>
        </is>
      </c>
      <c r="F425" s="19">
        <f>HYPERLINK("https://redirect.sdcdeals.com/redirect?destination=https%3A%2F%2Fwww.amazon.com%2Fdp%2FB0CM884DZR%3Fth%3D1%26psc%3D1%26tag%3Dsdcdeals03-20", "Amazon Link")</f>
        <v/>
      </c>
      <c r="G425" s="19" t="inlineStr">
        <is>
          <t>https://www.jcpenney.com/s?searchTerm={search_term}</t>
        </is>
      </c>
      <c r="H425" s="23" t="inlineStr">
        <is>
          <t>197609835222</t>
        </is>
      </c>
      <c r="I425" s="19">
        <f>HYPERLINK("https://www.jcpenney.com/s?searchTerm=197609835222", "Retail Link")</f>
        <v/>
      </c>
      <c r="J425" s="23" t="inlineStr">
        <is>
          <t>n/a</t>
        </is>
      </c>
      <c r="K425" s="21" t="inlineStr">
        <is>
          <t>adidas Women's Run 72 Sneaker, White/Black/Black, 8</t>
        </is>
      </c>
      <c r="L425" s="24" t="n"/>
      <c r="M425" s="24" t="n">
        <v>98.11</v>
      </c>
      <c r="N425" s="24" t="n"/>
      <c r="O425" s="24">
        <f>V425-M425</f>
        <v/>
      </c>
      <c r="P425" s="25">
        <f>N425/L425</f>
        <v/>
      </c>
      <c r="Q425" s="23" t="n">
        <v>22531</v>
      </c>
      <c r="R425" s="23" t="n"/>
      <c r="S425" s="26" t="n">
        <v>2.44933282</v>
      </c>
      <c r="T425" s="24" t="n">
        <v>90.16</v>
      </c>
      <c r="U425" s="24" t="n">
        <v>99.48</v>
      </c>
      <c r="V425" s="24" t="n">
        <v>99.48</v>
      </c>
      <c r="W425" s="26" t="inlineStr">
        <is>
          <t>adidas Run 72 Womens Sneakers</t>
        </is>
      </c>
      <c r="X425" s="23" t="n">
        <v>1</v>
      </c>
      <c r="Y425" s="18">
        <f>AC425-AB425</f>
        <v/>
      </c>
      <c r="Z425" s="27" t="n">
        <v>21</v>
      </c>
      <c r="AA425" s="27" t="n">
        <v>39</v>
      </c>
      <c r="AB425" s="27" t="n">
        <v>0</v>
      </c>
      <c r="AC425" s="27" t="n">
        <v>27</v>
      </c>
      <c r="AD425" s="1" t="inlineStr">
        <is>
          <t>IH8601</t>
        </is>
      </c>
      <c r="AE425" s="1" t="inlineStr">
        <is>
          <t>White/Black/Black</t>
        </is>
      </c>
      <c r="AF425" s="4" t="n">
        <v>14.72</v>
      </c>
      <c r="AG425" s="4" t="n">
        <v>7.62</v>
      </c>
    </row>
    <row r="426" ht="47.25" customHeight="1">
      <c r="A426" s="18" t="inlineStr">
        <is>
          <t>197609835185</t>
        </is>
      </c>
      <c r="B426" s="19" t="inlineStr">
        <is>
          <t>https://www.amazon.com/dp/</t>
        </is>
      </c>
      <c r="C426" s="20" t="inlineStr">
        <is>
          <t>B0CM7RGCQ1</t>
        </is>
      </c>
      <c r="D426" s="44" t="n"/>
      <c r="E426" s="23" t="inlineStr">
        <is>
          <t>?th=1&amp;psc=1&amp;tag=sdcdeals03-20</t>
        </is>
      </c>
      <c r="F426" s="19">
        <f>HYPERLINK("https://redirect.sdcdeals.com/redirect?destination=https%3A%2F%2Fwww.amazon.com%2Fdp%2FB0CM7RGCQ1%3Fth%3D1%26psc%3D1%26tag%3Dsdcdeals03-20", "Amazon Link")</f>
        <v/>
      </c>
      <c r="G426" s="19" t="inlineStr">
        <is>
          <t>https://www.jcpenney.com/s?searchTerm={search_term}</t>
        </is>
      </c>
      <c r="H426" s="23" t="inlineStr">
        <is>
          <t>197609835185</t>
        </is>
      </c>
      <c r="I426" s="19">
        <f>HYPERLINK("https://www.jcpenney.com/s?searchTerm=197609835185", "Retail Link")</f>
        <v/>
      </c>
      <c r="J426" s="23" t="inlineStr">
        <is>
          <t>n/a</t>
        </is>
      </c>
      <c r="K426" s="21" t="inlineStr">
        <is>
          <t>adidas Women's Run 72 Sneaker, White/Black/Black, 8.5</t>
        </is>
      </c>
      <c r="L426" s="24" t="n"/>
      <c r="M426" s="24" t="n">
        <v>98.11</v>
      </c>
      <c r="N426" s="24" t="n"/>
      <c r="O426" s="24">
        <f>V426-M426</f>
        <v/>
      </c>
      <c r="P426" s="25">
        <f>N426/L426</f>
        <v/>
      </c>
      <c r="Q426" s="23" t="n">
        <v>22531</v>
      </c>
      <c r="R426" s="23" t="n"/>
      <c r="S426" s="26" t="n">
        <v>2.53972224</v>
      </c>
      <c r="T426" s="24" t="n">
        <v>90.16</v>
      </c>
      <c r="U426" s="24" t="n">
        <v>99.52</v>
      </c>
      <c r="V426" s="24" t="n">
        <v>99.52</v>
      </c>
      <c r="W426" s="26" t="inlineStr">
        <is>
          <t>adidas Run 72 Womens Sneakers</t>
        </is>
      </c>
      <c r="X426" s="23" t="n">
        <v>1</v>
      </c>
      <c r="Y426" s="18">
        <f>AC426-AB426</f>
        <v/>
      </c>
      <c r="Z426" s="27" t="n">
        <v>11</v>
      </c>
      <c r="AA426" s="27" t="n">
        <v>26</v>
      </c>
      <c r="AB426" s="27" t="n">
        <v>0</v>
      </c>
      <c r="AC426" s="27" t="n">
        <v>27</v>
      </c>
      <c r="AD426" s="1" t="inlineStr">
        <is>
          <t>IH8601</t>
        </is>
      </c>
      <c r="AE426" s="1" t="inlineStr">
        <is>
          <t>White/Black/Black</t>
        </is>
      </c>
      <c r="AF426" s="4" t="n">
        <v>14.72</v>
      </c>
      <c r="AG426" s="4" t="n">
        <v>7.7</v>
      </c>
    </row>
    <row r="427" ht="47.25" customHeight="1">
      <c r="A427" s="18" t="inlineStr">
        <is>
          <t>197609835239</t>
        </is>
      </c>
      <c r="B427" s="19" t="inlineStr">
        <is>
          <t>https://www.amazon.com/dp/</t>
        </is>
      </c>
      <c r="C427" s="20" t="inlineStr">
        <is>
          <t>B0CM889GRG</t>
        </is>
      </c>
      <c r="D427" s="44" t="n"/>
      <c r="E427" s="23" t="inlineStr">
        <is>
          <t>?th=1&amp;psc=1&amp;tag=sdcdeals03-20</t>
        </is>
      </c>
      <c r="F427" s="19">
        <f>HYPERLINK("https://redirect.sdcdeals.com/redirect?destination=https%3A%2F%2Fwww.amazon.com%2Fdp%2FB0CM889GRG%3Fth%3D1%26psc%3D1%26tag%3Dsdcdeals03-20", "Amazon Link")</f>
        <v/>
      </c>
      <c r="G427" s="19" t="inlineStr">
        <is>
          <t>https://www.jcpenney.com/s?searchTerm={search_term}</t>
        </is>
      </c>
      <c r="H427" s="23" t="inlineStr">
        <is>
          <t>197609835239</t>
        </is>
      </c>
      <c r="I427" s="19">
        <f>HYPERLINK("https://www.jcpenney.com/s?searchTerm=197609835239", "Retail Link")</f>
        <v/>
      </c>
      <c r="J427" s="23" t="inlineStr">
        <is>
          <t>n/a</t>
        </is>
      </c>
      <c r="K427" s="21" t="inlineStr">
        <is>
          <t>adidas Women's Run 72 Sneaker, White/Black/Black, 9</t>
        </is>
      </c>
      <c r="L427" s="24" t="n"/>
      <c r="M427" s="24" t="n">
        <v>90.16</v>
      </c>
      <c r="N427" s="24" t="n"/>
      <c r="O427" s="24">
        <f>V427-M427</f>
        <v/>
      </c>
      <c r="P427" s="25">
        <f>N427/L427</f>
        <v/>
      </c>
      <c r="Q427" s="23" t="n">
        <v>22531</v>
      </c>
      <c r="R427" s="23" t="n"/>
      <c r="S427" s="26" t="n">
        <v>2.53972224</v>
      </c>
      <c r="T427" s="24" t="n">
        <v>90.16</v>
      </c>
      <c r="U427" s="24" t="inlineStr"/>
      <c r="V427" s="24" t="inlineStr"/>
      <c r="W427" s="26" t="inlineStr">
        <is>
          <t>adidas Run 72 Womens Sneakers</t>
        </is>
      </c>
      <c r="X427" s="23" t="n">
        <v>1</v>
      </c>
      <c r="Y427" s="18">
        <f>AC427-AB427</f>
        <v/>
      </c>
      <c r="Z427" s="27" t="n">
        <v>11</v>
      </c>
      <c r="AA427" s="27" t="n">
        <v>23</v>
      </c>
      <c r="AB427" s="27" t="n">
        <v>0</v>
      </c>
      <c r="AC427" s="27" t="n">
        <v>27</v>
      </c>
      <c r="AD427" s="1" t="inlineStr">
        <is>
          <t>IH8601</t>
        </is>
      </c>
      <c r="AE427" s="1" t="inlineStr">
        <is>
          <t>White/Black/Black</t>
        </is>
      </c>
      <c r="AF427" s="4" t="inlineStr"/>
      <c r="AG427" s="4" t="n">
        <v>7.7</v>
      </c>
    </row>
    <row r="428" ht="47.25" customHeight="1">
      <c r="A428" s="18" t="inlineStr">
        <is>
          <t>197609835123</t>
        </is>
      </c>
      <c r="B428" s="19" t="inlineStr">
        <is>
          <t>https://www.amazon.com/dp/</t>
        </is>
      </c>
      <c r="C428" s="20" t="inlineStr">
        <is>
          <t>B0CM7QK2FJ</t>
        </is>
      </c>
      <c r="D428" s="44" t="n"/>
      <c r="E428" s="23" t="inlineStr">
        <is>
          <t>?th=1&amp;psc=1&amp;tag=sdcdeals03-20</t>
        </is>
      </c>
      <c r="F428" s="19">
        <f>HYPERLINK("https://redirect.sdcdeals.com/redirect?destination=https%3A%2F%2Fwww.amazon.com%2Fdp%2FB0CM7QK2FJ%3Fth%3D1%26psc%3D1%26tag%3Dsdcdeals03-20", "Amazon Link")</f>
        <v/>
      </c>
      <c r="G428" s="19" t="inlineStr">
        <is>
          <t>https://www.jcpenney.com/s?searchTerm={search_term}</t>
        </is>
      </c>
      <c r="H428" s="23" t="inlineStr">
        <is>
          <t>197609835123</t>
        </is>
      </c>
      <c r="I428" s="19">
        <f>HYPERLINK("https://www.jcpenney.com/s?searchTerm=197609835123", "Retail Link")</f>
        <v/>
      </c>
      <c r="J428" s="23" t="inlineStr">
        <is>
          <t>n/a</t>
        </is>
      </c>
      <c r="K428" s="21" t="inlineStr">
        <is>
          <t>adidas Women's Run 72 Sneaker, White/Black/Black, 9.5</t>
        </is>
      </c>
      <c r="L428" s="24" t="n"/>
      <c r="M428" s="24" t="n">
        <v>90.16</v>
      </c>
      <c r="N428" s="24" t="n"/>
      <c r="O428" s="24">
        <f>V428-M428</f>
        <v/>
      </c>
      <c r="P428" s="25">
        <f>N428/L428</f>
        <v/>
      </c>
      <c r="Q428" s="23" t="n">
        <v>20847</v>
      </c>
      <c r="R428" s="23" t="n"/>
      <c r="S428" s="26" t="n">
        <v>2.5794054</v>
      </c>
      <c r="T428" s="24" t="n">
        <v>90.16</v>
      </c>
      <c r="U428" s="24" t="n">
        <v>101.64</v>
      </c>
      <c r="V428" s="24" t="n">
        <v>101.64</v>
      </c>
      <c r="W428" s="26" t="inlineStr">
        <is>
          <t>adidas Run 72 Womens Sneakers</t>
        </is>
      </c>
      <c r="X428" s="23" t="n">
        <v>1</v>
      </c>
      <c r="Y428" s="18">
        <f>AC428-AB428</f>
        <v/>
      </c>
      <c r="Z428" s="27" t="n">
        <v>14</v>
      </c>
      <c r="AA428" s="27" t="n">
        <v>27</v>
      </c>
      <c r="AB428" s="27" t="n">
        <v>0</v>
      </c>
      <c r="AC428" s="27" t="n">
        <v>27</v>
      </c>
      <c r="AD428" s="1" t="inlineStr">
        <is>
          <t>IH8601</t>
        </is>
      </c>
      <c r="AE428" s="1" t="inlineStr">
        <is>
          <t>White/Black/Black</t>
        </is>
      </c>
      <c r="AF428" s="4" t="inlineStr"/>
      <c r="AG428" s="4" t="n">
        <v>7.7</v>
      </c>
    </row>
    <row r="429" ht="47.25" customHeight="1">
      <c r="A429" s="18" t="inlineStr">
        <is>
          <t>197609835246</t>
        </is>
      </c>
      <c r="B429" s="19" t="inlineStr">
        <is>
          <t>https://www.amazon.com/dp/</t>
        </is>
      </c>
      <c r="C429" s="20" t="inlineStr">
        <is>
          <t>B0CM7XNN4H</t>
        </is>
      </c>
      <c r="D429" s="44" t="n"/>
      <c r="E429" s="23" t="inlineStr">
        <is>
          <t>?th=1&amp;psc=1&amp;tag=sdcdeals03-20</t>
        </is>
      </c>
      <c r="F429" s="19">
        <f>HYPERLINK("https://redirect.sdcdeals.com/redirect?destination=https%3A%2F%2Fwww.amazon.com%2Fdp%2FB0CM7XNN4H%3Fth%3D1%26psc%3D1%26tag%3Dsdcdeals03-20", "Amazon Link")</f>
        <v/>
      </c>
      <c r="G429" s="19" t="inlineStr">
        <is>
          <t>https://www.jcpenney.com/s?searchTerm={search_term}</t>
        </is>
      </c>
      <c r="H429" s="23" t="inlineStr">
        <is>
          <t>197609835246</t>
        </is>
      </c>
      <c r="I429" s="19">
        <f>HYPERLINK("https://www.jcpenney.com/s?searchTerm=197609835246", "Retail Link")</f>
        <v/>
      </c>
      <c r="J429" s="23" t="inlineStr">
        <is>
          <t>n/a</t>
        </is>
      </c>
      <c r="K429" s="21" t="inlineStr">
        <is>
          <t>adidas Women's Run 72 Sneaker, White/Black/Black, 10</t>
        </is>
      </c>
      <c r="L429" s="24" t="n"/>
      <c r="M429" s="24" t="n">
        <v>104.46</v>
      </c>
      <c r="N429" s="24" t="n"/>
      <c r="O429" s="24">
        <f>V429-M429</f>
        <v/>
      </c>
      <c r="P429" s="25">
        <f>N429/L429</f>
        <v/>
      </c>
      <c r="Q429" s="23" t="n"/>
      <c r="R429" s="23" t="n"/>
      <c r="S429" s="26" t="n">
        <v>2.55956382</v>
      </c>
      <c r="T429" s="24" t="inlineStr"/>
      <c r="U429" s="24" t="n">
        <v>104.46</v>
      </c>
      <c r="V429" s="24" t="n">
        <v>104.46</v>
      </c>
      <c r="W429" s="26" t="inlineStr">
        <is>
          <t>adidas Run 72 Womens Sneakers</t>
        </is>
      </c>
      <c r="X429" s="23" t="n">
        <v>1</v>
      </c>
      <c r="Y429" s="18">
        <f>AC429-AB429</f>
        <v/>
      </c>
      <c r="Z429" s="27" t="n">
        <v>22</v>
      </c>
      <c r="AA429" s="27" t="n">
        <v>34</v>
      </c>
      <c r="AB429" s="27" t="n">
        <v>0</v>
      </c>
      <c r="AC429" s="27" t="n">
        <v>27</v>
      </c>
      <c r="AD429" s="1" t="inlineStr">
        <is>
          <t>IH8601</t>
        </is>
      </c>
      <c r="AE429" s="1" t="inlineStr">
        <is>
          <t>White/Black/Black</t>
        </is>
      </c>
      <c r="AF429" s="4" t="inlineStr"/>
      <c r="AG429" s="4" t="n">
        <v>7.78</v>
      </c>
    </row>
    <row r="430" ht="47.25" customHeight="1">
      <c r="A430" s="18" t="inlineStr">
        <is>
          <t>197609835147</t>
        </is>
      </c>
      <c r="B430" s="19" t="inlineStr">
        <is>
          <t>https://www.amazon.com/dp/</t>
        </is>
      </c>
      <c r="C430" s="20" t="inlineStr">
        <is>
          <t>B0CM7KNR13</t>
        </is>
      </c>
      <c r="D430" s="44" t="n"/>
      <c r="E430" s="23" t="inlineStr">
        <is>
          <t>?th=1&amp;psc=1&amp;tag=sdcdeals03-20</t>
        </is>
      </c>
      <c r="F430" s="19">
        <f>HYPERLINK("https://redirect.sdcdeals.com/redirect?destination=https%3A%2F%2Fwww.amazon.com%2Fdp%2FB0CM7KNR13%3Fth%3D1%26psc%3D1%26tag%3Dsdcdeals03-20", "Amazon Link")</f>
        <v/>
      </c>
      <c r="G430" s="19" t="inlineStr">
        <is>
          <t>https://www.jcpenney.com/s?searchTerm={search_term}</t>
        </is>
      </c>
      <c r="H430" s="23" t="inlineStr">
        <is>
          <t>197609835147</t>
        </is>
      </c>
      <c r="I430" s="19">
        <f>HYPERLINK("https://www.jcpenney.com/s?searchTerm=197609835147", "Retail Link")</f>
        <v/>
      </c>
      <c r="J430" s="23" t="inlineStr">
        <is>
          <t>n/a</t>
        </is>
      </c>
      <c r="K430" s="21" t="inlineStr">
        <is>
          <t>adidas Women's Run 72 Sneaker, White/Black/Black, 11</t>
        </is>
      </c>
      <c r="L430" s="24" t="n"/>
      <c r="M430" s="24" t="inlineStr"/>
      <c r="N430" s="24" t="n"/>
      <c r="O430" s="24">
        <f>V430-M430</f>
        <v/>
      </c>
      <c r="P430" s="25">
        <f>N430/L430</f>
        <v/>
      </c>
      <c r="Q430" s="23" t="n">
        <v>25260</v>
      </c>
      <c r="R430" s="23" t="n"/>
      <c r="S430" s="26" t="n">
        <v>1.8298346</v>
      </c>
      <c r="T430" s="24" t="inlineStr"/>
      <c r="U430" s="24" t="inlineStr"/>
      <c r="V430" s="24" t="inlineStr"/>
      <c r="W430" s="26" t="inlineStr">
        <is>
          <t>adidas Run 72 Womens Sneakers</t>
        </is>
      </c>
      <c r="X430" s="23" t="n"/>
      <c r="Y430" s="18">
        <f>AC430-AB430</f>
        <v/>
      </c>
      <c r="Z430" s="27" t="n">
        <v>6</v>
      </c>
      <c r="AA430" s="27" t="n">
        <v>18</v>
      </c>
      <c r="AB430" s="27" t="n">
        <v>0</v>
      </c>
      <c r="AC430" s="27" t="n">
        <v>27</v>
      </c>
      <c r="AD430" s="1" t="inlineStr">
        <is>
          <t>IH8601</t>
        </is>
      </c>
      <c r="AE430" s="1" t="inlineStr">
        <is>
          <t>White/Black/Black</t>
        </is>
      </c>
      <c r="AF430" s="4" t="inlineStr"/>
      <c r="AG430" s="4" t="n">
        <v>7.94</v>
      </c>
    </row>
    <row r="431" ht="47.25" customHeight="1">
      <c r="A431" s="18" t="inlineStr">
        <is>
          <t>197609835321</t>
        </is>
      </c>
      <c r="B431" s="19" t="inlineStr">
        <is>
          <t>https://www.amazon.com/dp/</t>
        </is>
      </c>
      <c r="C431" s="20" t="inlineStr">
        <is>
          <t>B0CM7SXGF8</t>
        </is>
      </c>
      <c r="D431" s="44" t="n"/>
      <c r="E431" s="23" t="inlineStr">
        <is>
          <t>?th=1&amp;psc=1&amp;tag=sdcdeals03-20</t>
        </is>
      </c>
      <c r="F431" s="19">
        <f>HYPERLINK("https://redirect.sdcdeals.com/redirect?destination=https%3A%2F%2Fwww.amazon.com%2Fdp%2FB0CM7SXGF8%3Fth%3D1%26psc%3D1%26tag%3Dsdcdeals03-20", "Amazon Link")</f>
        <v/>
      </c>
      <c r="G431" s="19" t="inlineStr">
        <is>
          <t>https://www.jcpenney.com/s?searchTerm={search_term}</t>
        </is>
      </c>
      <c r="H431" s="23" t="inlineStr">
        <is>
          <t>197609835321</t>
        </is>
      </c>
      <c r="I431" s="19">
        <f>HYPERLINK("https://www.jcpenney.com/s?searchTerm=197609835321", "Retail Link")</f>
        <v/>
      </c>
      <c r="J431" s="23" t="inlineStr">
        <is>
          <t>n/a</t>
        </is>
      </c>
      <c r="K431" s="21" t="inlineStr">
        <is>
          <t>adidas Women's Run 72 Sneaker, Off White/Blue/Halo Ivory, 5</t>
        </is>
      </c>
      <c r="L431" s="24" t="n"/>
      <c r="M431" s="24" t="n">
        <v>69.95</v>
      </c>
      <c r="N431" s="24" t="n"/>
      <c r="O431" s="24">
        <f>V431-M431</f>
        <v/>
      </c>
      <c r="P431" s="25">
        <f>N431/L431</f>
        <v/>
      </c>
      <c r="Q431" s="23" t="n">
        <v>22531</v>
      </c>
      <c r="R431" s="23" t="n"/>
      <c r="S431" s="26" t="n">
        <v>2.1605276</v>
      </c>
      <c r="T431" s="24" t="n">
        <v>69.95</v>
      </c>
      <c r="U431" s="24" t="n">
        <v>69.95</v>
      </c>
      <c r="V431" s="24" t="n">
        <v>69.95</v>
      </c>
      <c r="W431" s="26" t="inlineStr">
        <is>
          <t>adidas Run 72 Womens Sneakers</t>
        </is>
      </c>
      <c r="X431" s="23" t="n">
        <v>1</v>
      </c>
      <c r="Y431" s="18">
        <f>AC431-AB431</f>
        <v/>
      </c>
      <c r="Z431" s="27" t="n">
        <v>28</v>
      </c>
      <c r="AA431" s="27" t="n">
        <v>64</v>
      </c>
      <c r="AB431" s="27" t="n">
        <v>0</v>
      </c>
      <c r="AC431" s="27" t="n">
        <v>27</v>
      </c>
      <c r="AD431" s="1" t="inlineStr">
        <is>
          <t>IH8602</t>
        </is>
      </c>
      <c r="AE431" s="1" t="inlineStr">
        <is>
          <t>Off White/Blue/Halo Ivory</t>
        </is>
      </c>
      <c r="AF431" s="4" t="n">
        <v>10.49</v>
      </c>
      <c r="AG431" s="4" t="n">
        <v>6.61</v>
      </c>
    </row>
    <row r="432" ht="47.25" customHeight="1">
      <c r="A432" s="18" t="inlineStr">
        <is>
          <t>197609835307</t>
        </is>
      </c>
      <c r="B432" s="19" t="inlineStr">
        <is>
          <t>https://www.amazon.com/dp/</t>
        </is>
      </c>
      <c r="C432" s="20" t="inlineStr">
        <is>
          <t>B0CM86DHSJ</t>
        </is>
      </c>
      <c r="D432" s="44" t="n"/>
      <c r="E432" s="23" t="inlineStr">
        <is>
          <t>?th=1&amp;psc=1&amp;tag=sdcdeals03-20</t>
        </is>
      </c>
      <c r="F432" s="19">
        <f>HYPERLINK("https://redirect.sdcdeals.com/redirect?destination=https%3A%2F%2Fwww.amazon.com%2Fdp%2FB0CM86DHSJ%3Fth%3D1%26psc%3D1%26tag%3Dsdcdeals03-20", "Amazon Link")</f>
        <v/>
      </c>
      <c r="G432" s="19" t="inlineStr">
        <is>
          <t>https://www.jcpenney.com/s?searchTerm={search_term}</t>
        </is>
      </c>
      <c r="H432" s="23" t="inlineStr">
        <is>
          <t>197609835307</t>
        </is>
      </c>
      <c r="I432" s="19">
        <f>HYPERLINK("https://www.jcpenney.com/s?searchTerm=197609835307", "Retail Link")</f>
        <v/>
      </c>
      <c r="J432" s="23" t="inlineStr">
        <is>
          <t>n/a</t>
        </is>
      </c>
      <c r="K432" s="21" t="inlineStr">
        <is>
          <t>adidas Women's Run 72 Sneaker, Off White/Blue/Halo Ivory, 5.5</t>
        </is>
      </c>
      <c r="L432" s="24" t="n"/>
      <c r="M432" s="24" t="n">
        <v>69.95</v>
      </c>
      <c r="N432" s="24" t="n"/>
      <c r="O432" s="24">
        <f>V432-M432</f>
        <v/>
      </c>
      <c r="P432" s="25">
        <f>N432/L432</f>
        <v/>
      </c>
      <c r="Q432" s="23" t="n">
        <v>22793</v>
      </c>
      <c r="R432" s="23" t="n"/>
      <c r="S432" s="26" t="n">
        <v>2.20021076</v>
      </c>
      <c r="T432" s="24" t="n">
        <v>69.95</v>
      </c>
      <c r="U432" s="24" t="n">
        <v>71.05</v>
      </c>
      <c r="V432" s="24" t="n">
        <v>70.73999999999999</v>
      </c>
      <c r="W432" s="26" t="inlineStr">
        <is>
          <t>adidas Run 72 Womens Sneakers</t>
        </is>
      </c>
      <c r="X432" s="23" t="n">
        <v>2</v>
      </c>
      <c r="Y432" s="18">
        <f>AC432-AB432</f>
        <v/>
      </c>
      <c r="Z432" s="27" t="n">
        <v>29</v>
      </c>
      <c r="AA432" s="27" t="n">
        <v>67</v>
      </c>
      <c r="AB432" s="27" t="n">
        <v>0</v>
      </c>
      <c r="AC432" s="27" t="n">
        <v>27</v>
      </c>
      <c r="AD432" s="1" t="inlineStr">
        <is>
          <t>IH8602</t>
        </is>
      </c>
      <c r="AE432" s="1" t="inlineStr">
        <is>
          <t>Off White/Blue/Halo Ivory</t>
        </is>
      </c>
      <c r="AF432" s="4" t="n">
        <v>10.49</v>
      </c>
      <c r="AG432" s="4" t="n">
        <v>7.03</v>
      </c>
    </row>
    <row r="433" ht="47.25" customHeight="1">
      <c r="A433" s="18" t="inlineStr">
        <is>
          <t>197609835253</t>
        </is>
      </c>
      <c r="B433" s="19" t="inlineStr">
        <is>
          <t>https://www.amazon.com/dp/</t>
        </is>
      </c>
      <c r="C433" s="20" t="inlineStr">
        <is>
          <t>B0CM886LCD</t>
        </is>
      </c>
      <c r="D433" s="44" t="n"/>
      <c r="E433" s="23" t="inlineStr">
        <is>
          <t>?th=1&amp;psc=1&amp;tag=sdcdeals03-20</t>
        </is>
      </c>
      <c r="F433" s="19">
        <f>HYPERLINK("https://redirect.sdcdeals.com/redirect?destination=https%3A%2F%2Fwww.amazon.com%2Fdp%2FB0CM886LCD%3Fth%3D1%26psc%3D1%26tag%3Dsdcdeals03-20", "Amazon Link")</f>
        <v/>
      </c>
      <c r="G433" s="19" t="inlineStr">
        <is>
          <t>https://www.jcpenney.com/s?searchTerm={search_term}</t>
        </is>
      </c>
      <c r="H433" s="23" t="inlineStr">
        <is>
          <t>197609835253</t>
        </is>
      </c>
      <c r="I433" s="19">
        <f>HYPERLINK("https://www.jcpenney.com/s?searchTerm=197609835253", "Retail Link")</f>
        <v/>
      </c>
      <c r="J433" s="23" t="inlineStr">
        <is>
          <t>n/a</t>
        </is>
      </c>
      <c r="K433" s="21" t="inlineStr">
        <is>
          <t>adidas Women's Run 72 Sneaker, Off White/Blue/Halo Ivory, 6</t>
        </is>
      </c>
      <c r="L433" s="24" t="n"/>
      <c r="M433" s="24" t="n">
        <v>70.03</v>
      </c>
      <c r="N433" s="24" t="n"/>
      <c r="O433" s="24">
        <f>V433-M433</f>
        <v/>
      </c>
      <c r="P433" s="25">
        <f>N433/L433</f>
        <v/>
      </c>
      <c r="Q433" s="23" t="n">
        <v>22060</v>
      </c>
      <c r="R433" s="23" t="n"/>
      <c r="S433" s="26" t="n">
        <v>2.25091702</v>
      </c>
      <c r="T433" s="24" t="n">
        <v>69.95</v>
      </c>
      <c r="U433" s="24" t="n">
        <v>67.51000000000001</v>
      </c>
      <c r="V433" s="24" t="n">
        <v>68.15000000000001</v>
      </c>
      <c r="W433" s="26" t="inlineStr">
        <is>
          <t>adidas Run 72 Womens Sneakers</t>
        </is>
      </c>
      <c r="X433" s="23" t="n">
        <v>6</v>
      </c>
      <c r="Y433" s="18">
        <f>AC433-AB433</f>
        <v/>
      </c>
      <c r="Z433" s="27" t="n">
        <v>40</v>
      </c>
      <c r="AA433" s="27" t="n">
        <v>96</v>
      </c>
      <c r="AB433" s="27" t="n">
        <v>0</v>
      </c>
      <c r="AC433" s="27" t="n">
        <v>27</v>
      </c>
      <c r="AD433" s="1" t="inlineStr">
        <is>
          <t>IH8602</t>
        </is>
      </c>
      <c r="AE433" s="1" t="inlineStr">
        <is>
          <t>Off White/Blue/Halo Ivory</t>
        </is>
      </c>
      <c r="AF433" s="4" t="n">
        <v>10.5</v>
      </c>
      <c r="AG433" s="4" t="n">
        <v>6.61</v>
      </c>
    </row>
    <row r="434" ht="47.25" customHeight="1">
      <c r="A434" s="18" t="inlineStr">
        <is>
          <t>197609835338</t>
        </is>
      </c>
      <c r="B434" s="19" t="inlineStr">
        <is>
          <t>https://www.amazon.com/dp/</t>
        </is>
      </c>
      <c r="C434" s="20" t="inlineStr">
        <is>
          <t>B0CM7Y6K9B</t>
        </is>
      </c>
      <c r="D434" s="44" t="n"/>
      <c r="E434" s="23" t="inlineStr">
        <is>
          <t>?th=1&amp;psc=1&amp;tag=sdcdeals03-20</t>
        </is>
      </c>
      <c r="F434" s="19">
        <f>HYPERLINK("https://redirect.sdcdeals.com/redirect?destination=https%3A%2F%2Fwww.amazon.com%2Fdp%2FB0CM7Y6K9B%3Fth%3D1%26psc%3D1%26tag%3Dsdcdeals03-20", "Amazon Link")</f>
        <v/>
      </c>
      <c r="G434" s="19" t="inlineStr">
        <is>
          <t>https://www.jcpenney.com/s?searchTerm={search_term}</t>
        </is>
      </c>
      <c r="H434" s="23" t="inlineStr">
        <is>
          <t>197609835338</t>
        </is>
      </c>
      <c r="I434" s="19">
        <f>HYPERLINK("https://www.jcpenney.com/s?searchTerm=197609835338", "Retail Link")</f>
        <v/>
      </c>
      <c r="J434" s="23" t="inlineStr">
        <is>
          <t>n/a</t>
        </is>
      </c>
      <c r="K434" s="21" t="inlineStr">
        <is>
          <t>adidas Women's Run 72 Sneaker, Off White/Blue/Halo Ivory, 6.5</t>
        </is>
      </c>
      <c r="L434" s="24" t="n"/>
      <c r="M434" s="24" t="n">
        <v>61.47</v>
      </c>
      <c r="N434" s="24" t="n"/>
      <c r="O434" s="24">
        <f>V434-M434</f>
        <v/>
      </c>
      <c r="P434" s="25">
        <f>N434/L434</f>
        <v/>
      </c>
      <c r="Q434" s="23" t="n">
        <v>22531</v>
      </c>
      <c r="R434" s="23" t="n"/>
      <c r="S434" s="26" t="n">
        <v>2.2707586</v>
      </c>
      <c r="T434" s="24" t="n">
        <v>61.42</v>
      </c>
      <c r="U434" s="24" t="n">
        <v>66.34</v>
      </c>
      <c r="V434" s="24" t="n">
        <v>67.3</v>
      </c>
      <c r="W434" s="26" t="inlineStr">
        <is>
          <t>adidas Run 72 Womens Sneakers</t>
        </is>
      </c>
      <c r="X434" s="23" t="n">
        <v>7</v>
      </c>
      <c r="Y434" s="18">
        <f>AC434-AB434</f>
        <v/>
      </c>
      <c r="Z434" s="27" t="n">
        <v>45</v>
      </c>
      <c r="AA434" s="27" t="n">
        <v>104</v>
      </c>
      <c r="AB434" s="27" t="n">
        <v>0</v>
      </c>
      <c r="AC434" s="27" t="n">
        <v>27</v>
      </c>
      <c r="AD434" s="1" t="inlineStr">
        <is>
          <t>IH8602</t>
        </is>
      </c>
      <c r="AE434" s="1" t="inlineStr">
        <is>
          <t>Off White/Blue/Halo Ivory</t>
        </is>
      </c>
      <c r="AF434" s="4" t="n">
        <v>9.220000000000001</v>
      </c>
      <c r="AG434" s="4" t="n">
        <v>6.61</v>
      </c>
    </row>
    <row r="435" ht="47.25" customHeight="1">
      <c r="A435" s="18" t="inlineStr">
        <is>
          <t>197609835284</t>
        </is>
      </c>
      <c r="B435" s="19" t="inlineStr">
        <is>
          <t>https://www.amazon.com/dp/</t>
        </is>
      </c>
      <c r="C435" s="20" t="inlineStr">
        <is>
          <t>B0CM7LQ5L2</t>
        </is>
      </c>
      <c r="D435" s="44" t="n"/>
      <c r="E435" s="23" t="inlineStr">
        <is>
          <t>?th=1&amp;psc=1&amp;tag=sdcdeals03-20</t>
        </is>
      </c>
      <c r="F435" s="19">
        <f>HYPERLINK("https://redirect.sdcdeals.com/redirect?destination=https%3A%2F%2Fwww.amazon.com%2Fdp%2FB0CM7LQ5L2%3Fth%3D1%26psc%3D1%26tag%3Dsdcdeals03-20", "Amazon Link")</f>
        <v/>
      </c>
      <c r="G435" s="19" t="inlineStr">
        <is>
          <t>https://www.jcpenney.com/s?searchTerm={search_term}</t>
        </is>
      </c>
      <c r="H435" s="23" t="inlineStr">
        <is>
          <t>197609835284</t>
        </is>
      </c>
      <c r="I435" s="19">
        <f>HYPERLINK("https://www.jcpenney.com/s?searchTerm=197609835284", "Retail Link")</f>
        <v/>
      </c>
      <c r="J435" s="23" t="inlineStr">
        <is>
          <t>n/a</t>
        </is>
      </c>
      <c r="K435" s="21" t="inlineStr">
        <is>
          <t>adidas Women's Run 72 Sneaker, Off White/Blue/Halo Ivory, 7</t>
        </is>
      </c>
      <c r="L435" s="24" t="n"/>
      <c r="M435" s="24" t="n">
        <v>59.74</v>
      </c>
      <c r="N435" s="24" t="n"/>
      <c r="O435" s="24">
        <f>V435-M435</f>
        <v/>
      </c>
      <c r="P435" s="25">
        <f>N435/L435</f>
        <v/>
      </c>
      <c r="Q435" s="23" t="n">
        <v>22531</v>
      </c>
      <c r="R435" s="23" t="n"/>
      <c r="S435" s="26" t="n">
        <v>2.33910182</v>
      </c>
      <c r="T435" s="24" t="n">
        <v>59.74</v>
      </c>
      <c r="U435" s="24" t="n">
        <v>66.17</v>
      </c>
      <c r="V435" s="24" t="n">
        <v>67.5</v>
      </c>
      <c r="W435" s="26" t="inlineStr">
        <is>
          <t>adidas Run 72 Womens Sneakers</t>
        </is>
      </c>
      <c r="X435" s="23" t="n">
        <v>6</v>
      </c>
      <c r="Y435" s="18">
        <f>AC435-AB435</f>
        <v/>
      </c>
      <c r="Z435" s="27" t="n">
        <v>35</v>
      </c>
      <c r="AA435" s="27" t="n">
        <v>109</v>
      </c>
      <c r="AB435" s="27" t="n">
        <v>0</v>
      </c>
      <c r="AC435" s="27" t="n">
        <v>27</v>
      </c>
      <c r="AD435" s="1" t="inlineStr">
        <is>
          <t>IH8602</t>
        </is>
      </c>
      <c r="AE435" s="1" t="inlineStr">
        <is>
          <t>Off White/Blue/Halo Ivory</t>
        </is>
      </c>
      <c r="AF435" s="4" t="n">
        <v>8.970000000000001</v>
      </c>
      <c r="AG435" s="4" t="n">
        <v>7.62</v>
      </c>
    </row>
    <row r="436" ht="47.25" customHeight="1">
      <c r="A436" s="18" t="inlineStr">
        <is>
          <t>197609835260</t>
        </is>
      </c>
      <c r="B436" s="19" t="inlineStr">
        <is>
          <t>https://www.amazon.com/dp/</t>
        </is>
      </c>
      <c r="C436" s="20" t="inlineStr">
        <is>
          <t>B0CM7YW8QZ</t>
        </is>
      </c>
      <c r="D436" s="44" t="n"/>
      <c r="E436" s="23" t="inlineStr">
        <is>
          <t>?th=1&amp;psc=1&amp;tag=sdcdeals03-20</t>
        </is>
      </c>
      <c r="F436" s="19">
        <f>HYPERLINK("https://redirect.sdcdeals.com/redirect?destination=https%3A%2F%2Fwww.amazon.com%2Fdp%2FB0CM7YW8QZ%3Fth%3D1%26psc%3D1%26tag%3Dsdcdeals03-20", "Amazon Link")</f>
        <v/>
      </c>
      <c r="G436" s="19" t="inlineStr">
        <is>
          <t>https://www.jcpenney.com/s?searchTerm={search_term}</t>
        </is>
      </c>
      <c r="H436" s="23" t="inlineStr">
        <is>
          <t>197609835260</t>
        </is>
      </c>
      <c r="I436" s="19">
        <f>HYPERLINK("https://www.jcpenney.com/s?searchTerm=197609835260", "Retail Link")</f>
        <v/>
      </c>
      <c r="J436" s="23" t="inlineStr">
        <is>
          <t>n/a</t>
        </is>
      </c>
      <c r="K436" s="21" t="inlineStr">
        <is>
          <t>adidas Women's Run 72 Sneaker, Off White/Blue/Halo Ivory, 7.5</t>
        </is>
      </c>
      <c r="L436" s="24" t="n"/>
      <c r="M436" s="24" t="n">
        <v>60.57</v>
      </c>
      <c r="N436" s="24" t="n"/>
      <c r="O436" s="24">
        <f>V436-M436</f>
        <v/>
      </c>
      <c r="P436" s="25">
        <f>N436/L436</f>
        <v/>
      </c>
      <c r="Q436" s="23" t="n">
        <v>22531</v>
      </c>
      <c r="R436" s="23" t="n"/>
      <c r="S436" s="26" t="n">
        <v>2.40083118</v>
      </c>
      <c r="T436" s="24" t="n">
        <v>60.57</v>
      </c>
      <c r="U436" s="24" t="n">
        <v>67.06</v>
      </c>
      <c r="V436" s="24" t="n">
        <v>67.88</v>
      </c>
      <c r="W436" s="26" t="inlineStr">
        <is>
          <t>adidas Run 72 Womens Sneakers</t>
        </is>
      </c>
      <c r="X436" s="23" t="n">
        <v>6</v>
      </c>
      <c r="Y436" s="18">
        <f>AC436-AB436</f>
        <v/>
      </c>
      <c r="Z436" s="27" t="n">
        <v>70</v>
      </c>
      <c r="AA436" s="27" t="n">
        <v>143</v>
      </c>
      <c r="AB436" s="27" t="n">
        <v>0</v>
      </c>
      <c r="AC436" s="27" t="n">
        <v>28</v>
      </c>
      <c r="AD436" s="1" t="inlineStr">
        <is>
          <t>IH8602</t>
        </is>
      </c>
      <c r="AE436" s="1" t="inlineStr">
        <is>
          <t>Off White/Blue/Halo Ivory</t>
        </is>
      </c>
      <c r="AF436" s="4" t="n">
        <v>9.08</v>
      </c>
      <c r="AG436" s="4" t="n">
        <v>7.62</v>
      </c>
    </row>
    <row r="437" ht="47.25" customHeight="1">
      <c r="A437" s="18" t="inlineStr">
        <is>
          <t>197609838995</t>
        </is>
      </c>
      <c r="B437" s="19" t="inlineStr">
        <is>
          <t>https://www.amazon.com/dp/</t>
        </is>
      </c>
      <c r="C437" s="20" t="inlineStr">
        <is>
          <t>B0CM7VHQSC</t>
        </is>
      </c>
      <c r="D437" s="44" t="n"/>
      <c r="E437" s="23" t="inlineStr">
        <is>
          <t>?th=1&amp;psc=1&amp;tag=sdcdeals03-20</t>
        </is>
      </c>
      <c r="F437" s="19">
        <f>HYPERLINK("https://redirect.sdcdeals.com/redirect?destination=https%3A%2F%2Fwww.amazon.com%2Fdp%2FB0CM7VHQSC%3Fth%3D1%26psc%3D1%26tag%3Dsdcdeals03-20", "Amazon Link")</f>
        <v/>
      </c>
      <c r="G437" s="19" t="inlineStr">
        <is>
          <t>https://www.jcpenney.com/s?searchTerm={search_term}</t>
        </is>
      </c>
      <c r="H437" s="23" t="inlineStr">
        <is>
          <t>197609838995</t>
        </is>
      </c>
      <c r="I437" s="19">
        <f>HYPERLINK("https://www.jcpenney.com/s?searchTerm=197609838995", "Retail Link")</f>
        <v/>
      </c>
      <c r="J437" s="23" t="inlineStr">
        <is>
          <t>n/a</t>
        </is>
      </c>
      <c r="K437" s="21" t="inlineStr">
        <is>
          <t>adidas Women's Run 72 Sneaker, Off White/Blue/Halo Ivory, 8</t>
        </is>
      </c>
      <c r="L437" s="24" t="n"/>
      <c r="M437" s="24" t="n">
        <v>69.95</v>
      </c>
      <c r="N437" s="24" t="n"/>
      <c r="O437" s="24">
        <f>V437-M437</f>
        <v/>
      </c>
      <c r="P437" s="25">
        <f>N437/L437</f>
        <v/>
      </c>
      <c r="Q437" s="23" t="n">
        <v>22531</v>
      </c>
      <c r="R437" s="23" t="n"/>
      <c r="S437" s="26" t="n">
        <v>2.44933282</v>
      </c>
      <c r="T437" s="24" t="n">
        <v>69.95</v>
      </c>
      <c r="U437" s="24" t="n">
        <v>66.14</v>
      </c>
      <c r="V437" s="24" t="n">
        <v>67.58</v>
      </c>
      <c r="W437" s="26" t="inlineStr">
        <is>
          <t>adidas Run 72 Womens Sneakers</t>
        </is>
      </c>
      <c r="X437" s="23" t="n">
        <v>8</v>
      </c>
      <c r="Y437" s="18">
        <f>AC437-AB437</f>
        <v/>
      </c>
      <c r="Z437" s="27" t="n">
        <v>60</v>
      </c>
      <c r="AA437" s="27" t="n">
        <v>124</v>
      </c>
      <c r="AB437" s="27" t="n">
        <v>0</v>
      </c>
      <c r="AC437" s="27" t="n">
        <v>28</v>
      </c>
      <c r="AD437" s="1" t="inlineStr">
        <is>
          <t>IH8602</t>
        </is>
      </c>
      <c r="AE437" s="1" t="inlineStr">
        <is>
          <t>Off White/Blue/Halo Ivory</t>
        </is>
      </c>
      <c r="AF437" s="4" t="n">
        <v>10.49</v>
      </c>
      <c r="AG437" s="4" t="n">
        <v>7.62</v>
      </c>
    </row>
    <row r="438" ht="47.25" customHeight="1">
      <c r="A438" s="18" t="inlineStr">
        <is>
          <t>197609838964</t>
        </is>
      </c>
      <c r="B438" s="19" t="inlineStr">
        <is>
          <t>https://www.amazon.com/dp/</t>
        </is>
      </c>
      <c r="C438" s="20" t="inlineStr">
        <is>
          <t>B0CM84GBVD</t>
        </is>
      </c>
      <c r="D438" s="44" t="n"/>
      <c r="E438" s="23" t="inlineStr">
        <is>
          <t>?th=1&amp;psc=1&amp;tag=sdcdeals03-20</t>
        </is>
      </c>
      <c r="F438" s="19">
        <f>HYPERLINK("https://redirect.sdcdeals.com/redirect?destination=https%3A%2F%2Fwww.amazon.com%2Fdp%2FB0CM84GBVD%3Fth%3D1%26psc%3D1%26tag%3Dsdcdeals03-20", "Amazon Link")</f>
        <v/>
      </c>
      <c r="G438" s="19" t="inlineStr">
        <is>
          <t>https://www.jcpenney.com/s?searchTerm={search_term}</t>
        </is>
      </c>
      <c r="H438" s="23" t="inlineStr">
        <is>
          <t>197609838964</t>
        </is>
      </c>
      <c r="I438" s="19">
        <f>HYPERLINK("https://www.jcpenney.com/s?searchTerm=197609838964", "Retail Link")</f>
        <v/>
      </c>
      <c r="J438" s="23" t="inlineStr">
        <is>
          <t>n/a</t>
        </is>
      </c>
      <c r="K438" s="21" t="inlineStr">
        <is>
          <t>adidas Women's Run 72 Sneaker, Off White/Blue/Halo Ivory, 8.5</t>
        </is>
      </c>
      <c r="L438" s="24" t="n"/>
      <c r="M438" s="24" t="n">
        <v>69.95</v>
      </c>
      <c r="N438" s="24" t="n"/>
      <c r="O438" s="24">
        <f>V438-M438</f>
        <v/>
      </c>
      <c r="P438" s="25">
        <f>N438/L438</f>
        <v/>
      </c>
      <c r="Q438" s="23" t="n">
        <v>22531</v>
      </c>
      <c r="R438" s="23" t="n"/>
      <c r="S438" s="26" t="n">
        <v>1.7196036</v>
      </c>
      <c r="T438" s="24" t="n">
        <v>69.95</v>
      </c>
      <c r="U438" s="24" t="n">
        <v>66.7</v>
      </c>
      <c r="V438" s="24" t="n">
        <v>67.56999999999999</v>
      </c>
      <c r="W438" s="26" t="inlineStr">
        <is>
          <t>adidas Run 72 Womens Sneakers</t>
        </is>
      </c>
      <c r="X438" s="23" t="n">
        <v>6</v>
      </c>
      <c r="Y438" s="18">
        <f>AC438-AB438</f>
        <v/>
      </c>
      <c r="Z438" s="27" t="n">
        <v>47</v>
      </c>
      <c r="AA438" s="27" t="n">
        <v>105</v>
      </c>
      <c r="AB438" s="27" t="n">
        <v>0</v>
      </c>
      <c r="AC438" s="27" t="n">
        <v>27</v>
      </c>
      <c r="AD438" s="1" t="inlineStr">
        <is>
          <t>IH8602</t>
        </is>
      </c>
      <c r="AE438" s="1" t="inlineStr">
        <is>
          <t>Off White/Blue/Halo Ivory</t>
        </is>
      </c>
      <c r="AF438" s="4" t="n">
        <v>10.49</v>
      </c>
      <c r="AG438" s="4" t="n">
        <v>7.78</v>
      </c>
    </row>
    <row r="439" ht="47.25" customHeight="1">
      <c r="A439" s="18" t="inlineStr">
        <is>
          <t>197609835314</t>
        </is>
      </c>
      <c r="B439" s="19" t="inlineStr">
        <is>
          <t>https://www.amazon.com/dp/</t>
        </is>
      </c>
      <c r="C439" s="20" t="inlineStr">
        <is>
          <t>B0CM7KQ235</t>
        </is>
      </c>
      <c r="D439" s="44" t="n"/>
      <c r="E439" s="23" t="inlineStr">
        <is>
          <t>?th=1&amp;psc=1&amp;tag=sdcdeals03-20</t>
        </is>
      </c>
      <c r="F439" s="19">
        <f>HYPERLINK("https://redirect.sdcdeals.com/redirect?destination=https%3A%2F%2Fwww.amazon.com%2Fdp%2FB0CM7KQ235%3Fth%3D1%26psc%3D1%26tag%3Dsdcdeals03-20", "Amazon Link")</f>
        <v/>
      </c>
      <c r="G439" s="19" t="inlineStr">
        <is>
          <t>https://www.jcpenney.com/s?searchTerm={search_term}</t>
        </is>
      </c>
      <c r="H439" s="23" t="inlineStr">
        <is>
          <t>197609835314</t>
        </is>
      </c>
      <c r="I439" s="19">
        <f>HYPERLINK("https://www.jcpenney.com/s?searchTerm=197609835314", "Retail Link")</f>
        <v/>
      </c>
      <c r="J439" s="23" t="inlineStr">
        <is>
          <t>n/a</t>
        </is>
      </c>
      <c r="K439" s="21" t="inlineStr">
        <is>
          <t>adidas Women's Run 72 Sneaker, Off White/Blue/Halo Ivory, 9</t>
        </is>
      </c>
      <c r="L439" s="24" t="n"/>
      <c r="M439" s="24" t="n">
        <v>69.95</v>
      </c>
      <c r="N439" s="24" t="n"/>
      <c r="O439" s="24">
        <f>V439-M439</f>
        <v/>
      </c>
      <c r="P439" s="25">
        <f>N439/L439</f>
        <v/>
      </c>
      <c r="Q439" s="23" t="n">
        <v>22060</v>
      </c>
      <c r="R439" s="23" t="n"/>
      <c r="S439" s="26" t="n">
        <v>2.53972224</v>
      </c>
      <c r="T439" s="24" t="n">
        <v>69.95</v>
      </c>
      <c r="U439" s="24" t="n">
        <v>70.23999999999999</v>
      </c>
      <c r="V439" s="24" t="n">
        <v>70.16</v>
      </c>
      <c r="W439" s="26" t="inlineStr">
        <is>
          <t>adidas Run 72 Womens Sneakers</t>
        </is>
      </c>
      <c r="X439" s="23" t="n">
        <v>5</v>
      </c>
      <c r="Y439" s="18">
        <f>AC439-AB439</f>
        <v/>
      </c>
      <c r="Z439" s="27" t="n">
        <v>45</v>
      </c>
      <c r="AA439" s="27" t="n">
        <v>107</v>
      </c>
      <c r="AB439" s="27" t="n">
        <v>1</v>
      </c>
      <c r="AC439" s="27" t="n">
        <v>27</v>
      </c>
      <c r="AD439" s="1" t="inlineStr">
        <is>
          <t>IH8602</t>
        </is>
      </c>
      <c r="AE439" s="1" t="inlineStr">
        <is>
          <t>Off White/Blue/Halo Ivory</t>
        </is>
      </c>
      <c r="AF439" s="4" t="n">
        <v>10.49</v>
      </c>
      <c r="AG439" s="4" t="n">
        <v>7.7</v>
      </c>
    </row>
    <row r="440" ht="47.25" customHeight="1">
      <c r="A440" s="18" t="inlineStr">
        <is>
          <t>197609835277</t>
        </is>
      </c>
      <c r="B440" s="19" t="inlineStr">
        <is>
          <t>https://www.amazon.com/dp/</t>
        </is>
      </c>
      <c r="C440" s="20" t="inlineStr">
        <is>
          <t>B0CM883N7T</t>
        </is>
      </c>
      <c r="D440" s="44" t="n"/>
      <c r="E440" s="23" t="inlineStr">
        <is>
          <t>?th=1&amp;psc=1&amp;tag=sdcdeals03-20</t>
        </is>
      </c>
      <c r="F440" s="19">
        <f>HYPERLINK("https://redirect.sdcdeals.com/redirect?destination=https%3A%2F%2Fwww.amazon.com%2Fdp%2FB0CM883N7T%3Fth%3D1%26psc%3D1%26tag%3Dsdcdeals03-20", "Amazon Link")</f>
        <v/>
      </c>
      <c r="G440" s="19" t="inlineStr">
        <is>
          <t>https://www.jcpenney.com/s?searchTerm={search_term}</t>
        </is>
      </c>
      <c r="H440" s="23" t="inlineStr">
        <is>
          <t>197609835277</t>
        </is>
      </c>
      <c r="I440" s="19">
        <f>HYPERLINK("https://www.jcpenney.com/s?searchTerm=197609835277", "Retail Link")</f>
        <v/>
      </c>
      <c r="J440" s="23" t="inlineStr">
        <is>
          <t>n/a</t>
        </is>
      </c>
      <c r="K440" s="21" t="inlineStr">
        <is>
          <t>adidas Women's Run 72 Sneaker, Off White/Blue/Halo Ivory, 9.5</t>
        </is>
      </c>
      <c r="L440" s="24" t="n"/>
      <c r="M440" s="24" t="n">
        <v>65.23999999999999</v>
      </c>
      <c r="N440" s="24" t="n"/>
      <c r="O440" s="24">
        <f>V440-M440</f>
        <v/>
      </c>
      <c r="P440" s="25">
        <f>N440/L440</f>
        <v/>
      </c>
      <c r="Q440" s="23" t="n">
        <v>22531</v>
      </c>
      <c r="R440" s="23" t="n"/>
      <c r="S440" s="26" t="n">
        <v>2.5794054</v>
      </c>
      <c r="T440" s="24" t="n">
        <v>65.23999999999999</v>
      </c>
      <c r="U440" s="24" t="n">
        <v>71.31</v>
      </c>
      <c r="V440" s="24" t="n">
        <v>70.89</v>
      </c>
      <c r="W440" s="26" t="inlineStr">
        <is>
          <t>adidas Run 72 Womens Sneakers</t>
        </is>
      </c>
      <c r="X440" s="23" t="n">
        <v>4</v>
      </c>
      <c r="Y440" s="18">
        <f>AC440-AB440</f>
        <v/>
      </c>
      <c r="Z440" s="27" t="n">
        <v>55</v>
      </c>
      <c r="AA440" s="27" t="n">
        <v>125</v>
      </c>
      <c r="AB440" s="27" t="n">
        <v>0</v>
      </c>
      <c r="AC440" s="27" t="n">
        <v>27</v>
      </c>
      <c r="AD440" s="1" t="inlineStr">
        <is>
          <t>IH8602</t>
        </is>
      </c>
      <c r="AE440" s="1" t="inlineStr">
        <is>
          <t>Off White/Blue/Halo Ivory</t>
        </is>
      </c>
      <c r="AF440" s="4" t="n">
        <v>9.789999999999999</v>
      </c>
      <c r="AG440" s="4" t="n">
        <v>7.7</v>
      </c>
    </row>
    <row r="441" ht="47.25" customHeight="1">
      <c r="A441" s="18" t="inlineStr">
        <is>
          <t>197609835291</t>
        </is>
      </c>
      <c r="B441" s="19" t="inlineStr">
        <is>
          <t>https://www.amazon.com/dp/</t>
        </is>
      </c>
      <c r="C441" s="20" t="inlineStr">
        <is>
          <t>B0CM7Y7HC8</t>
        </is>
      </c>
      <c r="D441" s="44" t="n"/>
      <c r="E441" s="23" t="inlineStr">
        <is>
          <t>?th=1&amp;psc=1&amp;tag=sdcdeals03-20</t>
        </is>
      </c>
      <c r="F441" s="19">
        <f>HYPERLINK("https://redirect.sdcdeals.com/redirect?destination=https%3A%2F%2Fwww.amazon.com%2Fdp%2FB0CM7Y7HC8%3Fth%3D1%26psc%3D1%26tag%3Dsdcdeals03-20", "Amazon Link")</f>
        <v/>
      </c>
      <c r="G441" s="19" t="inlineStr">
        <is>
          <t>https://www.jcpenney.com/s?searchTerm={search_term}</t>
        </is>
      </c>
      <c r="H441" s="23" t="inlineStr">
        <is>
          <t>197609835291</t>
        </is>
      </c>
      <c r="I441" s="19">
        <f>HYPERLINK("https://www.jcpenney.com/s?searchTerm=197609835291", "Retail Link")</f>
        <v/>
      </c>
      <c r="J441" s="23" t="inlineStr">
        <is>
          <t>n/a</t>
        </is>
      </c>
      <c r="K441" s="21" t="inlineStr">
        <is>
          <t>adidas Women's Run 72 Sneaker, Off White/Blue/Halo Ivory, 10</t>
        </is>
      </c>
      <c r="L441" s="24" t="n"/>
      <c r="M441" s="24" t="n">
        <v>66.89</v>
      </c>
      <c r="N441" s="24" t="n"/>
      <c r="O441" s="24">
        <f>V441-M441</f>
        <v/>
      </c>
      <c r="P441" s="25">
        <f>N441/L441</f>
        <v/>
      </c>
      <c r="Q441" s="23" t="n">
        <v>22793</v>
      </c>
      <c r="R441" s="23" t="n"/>
      <c r="S441" s="26" t="n">
        <v>2.55956382</v>
      </c>
      <c r="T441" s="24" t="n">
        <v>66.89</v>
      </c>
      <c r="U441" s="24" t="n">
        <v>70.11</v>
      </c>
      <c r="V441" s="24" t="n">
        <v>70.08</v>
      </c>
      <c r="W441" s="26" t="inlineStr">
        <is>
          <t>adidas Run 72 Womens Sneakers</t>
        </is>
      </c>
      <c r="X441" s="23" t="n">
        <v>4</v>
      </c>
      <c r="Y441" s="18">
        <f>AC441-AB441</f>
        <v/>
      </c>
      <c r="Z441" s="27" t="n">
        <v>41</v>
      </c>
      <c r="AA441" s="27" t="n">
        <v>99</v>
      </c>
      <c r="AB441" s="27" t="n">
        <v>0</v>
      </c>
      <c r="AC441" s="27" t="n">
        <v>27</v>
      </c>
      <c r="AD441" s="1" t="inlineStr">
        <is>
          <t>IH8602</t>
        </is>
      </c>
      <c r="AE441" s="1" t="inlineStr">
        <is>
          <t>Off White/Blue/Halo Ivory</t>
        </is>
      </c>
      <c r="AF441" s="4" t="n">
        <v>10.03</v>
      </c>
      <c r="AG441" s="4" t="n">
        <v>7.78</v>
      </c>
    </row>
    <row r="442" ht="47.25" customHeight="1">
      <c r="A442" s="18" t="inlineStr">
        <is>
          <t>197609835352</t>
        </is>
      </c>
      <c r="B442" s="19" t="inlineStr">
        <is>
          <t>https://www.amazon.com/dp/</t>
        </is>
      </c>
      <c r="C442" s="20" t="inlineStr">
        <is>
          <t>B0CM81XST5</t>
        </is>
      </c>
      <c r="D442" s="44" t="n"/>
      <c r="E442" s="23" t="inlineStr">
        <is>
          <t>?th=1&amp;psc=1&amp;tag=sdcdeals03-20</t>
        </is>
      </c>
      <c r="F442" s="19">
        <f>HYPERLINK("https://redirect.sdcdeals.com/redirect?destination=https%3A%2F%2Fwww.amazon.com%2Fdp%2FB0CM81XST5%3Fth%3D1%26psc%3D1%26tag%3Dsdcdeals03-20", "Amazon Link")</f>
        <v/>
      </c>
      <c r="G442" s="19" t="inlineStr">
        <is>
          <t>https://www.jcpenney.com/s?searchTerm={search_term}</t>
        </is>
      </c>
      <c r="H442" s="23" t="inlineStr">
        <is>
          <t>197609835352</t>
        </is>
      </c>
      <c r="I442" s="19">
        <f>HYPERLINK("https://www.jcpenney.com/s?searchTerm=197609835352", "Retail Link")</f>
        <v/>
      </c>
      <c r="J442" s="23" t="inlineStr">
        <is>
          <t>n/a</t>
        </is>
      </c>
      <c r="K442" s="21" t="inlineStr">
        <is>
          <t>adidas Women's Run 72 Sneaker, Off White/Blue/Halo Ivory, 11</t>
        </is>
      </c>
      <c r="L442" s="24" t="n"/>
      <c r="M442" s="24" t="n">
        <v>69.95</v>
      </c>
      <c r="N442" s="24" t="n"/>
      <c r="O442" s="24">
        <f>V442-M442</f>
        <v/>
      </c>
      <c r="P442" s="25">
        <f>N442/L442</f>
        <v/>
      </c>
      <c r="Q442" s="23" t="n">
        <v>20989</v>
      </c>
      <c r="R442" s="23" t="n"/>
      <c r="S442" s="26" t="n">
        <v>1.8298346</v>
      </c>
      <c r="T442" s="24" t="n">
        <v>69.95</v>
      </c>
      <c r="U442" s="24" t="n">
        <v>69.95</v>
      </c>
      <c r="V442" s="24" t="n">
        <v>69.95</v>
      </c>
      <c r="W442" s="26" t="inlineStr">
        <is>
          <t>adidas Run 72 Womens Sneakers</t>
        </is>
      </c>
      <c r="X442" s="23" t="n">
        <v>2</v>
      </c>
      <c r="Y442" s="18">
        <f>AC442-AB442</f>
        <v/>
      </c>
      <c r="Z442" s="27" t="n">
        <v>28</v>
      </c>
      <c r="AA442" s="27" t="n">
        <v>70</v>
      </c>
      <c r="AB442" s="27" t="n">
        <v>0</v>
      </c>
      <c r="AC442" s="27" t="n">
        <v>27</v>
      </c>
      <c r="AD442" s="1" t="inlineStr">
        <is>
          <t>IH8602</t>
        </is>
      </c>
      <c r="AE442" s="1" t="inlineStr">
        <is>
          <t>Off White/Blue/Halo Ivory</t>
        </is>
      </c>
      <c r="AF442" s="4" t="n">
        <v>10.49</v>
      </c>
      <c r="AG442" s="4" t="n">
        <v>7.94</v>
      </c>
    </row>
    <row r="443" ht="47.25" customHeight="1">
      <c r="A443" s="18" t="inlineStr">
        <is>
          <t>197609922205</t>
        </is>
      </c>
      <c r="B443" s="19" t="inlineStr">
        <is>
          <t>https://www.amazon.com/dp/</t>
        </is>
      </c>
      <c r="C443" s="20" t="inlineStr">
        <is>
          <t>B0CM7SN17V</t>
        </is>
      </c>
      <c r="D443" s="44" t="n"/>
      <c r="E443" s="23" t="inlineStr">
        <is>
          <t>?th=1&amp;psc=1&amp;tag=sdcdeals03-20</t>
        </is>
      </c>
      <c r="F443" s="19">
        <f>HYPERLINK("https://redirect.sdcdeals.com/redirect?destination=https%3A%2F%2Fwww.amazon.com%2Fdp%2FB0CM7SN17V%3Fth%3D1%26psc%3D1%26tag%3Dsdcdeals03-20", "Amazon Link")</f>
        <v/>
      </c>
      <c r="G443" s="19" t="inlineStr">
        <is>
          <t>https://www.jcpenney.com/s?searchTerm={search_term}</t>
        </is>
      </c>
      <c r="H443" s="23" t="inlineStr">
        <is>
          <t>197609922205</t>
        </is>
      </c>
      <c r="I443" s="19">
        <f>HYPERLINK("https://www.jcpenney.com/s?searchTerm=197609922205", "Retail Link")</f>
        <v/>
      </c>
      <c r="J443" s="23" t="inlineStr">
        <is>
          <t>n/a</t>
        </is>
      </c>
      <c r="K443" s="21" t="inlineStr">
        <is>
          <t>adidas Women's Run 72 Sneaker, Solid Grey/Matte Silver/Grey, 5</t>
        </is>
      </c>
      <c r="L443" s="24" t="n"/>
      <c r="M443" s="24" t="n">
        <v>69.95</v>
      </c>
      <c r="N443" s="24" t="n"/>
      <c r="O443" s="24">
        <f>V443-M443</f>
        <v/>
      </c>
      <c r="P443" s="25">
        <f>N443/L443</f>
        <v/>
      </c>
      <c r="Q443" s="23" t="n">
        <v>25143</v>
      </c>
      <c r="R443" s="23" t="n"/>
      <c r="S443" s="26" t="n">
        <v>2.1605276</v>
      </c>
      <c r="T443" s="24" t="inlineStr"/>
      <c r="U443" s="24" t="n">
        <v>69.95</v>
      </c>
      <c r="V443" s="24" t="n">
        <v>69.95</v>
      </c>
      <c r="W443" s="26" t="inlineStr">
        <is>
          <t>adidas Run 72 Womens Sneakers</t>
        </is>
      </c>
      <c r="X443" s="23" t="n">
        <v>3</v>
      </c>
      <c r="Y443" s="18">
        <f>AC443-AB443</f>
        <v/>
      </c>
      <c r="Z443" s="27" t="n">
        <v>12</v>
      </c>
      <c r="AA443" s="27" t="n">
        <v>55</v>
      </c>
      <c r="AB443" s="27" t="n">
        <v>0</v>
      </c>
      <c r="AC443" s="27" t="n">
        <v>27</v>
      </c>
      <c r="AD443" s="1" t="inlineStr">
        <is>
          <t>NJG82</t>
        </is>
      </c>
      <c r="AE443" s="1" t="inlineStr">
        <is>
          <t>Solid Grey/Matte Silver/Grey</t>
        </is>
      </c>
      <c r="AF443" s="4" t="inlineStr"/>
      <c r="AG443" s="4" t="n">
        <v>6.61</v>
      </c>
    </row>
    <row r="444" ht="47.25" customHeight="1">
      <c r="A444" s="18" t="inlineStr">
        <is>
          <t>197609922267</t>
        </is>
      </c>
      <c r="B444" s="19" t="inlineStr">
        <is>
          <t>https://www.amazon.com/dp/</t>
        </is>
      </c>
      <c r="C444" s="20" t="inlineStr">
        <is>
          <t>B0CM7TDX4D</t>
        </is>
      </c>
      <c r="D444" s="44" t="n"/>
      <c r="E444" s="23" t="inlineStr">
        <is>
          <t>?th=1&amp;psc=1&amp;tag=sdcdeals03-20</t>
        </is>
      </c>
      <c r="F444" s="19">
        <f>HYPERLINK("https://redirect.sdcdeals.com/redirect?destination=https%3A%2F%2Fwww.amazon.com%2Fdp%2FB0CM7TDX4D%3Fth%3D1%26psc%3D1%26tag%3Dsdcdeals03-20", "Amazon Link")</f>
        <v/>
      </c>
      <c r="G444" s="19" t="inlineStr">
        <is>
          <t>https://www.jcpenney.com/s?searchTerm={search_term}</t>
        </is>
      </c>
      <c r="H444" s="23" t="inlineStr">
        <is>
          <t>197609922267</t>
        </is>
      </c>
      <c r="I444" s="19">
        <f>HYPERLINK("https://www.jcpenney.com/s?searchTerm=197609922267", "Retail Link")</f>
        <v/>
      </c>
      <c r="J444" s="23" t="inlineStr">
        <is>
          <t>n/a</t>
        </is>
      </c>
      <c r="K444" s="21" t="inlineStr">
        <is>
          <t>adidas Women's Run 72 Sneaker, Solid Grey/Matte Silver/Grey, 5.5</t>
        </is>
      </c>
      <c r="L444" s="24" t="n"/>
      <c r="M444" s="24" t="inlineStr"/>
      <c r="N444" s="24" t="n"/>
      <c r="O444" s="24">
        <f>V444-M444</f>
        <v/>
      </c>
      <c r="P444" s="25">
        <f>N444/L444</f>
        <v/>
      </c>
      <c r="Q444" s="23" t="n">
        <v>30052</v>
      </c>
      <c r="R444" s="23" t="n"/>
      <c r="S444" s="26" t="n">
        <v>2.20021076</v>
      </c>
      <c r="T444" s="24" t="inlineStr"/>
      <c r="U444" s="24" t="inlineStr"/>
      <c r="V444" s="24" t="inlineStr"/>
      <c r="W444" s="26" t="inlineStr">
        <is>
          <t>adidas Run 72 Womens Sneakers</t>
        </is>
      </c>
      <c r="X444" s="23" t="n"/>
      <c r="Y444" s="18">
        <f>AC444-AB444</f>
        <v/>
      </c>
      <c r="Z444" s="27" t="n">
        <v>5</v>
      </c>
      <c r="AA444" s="27" t="n">
        <v>19</v>
      </c>
      <c r="AB444" s="27" t="n">
        <v>0</v>
      </c>
      <c r="AC444" s="27" t="n">
        <v>27</v>
      </c>
      <c r="AD444" s="1" t="inlineStr">
        <is>
          <t>NJG82</t>
        </is>
      </c>
      <c r="AE444" s="1" t="inlineStr">
        <is>
          <t>Solid Grey/Matte Silver/Grey</t>
        </is>
      </c>
      <c r="AF444" s="4" t="inlineStr"/>
      <c r="AG444" s="4" t="n">
        <v>7.03</v>
      </c>
    </row>
    <row r="445" ht="47.25" customHeight="1">
      <c r="A445" s="18" t="inlineStr">
        <is>
          <t>197609922281</t>
        </is>
      </c>
      <c r="B445" s="19" t="inlineStr">
        <is>
          <t>https://www.amazon.com/dp/</t>
        </is>
      </c>
      <c r="C445" s="20" t="inlineStr">
        <is>
          <t>B0CM82XLGB</t>
        </is>
      </c>
      <c r="D445" s="44" t="n"/>
      <c r="E445" s="23" t="inlineStr">
        <is>
          <t>?th=1&amp;psc=1&amp;tag=sdcdeals03-20</t>
        </is>
      </c>
      <c r="F445" s="19">
        <f>HYPERLINK("https://redirect.sdcdeals.com/redirect?destination=https%3A%2F%2Fwww.amazon.com%2Fdp%2FB0CM82XLGB%3Fth%3D1%26psc%3D1%26tag%3Dsdcdeals03-20", "Amazon Link")</f>
        <v/>
      </c>
      <c r="G445" s="19" t="inlineStr">
        <is>
          <t>https://www.jcpenney.com/s?searchTerm={search_term}</t>
        </is>
      </c>
      <c r="H445" s="23" t="inlineStr">
        <is>
          <t>197609922281</t>
        </is>
      </c>
      <c r="I445" s="19">
        <f>HYPERLINK("https://www.jcpenney.com/s?searchTerm=197609922281", "Retail Link")</f>
        <v/>
      </c>
      <c r="J445" s="23" t="inlineStr">
        <is>
          <t>n/a</t>
        </is>
      </c>
      <c r="K445" s="21" t="inlineStr">
        <is>
          <t>adidas Women's Run 72 Sneaker, Solid Grey/Matte Silver/Grey, 6</t>
        </is>
      </c>
      <c r="L445" s="24" t="n"/>
      <c r="M445" s="24" t="n">
        <v>78.05</v>
      </c>
      <c r="N445" s="24" t="n"/>
      <c r="O445" s="24">
        <f>V445-M445</f>
        <v/>
      </c>
      <c r="P445" s="25">
        <f>N445/L445</f>
        <v/>
      </c>
      <c r="Q445" s="23" t="n">
        <v>22531</v>
      </c>
      <c r="R445" s="23" t="n"/>
      <c r="S445" s="26" t="n">
        <v>2.25091702</v>
      </c>
      <c r="T445" s="24" t="n">
        <v>78.05</v>
      </c>
      <c r="U445" s="24" t="n">
        <v>69.95</v>
      </c>
      <c r="V445" s="24" t="n">
        <v>69.95</v>
      </c>
      <c r="W445" s="26" t="inlineStr">
        <is>
          <t>adidas Run 72 Womens Sneakers</t>
        </is>
      </c>
      <c r="X445" s="23" t="n">
        <v>3</v>
      </c>
      <c r="Y445" s="18">
        <f>AC445-AB445</f>
        <v/>
      </c>
      <c r="Z445" s="27" t="n">
        <v>39</v>
      </c>
      <c r="AA445" s="27" t="n">
        <v>100</v>
      </c>
      <c r="AB445" s="27" t="n">
        <v>0</v>
      </c>
      <c r="AC445" s="27" t="n">
        <v>27</v>
      </c>
      <c r="AD445" s="1" t="inlineStr">
        <is>
          <t>NJG82</t>
        </is>
      </c>
      <c r="AE445" s="1" t="inlineStr">
        <is>
          <t>Solid Grey/Matte Silver/Grey</t>
        </is>
      </c>
      <c r="AF445" s="4" t="inlineStr"/>
      <c r="AG445" s="4" t="n">
        <v>6.61</v>
      </c>
    </row>
    <row r="446" ht="47.25" customHeight="1">
      <c r="A446" s="18" t="inlineStr">
        <is>
          <t>197609922298</t>
        </is>
      </c>
      <c r="B446" s="19" t="inlineStr">
        <is>
          <t>https://www.amazon.com/dp/</t>
        </is>
      </c>
      <c r="C446" s="20" t="inlineStr">
        <is>
          <t>B0CM84BSN6</t>
        </is>
      </c>
      <c r="D446" s="44" t="n"/>
      <c r="E446" s="23" t="inlineStr">
        <is>
          <t>?th=1&amp;psc=1&amp;tag=sdcdeals03-20</t>
        </is>
      </c>
      <c r="F446" s="19">
        <f>HYPERLINK("https://redirect.sdcdeals.com/redirect?destination=https%3A%2F%2Fwww.amazon.com%2Fdp%2FB0CM84BSN6%3Fth%3D1%26psc%3D1%26tag%3Dsdcdeals03-20", "Amazon Link")</f>
        <v/>
      </c>
      <c r="G446" s="19" t="inlineStr">
        <is>
          <t>https://www.jcpenney.com/s?searchTerm={search_term}</t>
        </is>
      </c>
      <c r="H446" s="23" t="inlineStr">
        <is>
          <t>197609922298</t>
        </is>
      </c>
      <c r="I446" s="19">
        <f>HYPERLINK("https://www.jcpenney.com/s?searchTerm=197609922298", "Retail Link")</f>
        <v/>
      </c>
      <c r="J446" s="23" t="inlineStr">
        <is>
          <t>n/a</t>
        </is>
      </c>
      <c r="K446" s="21" t="inlineStr">
        <is>
          <t>adidas Women's Run 72 Sneaker, Solid Grey/Matte Silver/Grey, 6.5</t>
        </is>
      </c>
      <c r="L446" s="24" t="n"/>
      <c r="M446" s="24" t="n">
        <v>79.8</v>
      </c>
      <c r="N446" s="24" t="n"/>
      <c r="O446" s="24">
        <f>V446-M446</f>
        <v/>
      </c>
      <c r="P446" s="25">
        <f>N446/L446</f>
        <v/>
      </c>
      <c r="Q446" s="23" t="n">
        <v>22060</v>
      </c>
      <c r="R446" s="23" t="n"/>
      <c r="S446" s="26" t="n">
        <v>2.2707586</v>
      </c>
      <c r="T446" s="24" t="n">
        <v>79.8</v>
      </c>
      <c r="U446" s="24" t="n">
        <v>69.84</v>
      </c>
      <c r="V446" s="24" t="n">
        <v>71.62</v>
      </c>
      <c r="W446" s="26" t="inlineStr">
        <is>
          <t>adidas Run 72 Womens Sneakers</t>
        </is>
      </c>
      <c r="X446" s="23" t="n">
        <v>3</v>
      </c>
      <c r="Y446" s="18">
        <f>AC446-AB446</f>
        <v/>
      </c>
      <c r="Z446" s="27" t="n">
        <v>41</v>
      </c>
      <c r="AA446" s="27" t="n">
        <v>99</v>
      </c>
      <c r="AB446" s="27" t="n">
        <v>0</v>
      </c>
      <c r="AC446" s="27" t="n">
        <v>27</v>
      </c>
      <c r="AD446" s="1" t="inlineStr">
        <is>
          <t>NJG82</t>
        </is>
      </c>
      <c r="AE446" s="1" t="inlineStr">
        <is>
          <t>Solid Grey/Matte Silver/Grey</t>
        </is>
      </c>
      <c r="AF446" s="4" t="inlineStr"/>
      <c r="AG446" s="4" t="n">
        <v>6.61</v>
      </c>
    </row>
    <row r="447" ht="47.25" customHeight="1">
      <c r="A447" s="18" t="inlineStr">
        <is>
          <t>197609997807</t>
        </is>
      </c>
      <c r="B447" s="19" t="inlineStr">
        <is>
          <t>https://www.amazon.com/dp/</t>
        </is>
      </c>
      <c r="C447" s="20" t="inlineStr">
        <is>
          <t>B0CM82WXYQ</t>
        </is>
      </c>
      <c r="D447" s="44" t="n"/>
      <c r="E447" s="23" t="inlineStr">
        <is>
          <t>?th=1&amp;psc=1&amp;tag=sdcdeals03-20</t>
        </is>
      </c>
      <c r="F447" s="19">
        <f>HYPERLINK("https://redirect.sdcdeals.com/redirect?destination=https%3A%2F%2Fwww.amazon.com%2Fdp%2FB0CM82WXYQ%3Fth%3D1%26psc%3D1%26tag%3Dsdcdeals03-20", "Amazon Link")</f>
        <v/>
      </c>
      <c r="G447" s="19" t="inlineStr">
        <is>
          <t>https://www.jcpenney.com/s?searchTerm={search_term}</t>
        </is>
      </c>
      <c r="H447" s="23" t="inlineStr">
        <is>
          <t>197609997807</t>
        </is>
      </c>
      <c r="I447" s="19">
        <f>HYPERLINK("https://www.jcpenney.com/s?searchTerm=197609997807", "Retail Link")</f>
        <v/>
      </c>
      <c r="J447" s="23" t="inlineStr">
        <is>
          <t>n/a</t>
        </is>
      </c>
      <c r="K447" s="21" t="inlineStr">
        <is>
          <t>adidas Women's Run 72 Sneaker, Solid Grey/Matte Silver/Grey, 7</t>
        </is>
      </c>
      <c r="L447" s="24" t="n"/>
      <c r="M447" s="24" t="n">
        <v>69.95</v>
      </c>
      <c r="N447" s="24" t="n"/>
      <c r="O447" s="24">
        <f>V447-M447</f>
        <v/>
      </c>
      <c r="P447" s="25">
        <f>N447/L447</f>
        <v/>
      </c>
      <c r="Q447" s="23" t="n">
        <v>22531</v>
      </c>
      <c r="R447" s="23" t="n"/>
      <c r="S447" s="26" t="n">
        <v>1.58953102</v>
      </c>
      <c r="T447" s="24" t="n">
        <v>69.95</v>
      </c>
      <c r="U447" s="24" t="n">
        <v>70.78</v>
      </c>
      <c r="V447" s="24" t="n">
        <v>72.95</v>
      </c>
      <c r="W447" s="26" t="inlineStr">
        <is>
          <t>adidas Run 72 Womens Sneakers</t>
        </is>
      </c>
      <c r="X447" s="23" t="n">
        <v>2</v>
      </c>
      <c r="Y447" s="18">
        <f>AC447-AB447</f>
        <v/>
      </c>
      <c r="Z447" s="27" t="n">
        <v>29</v>
      </c>
      <c r="AA447" s="27" t="n">
        <v>84</v>
      </c>
      <c r="AB447" s="27" t="n">
        <v>0</v>
      </c>
      <c r="AC447" s="27" t="n">
        <v>27</v>
      </c>
      <c r="AD447" s="1" t="inlineStr">
        <is>
          <t>NJG82</t>
        </is>
      </c>
      <c r="AE447" s="1" t="inlineStr">
        <is>
          <t>Solid Grey/Matte Silver/Grey</t>
        </is>
      </c>
      <c r="AF447" s="4" t="n">
        <v>10.49</v>
      </c>
      <c r="AG447" s="4" t="n">
        <v>7.62</v>
      </c>
    </row>
    <row r="448" ht="47.25" customHeight="1">
      <c r="A448" s="18" t="inlineStr">
        <is>
          <t>197609922212</t>
        </is>
      </c>
      <c r="B448" s="19" t="inlineStr">
        <is>
          <t>https://www.amazon.com/dp/</t>
        </is>
      </c>
      <c r="C448" s="20" t="inlineStr">
        <is>
          <t>B0CM7L8T55</t>
        </is>
      </c>
      <c r="D448" s="44" t="n"/>
      <c r="E448" s="23" t="inlineStr">
        <is>
          <t>?th=1&amp;psc=1&amp;tag=sdcdeals03-20</t>
        </is>
      </c>
      <c r="F448" s="19">
        <f>HYPERLINK("https://redirect.sdcdeals.com/redirect?destination=https%3A%2F%2Fwww.amazon.com%2Fdp%2FB0CM7L8T55%3Fth%3D1%26psc%3D1%26tag%3Dsdcdeals03-20", "Amazon Link")</f>
        <v/>
      </c>
      <c r="G448" s="19" t="inlineStr">
        <is>
          <t>https://www.jcpenney.com/s?searchTerm={search_term}</t>
        </is>
      </c>
      <c r="H448" s="23" t="inlineStr">
        <is>
          <t>197609922212</t>
        </is>
      </c>
      <c r="I448" s="19">
        <f>HYPERLINK("https://www.jcpenney.com/s?searchTerm=197609922212", "Retail Link")</f>
        <v/>
      </c>
      <c r="J448" s="23" t="inlineStr">
        <is>
          <t>n/a</t>
        </is>
      </c>
      <c r="K448" s="21" t="inlineStr">
        <is>
          <t>adidas Women's Run 72 Sneaker, Solid Grey/Matte Silver/Grey, 7.5</t>
        </is>
      </c>
      <c r="L448" s="24" t="n"/>
      <c r="M448" s="24" t="n">
        <v>78.05</v>
      </c>
      <c r="N448" s="24" t="n"/>
      <c r="O448" s="24">
        <f>V448-M448</f>
        <v/>
      </c>
      <c r="P448" s="25">
        <f>N448/L448</f>
        <v/>
      </c>
      <c r="Q448" s="23" t="n">
        <v>20847</v>
      </c>
      <c r="R448" s="23" t="n"/>
      <c r="S448" s="26" t="n">
        <v>2.40083118</v>
      </c>
      <c r="T448" s="24" t="n">
        <v>78.05</v>
      </c>
      <c r="U448" s="24" t="n">
        <v>69.95</v>
      </c>
      <c r="V448" s="24" t="n">
        <v>69.95</v>
      </c>
      <c r="W448" s="26" t="inlineStr">
        <is>
          <t>adidas Run 72 Womens Sneakers</t>
        </is>
      </c>
      <c r="X448" s="23" t="n">
        <v>3</v>
      </c>
      <c r="Y448" s="18">
        <f>AC448-AB448</f>
        <v/>
      </c>
      <c r="Z448" s="27" t="n">
        <v>35</v>
      </c>
      <c r="AA448" s="27" t="n">
        <v>92</v>
      </c>
      <c r="AB448" s="27" t="n">
        <v>1</v>
      </c>
      <c r="AC448" s="27" t="n">
        <v>27</v>
      </c>
      <c r="AD448" s="1" t="inlineStr">
        <is>
          <t>NJG82</t>
        </is>
      </c>
      <c r="AE448" s="1" t="inlineStr">
        <is>
          <t>Solid Grey/Matte Silver/Grey</t>
        </is>
      </c>
      <c r="AF448" s="4" t="inlineStr"/>
      <c r="AG448" s="4" t="n">
        <v>7.62</v>
      </c>
    </row>
    <row r="449" ht="47.25" customHeight="1">
      <c r="A449" s="18" t="inlineStr">
        <is>
          <t>197609922243</t>
        </is>
      </c>
      <c r="B449" s="19" t="inlineStr">
        <is>
          <t>https://www.amazon.com/dp/</t>
        </is>
      </c>
      <c r="C449" s="20" t="inlineStr">
        <is>
          <t>B0CM83S16M</t>
        </is>
      </c>
      <c r="D449" s="44" t="n"/>
      <c r="E449" s="23" t="inlineStr">
        <is>
          <t>?th=1&amp;psc=1&amp;tag=sdcdeals03-20</t>
        </is>
      </c>
      <c r="F449" s="19">
        <f>HYPERLINK("https://redirect.sdcdeals.com/redirect?destination=https%3A%2F%2Fwww.amazon.com%2Fdp%2FB0CM83S16M%3Fth%3D1%26psc%3D1%26tag%3Dsdcdeals03-20", "Amazon Link")</f>
        <v/>
      </c>
      <c r="G449" s="19" t="inlineStr">
        <is>
          <t>https://www.jcpenney.com/s?searchTerm={search_term}</t>
        </is>
      </c>
      <c r="H449" s="23" t="inlineStr">
        <is>
          <t>197609922243</t>
        </is>
      </c>
      <c r="I449" s="19">
        <f>HYPERLINK("https://www.jcpenney.com/s?searchTerm=197609922243", "Retail Link")</f>
        <v/>
      </c>
      <c r="J449" s="23" t="inlineStr">
        <is>
          <t>n/a</t>
        </is>
      </c>
      <c r="K449" s="21" t="inlineStr">
        <is>
          <t>adidas Women's Run 72 Sneaker, Solid Grey/Matte Silver/Grey, 8</t>
        </is>
      </c>
      <c r="L449" s="24" t="n"/>
      <c r="M449" s="24" t="n">
        <v>79.8</v>
      </c>
      <c r="N449" s="24" t="n"/>
      <c r="O449" s="24">
        <f>V449-M449</f>
        <v/>
      </c>
      <c r="P449" s="25">
        <f>N449/L449</f>
        <v/>
      </c>
      <c r="Q449" s="23" t="n">
        <v>22060</v>
      </c>
      <c r="R449" s="23" t="n"/>
      <c r="S449" s="26" t="n">
        <v>2.44933282</v>
      </c>
      <c r="T449" s="24" t="n">
        <v>79.8</v>
      </c>
      <c r="U449" s="24" t="n">
        <v>69.95</v>
      </c>
      <c r="V449" s="24" t="n">
        <v>72.28</v>
      </c>
      <c r="W449" s="26" t="inlineStr">
        <is>
          <t>adidas Run 72 Womens Sneakers</t>
        </is>
      </c>
      <c r="X449" s="23" t="n">
        <v>4</v>
      </c>
      <c r="Y449" s="18">
        <f>AC449-AB449</f>
        <v/>
      </c>
      <c r="Z449" s="27" t="n">
        <v>42</v>
      </c>
      <c r="AA449" s="27" t="n">
        <v>103</v>
      </c>
      <c r="AB449" s="27" t="n">
        <v>0</v>
      </c>
      <c r="AC449" s="27" t="n">
        <v>27</v>
      </c>
      <c r="AD449" s="1" t="inlineStr">
        <is>
          <t>NJG82</t>
        </is>
      </c>
      <c r="AE449" s="1" t="inlineStr">
        <is>
          <t>Solid Grey/Matte Silver/Grey</t>
        </is>
      </c>
      <c r="AF449" s="4" t="inlineStr"/>
      <c r="AG449" s="4" t="n">
        <v>7.62</v>
      </c>
    </row>
    <row r="450" ht="47.25" customHeight="1">
      <c r="A450" s="18" t="inlineStr">
        <is>
          <t>197609922229</t>
        </is>
      </c>
      <c r="B450" s="19" t="inlineStr">
        <is>
          <t>https://www.amazon.com/dp/</t>
        </is>
      </c>
      <c r="C450" s="20" t="inlineStr">
        <is>
          <t>B0CM7TN627</t>
        </is>
      </c>
      <c r="D450" s="44" t="n"/>
      <c r="E450" s="23" t="inlineStr">
        <is>
          <t>?th=1&amp;psc=1&amp;tag=sdcdeals03-20</t>
        </is>
      </c>
      <c r="F450" s="19">
        <f>HYPERLINK("https://redirect.sdcdeals.com/redirect?destination=https%3A%2F%2Fwww.amazon.com%2Fdp%2FB0CM7TN627%3Fth%3D1%26psc%3D1%26tag%3Dsdcdeals03-20", "Amazon Link")</f>
        <v/>
      </c>
      <c r="G450" s="19" t="inlineStr">
        <is>
          <t>https://www.jcpenney.com/s?searchTerm={search_term}</t>
        </is>
      </c>
      <c r="H450" s="23" t="inlineStr">
        <is>
          <t>197609922229</t>
        </is>
      </c>
      <c r="I450" s="19">
        <f>HYPERLINK("https://www.jcpenney.com/s?searchTerm=197609922229", "Retail Link")</f>
        <v/>
      </c>
      <c r="J450" s="23" t="inlineStr">
        <is>
          <t>n/a</t>
        </is>
      </c>
      <c r="K450" s="21" t="inlineStr">
        <is>
          <t>adidas Women's Run 72 Sneaker, Solid Grey/Matte Silver/Grey, 8.5</t>
        </is>
      </c>
      <c r="L450" s="24" t="n"/>
      <c r="M450" s="24" t="n">
        <v>78.05</v>
      </c>
      <c r="N450" s="24" t="n"/>
      <c r="O450" s="24">
        <f>V450-M450</f>
        <v/>
      </c>
      <c r="P450" s="25">
        <f>N450/L450</f>
        <v/>
      </c>
      <c r="Q450" s="23" t="n">
        <v>22060</v>
      </c>
      <c r="R450" s="23" t="n"/>
      <c r="S450" s="26" t="n">
        <v>1.64905576</v>
      </c>
      <c r="T450" s="24" t="n">
        <v>78.05</v>
      </c>
      <c r="U450" s="24" t="n">
        <v>69.95</v>
      </c>
      <c r="V450" s="24" t="n">
        <v>71.94</v>
      </c>
      <c r="W450" s="26" t="inlineStr">
        <is>
          <t>adidas Run 72 Womens Sneakers</t>
        </is>
      </c>
      <c r="X450" s="23" t="n">
        <v>5</v>
      </c>
      <c r="Y450" s="18">
        <f>AC450-AB450</f>
        <v/>
      </c>
      <c r="Z450" s="27" t="n">
        <v>40</v>
      </c>
      <c r="AA450" s="27" t="n">
        <v>107</v>
      </c>
      <c r="AB450" s="27" t="n">
        <v>1</v>
      </c>
      <c r="AC450" s="27" t="n">
        <v>28</v>
      </c>
      <c r="AD450" s="1" t="inlineStr">
        <is>
          <t>NJG82</t>
        </is>
      </c>
      <c r="AE450" s="1" t="inlineStr">
        <is>
          <t>Solid Grey/Matte Silver/Grey</t>
        </is>
      </c>
      <c r="AF450" s="4" t="inlineStr"/>
      <c r="AG450" s="4" t="n">
        <v>7.78</v>
      </c>
    </row>
    <row r="451" ht="47.25" customHeight="1">
      <c r="A451" s="18" t="inlineStr">
        <is>
          <t>197609922304</t>
        </is>
      </c>
      <c r="B451" s="19" t="inlineStr">
        <is>
          <t>https://www.amazon.com/dp/</t>
        </is>
      </c>
      <c r="C451" s="20" t="inlineStr">
        <is>
          <t>B0CM82XCZJ</t>
        </is>
      </c>
      <c r="D451" s="44" t="n"/>
      <c r="E451" s="23" t="inlineStr">
        <is>
          <t>?th=1&amp;psc=1&amp;tag=sdcdeals03-20</t>
        </is>
      </c>
      <c r="F451" s="19">
        <f>HYPERLINK("https://redirect.sdcdeals.com/redirect?destination=https%3A%2F%2Fwww.amazon.com%2Fdp%2FB0CM82XCZJ%3Fth%3D1%26psc%3D1%26tag%3Dsdcdeals03-20", "Amazon Link")</f>
        <v/>
      </c>
      <c r="G451" s="19" t="inlineStr">
        <is>
          <t>https://www.jcpenney.com/s?searchTerm={search_term}</t>
        </is>
      </c>
      <c r="H451" s="23" t="inlineStr">
        <is>
          <t>197609922304</t>
        </is>
      </c>
      <c r="I451" s="19">
        <f>HYPERLINK("https://www.jcpenney.com/s?searchTerm=197609922304", "Retail Link")</f>
        <v/>
      </c>
      <c r="J451" s="23" t="inlineStr">
        <is>
          <t>n/a</t>
        </is>
      </c>
      <c r="K451" s="21" t="inlineStr">
        <is>
          <t>adidas Women's Run 72 Sneaker, Solid Grey/Matte Silver/Grey, 9</t>
        </is>
      </c>
      <c r="L451" s="24" t="n"/>
      <c r="M451" s="24" t="n">
        <v>78.05</v>
      </c>
      <c r="N451" s="24" t="n"/>
      <c r="O451" s="24">
        <f>V451-M451</f>
        <v/>
      </c>
      <c r="P451" s="25">
        <f>N451/L451</f>
        <v/>
      </c>
      <c r="Q451" s="23" t="n">
        <v>22531</v>
      </c>
      <c r="R451" s="23" t="n"/>
      <c r="S451" s="26" t="n">
        <v>1.7196036</v>
      </c>
      <c r="T451" s="24" t="n">
        <v>78.05</v>
      </c>
      <c r="U451" s="24" t="n">
        <v>69.95</v>
      </c>
      <c r="V451" s="24" t="n">
        <v>78.83</v>
      </c>
      <c r="W451" s="26" t="inlineStr">
        <is>
          <t>adidas Run 72 Womens Sneakers</t>
        </is>
      </c>
      <c r="X451" s="23" t="n">
        <v>3</v>
      </c>
      <c r="Y451" s="18">
        <f>AC451-AB451</f>
        <v/>
      </c>
      <c r="Z451" s="27" t="n">
        <v>31</v>
      </c>
      <c r="AA451" s="27" t="n">
        <v>91</v>
      </c>
      <c r="AB451" s="27" t="n">
        <v>0</v>
      </c>
      <c r="AC451" s="27" t="n">
        <v>27</v>
      </c>
      <c r="AD451" s="1" t="inlineStr">
        <is>
          <t>NJG82</t>
        </is>
      </c>
      <c r="AE451" s="1" t="inlineStr">
        <is>
          <t>Solid Grey/Matte Silver/Grey</t>
        </is>
      </c>
      <c r="AF451" s="4" t="inlineStr"/>
      <c r="AG451" s="4" t="n">
        <v>7.7</v>
      </c>
    </row>
    <row r="452" ht="47.25" customHeight="1">
      <c r="A452" s="18" t="inlineStr">
        <is>
          <t>197609997791</t>
        </is>
      </c>
      <c r="B452" s="19" t="inlineStr">
        <is>
          <t>https://www.amazon.com/dp/</t>
        </is>
      </c>
      <c r="C452" s="20" t="inlineStr">
        <is>
          <t>B0CM81WCMK</t>
        </is>
      </c>
      <c r="D452" s="44" t="n"/>
      <c r="E452" s="23" t="inlineStr">
        <is>
          <t>?th=1&amp;psc=1&amp;tag=sdcdeals03-20</t>
        </is>
      </c>
      <c r="F452" s="19">
        <f>HYPERLINK("https://redirect.sdcdeals.com/redirect?destination=https%3A%2F%2Fwww.amazon.com%2Fdp%2FB0CM81WCMK%3Fth%3D1%26psc%3D1%26tag%3Dsdcdeals03-20", "Amazon Link")</f>
        <v/>
      </c>
      <c r="G452" s="19" t="inlineStr">
        <is>
          <t>https://www.jcpenney.com/s?searchTerm={search_term}</t>
        </is>
      </c>
      <c r="H452" s="23" t="inlineStr">
        <is>
          <t>197609997791</t>
        </is>
      </c>
      <c r="I452" s="19">
        <f>HYPERLINK("https://www.jcpenney.com/s?searchTerm=197609997791", "Retail Link")</f>
        <v/>
      </c>
      <c r="J452" s="23" t="inlineStr">
        <is>
          <t>n/a</t>
        </is>
      </c>
      <c r="K452" s="21" t="inlineStr">
        <is>
          <t>adidas Women's Run 72 Sneaker, Solid Grey/Matte Silver/Grey, 9.5</t>
        </is>
      </c>
      <c r="L452" s="24" t="n"/>
      <c r="M452" s="24" t="n">
        <v>78.05</v>
      </c>
      <c r="N452" s="24" t="n"/>
      <c r="O452" s="24">
        <f>V452-M452</f>
        <v/>
      </c>
      <c r="P452" s="25">
        <f>N452/L452</f>
        <v/>
      </c>
      <c r="Q452" s="23" t="n">
        <v>22531</v>
      </c>
      <c r="R452" s="23" t="n"/>
      <c r="S452" s="26" t="n">
        <v>2.5794054</v>
      </c>
      <c r="T452" s="24" t="n">
        <v>78.05</v>
      </c>
      <c r="U452" s="24" t="n">
        <v>69.95</v>
      </c>
      <c r="V452" s="24" t="n">
        <v>72.41</v>
      </c>
      <c r="W452" s="26" t="inlineStr">
        <is>
          <t>adidas Run 72 Womens Sneakers</t>
        </is>
      </c>
      <c r="X452" s="23" t="n">
        <v>3</v>
      </c>
      <c r="Y452" s="18">
        <f>AC452-AB452</f>
        <v/>
      </c>
      <c r="Z452" s="27" t="n">
        <v>37</v>
      </c>
      <c r="AA452" s="27" t="n">
        <v>106</v>
      </c>
      <c r="AB452" s="27" t="n">
        <v>0</v>
      </c>
      <c r="AC452" s="27" t="n">
        <v>27</v>
      </c>
      <c r="AD452" s="1" t="inlineStr">
        <is>
          <t>NJG82</t>
        </is>
      </c>
      <c r="AE452" s="1" t="inlineStr">
        <is>
          <t>Solid Grey/Matte Silver/Grey</t>
        </is>
      </c>
      <c r="AF452" s="4" t="inlineStr"/>
      <c r="AG452" s="4" t="n">
        <v>7.7</v>
      </c>
    </row>
    <row r="453" ht="47.25" customHeight="1">
      <c r="A453" s="18" t="inlineStr">
        <is>
          <t>197609922274</t>
        </is>
      </c>
      <c r="B453" s="19" t="inlineStr">
        <is>
          <t>https://www.amazon.com/dp/</t>
        </is>
      </c>
      <c r="C453" s="20" t="inlineStr">
        <is>
          <t>B0CM7LBYGJ</t>
        </is>
      </c>
      <c r="D453" s="44" t="n"/>
      <c r="E453" s="23" t="inlineStr">
        <is>
          <t>?th=1&amp;psc=1&amp;tag=sdcdeals03-20</t>
        </is>
      </c>
      <c r="F453" s="19">
        <f>HYPERLINK("https://redirect.sdcdeals.com/redirect?destination=https%3A%2F%2Fwww.amazon.com%2Fdp%2FB0CM7LBYGJ%3Fth%3D1%26psc%3D1%26tag%3Dsdcdeals03-20", "Amazon Link")</f>
        <v/>
      </c>
      <c r="G453" s="19" t="inlineStr">
        <is>
          <t>https://www.jcpenney.com/s?searchTerm={search_term}</t>
        </is>
      </c>
      <c r="H453" s="23" t="inlineStr">
        <is>
          <t>197609922274</t>
        </is>
      </c>
      <c r="I453" s="19">
        <f>HYPERLINK("https://www.jcpenney.com/s?searchTerm=197609922274", "Retail Link")</f>
        <v/>
      </c>
      <c r="J453" s="23" t="inlineStr">
        <is>
          <t>n/a</t>
        </is>
      </c>
      <c r="K453" s="21" t="inlineStr">
        <is>
          <t>adidas Women's Run 72 Sneaker, Solid Grey/Matte Silver/Grey, 10</t>
        </is>
      </c>
      <c r="L453" s="24" t="n"/>
      <c r="M453" s="24" t="n">
        <v>78.05</v>
      </c>
      <c r="N453" s="24" t="n"/>
      <c r="O453" s="24">
        <f>V453-M453</f>
        <v/>
      </c>
      <c r="P453" s="25">
        <f>N453/L453</f>
        <v/>
      </c>
      <c r="Q453" s="23" t="n">
        <v>22531</v>
      </c>
      <c r="R453" s="23" t="n"/>
      <c r="S453" s="26" t="n">
        <v>2.55956382</v>
      </c>
      <c r="T453" s="24" t="n">
        <v>78.05</v>
      </c>
      <c r="U453" s="24" t="n">
        <v>69.95</v>
      </c>
      <c r="V453" s="24" t="n">
        <v>73.42</v>
      </c>
      <c r="W453" s="26" t="inlineStr">
        <is>
          <t>adidas Run 72 Womens Sneakers</t>
        </is>
      </c>
      <c r="X453" s="23" t="n">
        <v>3</v>
      </c>
      <c r="Y453" s="18">
        <f>AC453-AB453</f>
        <v/>
      </c>
      <c r="Z453" s="27" t="n">
        <v>23</v>
      </c>
      <c r="AA453" s="27" t="n">
        <v>82</v>
      </c>
      <c r="AB453" s="27" t="n">
        <v>0</v>
      </c>
      <c r="AC453" s="27" t="n">
        <v>27</v>
      </c>
      <c r="AD453" s="1" t="inlineStr">
        <is>
          <t>NJG82</t>
        </is>
      </c>
      <c r="AE453" s="1" t="inlineStr">
        <is>
          <t>Solid Grey/Matte Silver/Grey</t>
        </is>
      </c>
      <c r="AF453" s="4" t="inlineStr"/>
      <c r="AG453" s="4" t="n">
        <v>7.78</v>
      </c>
    </row>
    <row r="454" ht="47.25" customHeight="1">
      <c r="A454" s="18" t="inlineStr">
        <is>
          <t>197609922250</t>
        </is>
      </c>
      <c r="B454" s="19" t="inlineStr">
        <is>
          <t>https://www.amazon.com/dp/</t>
        </is>
      </c>
      <c r="C454" s="20" t="inlineStr">
        <is>
          <t>B0CM882J8N</t>
        </is>
      </c>
      <c r="D454" s="44" t="n"/>
      <c r="E454" s="23" t="inlineStr">
        <is>
          <t>?th=1&amp;psc=1&amp;tag=sdcdeals03-20</t>
        </is>
      </c>
      <c r="F454" s="19">
        <f>HYPERLINK("https://redirect.sdcdeals.com/redirect?destination=https%3A%2F%2Fwww.amazon.com%2Fdp%2FB0CM882J8N%3Fth%3D1%26psc%3D1%26tag%3Dsdcdeals03-20", "Amazon Link")</f>
        <v/>
      </c>
      <c r="G454" s="19" t="inlineStr">
        <is>
          <t>https://www.jcpenney.com/s?searchTerm={search_term}</t>
        </is>
      </c>
      <c r="H454" s="23" t="inlineStr">
        <is>
          <t>197609922250</t>
        </is>
      </c>
      <c r="I454" s="19">
        <f>HYPERLINK("https://www.jcpenney.com/s?searchTerm=197609922250", "Retail Link")</f>
        <v/>
      </c>
      <c r="J454" s="23" t="inlineStr">
        <is>
          <t>n/a</t>
        </is>
      </c>
      <c r="K454" s="21" t="inlineStr">
        <is>
          <t>adidas Women's Run 72 Sneaker, Solid Grey/Matte Silver/Grey, 11</t>
        </is>
      </c>
      <c r="L454" s="24" t="n"/>
      <c r="M454" s="24" t="n">
        <v>78.05</v>
      </c>
      <c r="N454" s="24" t="n"/>
      <c r="O454" s="24">
        <f>V454-M454</f>
        <v/>
      </c>
      <c r="P454" s="25">
        <f>N454/L454</f>
        <v/>
      </c>
      <c r="Q454" s="23" t="n">
        <v>22531</v>
      </c>
      <c r="R454" s="23" t="n"/>
      <c r="S454" s="26" t="n">
        <v>1.92022402</v>
      </c>
      <c r="T454" s="24" t="n">
        <v>78.05</v>
      </c>
      <c r="U454" s="24" t="n">
        <v>69.95</v>
      </c>
      <c r="V454" s="24" t="n">
        <v>69.95</v>
      </c>
      <c r="W454" s="26" t="inlineStr">
        <is>
          <t>adidas Run 72 Womens Sneakers</t>
        </is>
      </c>
      <c r="X454" s="23" t="n">
        <v>2</v>
      </c>
      <c r="Y454" s="18">
        <f>AC454-AB454</f>
        <v/>
      </c>
      <c r="Z454" s="27" t="n">
        <v>23</v>
      </c>
      <c r="AA454" s="27" t="n">
        <v>69</v>
      </c>
      <c r="AB454" s="27" t="n">
        <v>0</v>
      </c>
      <c r="AC454" s="27" t="n">
        <v>27</v>
      </c>
      <c r="AD454" s="1" t="inlineStr">
        <is>
          <t>NJG82</t>
        </is>
      </c>
      <c r="AE454" s="1" t="inlineStr">
        <is>
          <t>Solid Grey/Matte Silver/Grey</t>
        </is>
      </c>
      <c r="AF454" s="4" t="inlineStr"/>
      <c r="AG454" s="4" t="n">
        <v>7.94</v>
      </c>
    </row>
    <row r="455" ht="47.25" customHeight="1">
      <c r="A455" s="18" t="inlineStr">
        <is>
          <t>196465788673</t>
        </is>
      </c>
      <c r="B455" s="19" t="inlineStr">
        <is>
          <t>https://www.amazon.com/dp/</t>
        </is>
      </c>
      <c r="C455" s="20" t="inlineStr">
        <is>
          <t>B0BG6B24Q8</t>
        </is>
      </c>
      <c r="D455" s="44" t="n"/>
      <c r="E455" s="23" t="inlineStr">
        <is>
          <t>?th=1&amp;psc=1&amp;tag=sdcdeals03-20</t>
        </is>
      </c>
      <c r="F455" s="19">
        <f>HYPERLINK("https://redirect.sdcdeals.com/redirect?destination=https%3A%2F%2Fwww.amazon.com%2Fdp%2FB0BG6B24Q8%3Fth%3D1%26psc%3D1%26tag%3Dsdcdeals03-20", "Amazon Link")</f>
        <v/>
      </c>
      <c r="G455" s="19" t="inlineStr">
        <is>
          <t>https://www.jcpenney.com/s?searchTerm={search_term}</t>
        </is>
      </c>
      <c r="H455" s="23" t="inlineStr">
        <is>
          <t>196465788673</t>
        </is>
      </c>
      <c r="I455" s="19">
        <f>HYPERLINK("https://www.jcpenney.com/s?searchTerm=196465788673", "Retail Link")</f>
        <v/>
      </c>
      <c r="J455" s="23" t="inlineStr">
        <is>
          <t>n/a</t>
        </is>
      </c>
      <c r="K455" s="21" t="inlineStr">
        <is>
          <t>adidas Women's Duramo SL Running Sneaker, Black/White/Carbon, 5 Wide</t>
        </is>
      </c>
      <c r="L455" s="24" t="n">
        <v>37.9905</v>
      </c>
      <c r="M455" s="24" t="n">
        <v>59.45</v>
      </c>
      <c r="N455" s="24" t="n">
        <v>5.231999999999999</v>
      </c>
      <c r="O455" s="24">
        <f>V455-M455</f>
        <v/>
      </c>
      <c r="P455" s="25">
        <f>N455/L455</f>
        <v/>
      </c>
      <c r="Q455" s="23" t="n">
        <v>183905</v>
      </c>
      <c r="R455" s="23" t="n"/>
      <c r="S455" s="26" t="n">
        <v>1.322772</v>
      </c>
      <c r="T455" s="24" t="n">
        <v>59.45</v>
      </c>
      <c r="U455" s="24" t="n">
        <v>56.95</v>
      </c>
      <c r="V455" s="24" t="n">
        <v>51.92</v>
      </c>
      <c r="W455" s="26" t="inlineStr">
        <is>
          <t>adidas Duramo Sl Womens Sneakers Wide Width</t>
        </is>
      </c>
      <c r="X455" s="23" t="n">
        <v>1</v>
      </c>
      <c r="Y455" s="18">
        <f>AC455-AB455</f>
        <v/>
      </c>
      <c r="Z455" s="27" t="n">
        <v>21</v>
      </c>
      <c r="AA455" s="27" t="n">
        <v>63</v>
      </c>
      <c r="AB455" s="27" t="n">
        <v>1</v>
      </c>
      <c r="AC455" s="27" t="n">
        <v>37</v>
      </c>
      <c r="AD455" s="1" t="inlineStr">
        <is>
          <t>LZX58</t>
        </is>
      </c>
      <c r="AE455" s="1" t="inlineStr">
        <is>
          <t>Black/White/Carbon</t>
        </is>
      </c>
      <c r="AF455" s="4" t="n">
        <v>8.92</v>
      </c>
      <c r="AG455" s="4" t="n">
        <v>7.31</v>
      </c>
    </row>
    <row r="456" ht="47.25" customHeight="1">
      <c r="A456" s="18" t="inlineStr">
        <is>
          <t>196465788680</t>
        </is>
      </c>
      <c r="B456" s="19" t="inlineStr">
        <is>
          <t>https://www.amazon.com/dp/</t>
        </is>
      </c>
      <c r="C456" s="20" t="inlineStr">
        <is>
          <t>B0BG6FWDSN</t>
        </is>
      </c>
      <c r="D456" s="44" t="n"/>
      <c r="E456" s="23" t="inlineStr">
        <is>
          <t>?th=1&amp;psc=1&amp;tag=sdcdeals03-20</t>
        </is>
      </c>
      <c r="F456" s="19">
        <f>HYPERLINK("https://redirect.sdcdeals.com/redirect?destination=https%3A%2F%2Fwww.amazon.com%2Fdp%2FB0BG6FWDSN%3Fth%3D1%26psc%3D1%26tag%3Dsdcdeals03-20", "Amazon Link")</f>
        <v/>
      </c>
      <c r="G456" s="19" t="inlineStr">
        <is>
          <t>https://www.jcpenney.com/s?searchTerm={search_term}</t>
        </is>
      </c>
      <c r="H456" s="23" t="inlineStr">
        <is>
          <t>196465788680</t>
        </is>
      </c>
      <c r="I456" s="19">
        <f>HYPERLINK("https://www.jcpenney.com/s?searchTerm=196465788680", "Retail Link")</f>
        <v/>
      </c>
      <c r="J456" s="23" t="inlineStr">
        <is>
          <t>n/a</t>
        </is>
      </c>
      <c r="K456" s="21" t="inlineStr">
        <is>
          <t>adidas Women's Duramo SL Running Sneaker, Black/White/Carbon, 5.5 Wide</t>
        </is>
      </c>
      <c r="L456" s="24" t="n">
        <v>37.9905</v>
      </c>
      <c r="M456" s="24" t="n">
        <v>59.45</v>
      </c>
      <c r="N456" s="24" t="n">
        <v>5.231999999999999</v>
      </c>
      <c r="O456" s="24">
        <f>V456-M456</f>
        <v/>
      </c>
      <c r="P456" s="25">
        <f>N456/L456</f>
        <v/>
      </c>
      <c r="Q456" s="23" t="n">
        <v>183905</v>
      </c>
      <c r="R456" s="23" t="n"/>
      <c r="S456" s="26" t="n">
        <v>1.32056738</v>
      </c>
      <c r="T456" s="24" t="n">
        <v>59.45</v>
      </c>
      <c r="U456" s="24" t="n">
        <v>55.92</v>
      </c>
      <c r="V456" s="24" t="n">
        <v>54.86</v>
      </c>
      <c r="W456" s="26" t="inlineStr">
        <is>
          <t>adidas Duramo Sl Womens Sneakers Wide Width</t>
        </is>
      </c>
      <c r="X456" s="23" t="n">
        <v>3</v>
      </c>
      <c r="Y456" s="18">
        <f>AC456-AB456</f>
        <v/>
      </c>
      <c r="Z456" s="27" t="n">
        <v>19</v>
      </c>
      <c r="AA456" s="27" t="n">
        <v>76</v>
      </c>
      <c r="AB456" s="27" t="n">
        <v>1</v>
      </c>
      <c r="AC456" s="27" t="n">
        <v>37</v>
      </c>
      <c r="AD456" s="1" t="inlineStr">
        <is>
          <t>LZX58</t>
        </is>
      </c>
      <c r="AE456" s="1" t="inlineStr">
        <is>
          <t>Black/White/Carbon</t>
        </is>
      </c>
      <c r="AF456" s="4" t="n">
        <v>8.92</v>
      </c>
      <c r="AG456" s="4" t="n">
        <v>7.31</v>
      </c>
    </row>
    <row r="457" ht="47.25" customHeight="1">
      <c r="A457" s="18" t="inlineStr">
        <is>
          <t>196465788802</t>
        </is>
      </c>
      <c r="B457" s="19" t="inlineStr">
        <is>
          <t>https://www.amazon.com/dp/</t>
        </is>
      </c>
      <c r="C457" s="20" t="inlineStr">
        <is>
          <t>B0BG6BJWS8</t>
        </is>
      </c>
      <c r="D457" s="44" t="n"/>
      <c r="E457" s="23" t="inlineStr">
        <is>
          <t>?th=1&amp;psc=1&amp;tag=sdcdeals03-20</t>
        </is>
      </c>
      <c r="F457" s="19">
        <f>HYPERLINK("https://redirect.sdcdeals.com/redirect?destination=https%3A%2F%2Fwww.amazon.com%2Fdp%2FB0BG6BJWS8%3Fth%3D1%26psc%3D1%26tag%3Dsdcdeals03-20", "Amazon Link")</f>
        <v/>
      </c>
      <c r="G457" s="19" t="inlineStr">
        <is>
          <t>https://www.jcpenney.com/s?searchTerm={search_term}</t>
        </is>
      </c>
      <c r="H457" s="23" t="inlineStr">
        <is>
          <t>196465788802</t>
        </is>
      </c>
      <c r="I457" s="19">
        <f>HYPERLINK("https://www.jcpenney.com/s?searchTerm=196465788802", "Retail Link")</f>
        <v/>
      </c>
      <c r="J457" s="23" t="inlineStr">
        <is>
          <t>n/a</t>
        </is>
      </c>
      <c r="K457" s="21" t="inlineStr">
        <is>
          <t>adidas Women's Duramo SL Running Sneaker, Black/White/Carbon, 6 Wide</t>
        </is>
      </c>
      <c r="L457" s="24" t="n">
        <v>37.9905</v>
      </c>
      <c r="M457" s="24" t="n">
        <v>59.45</v>
      </c>
      <c r="N457" s="24" t="n">
        <v>4.922000000000004</v>
      </c>
      <c r="O457" s="24">
        <f>V457-M457</f>
        <v/>
      </c>
      <c r="P457" s="25">
        <f>N457/L457</f>
        <v/>
      </c>
      <c r="Q457" s="23" t="n">
        <v>183905</v>
      </c>
      <c r="R457" s="23" t="n"/>
      <c r="S457" s="26" t="n">
        <v>1.17065322</v>
      </c>
      <c r="T457" s="24" t="n">
        <v>59.45</v>
      </c>
      <c r="U457" s="24" t="n">
        <v>51</v>
      </c>
      <c r="V457" s="24" t="n">
        <v>53.17</v>
      </c>
      <c r="W457" s="26" t="inlineStr">
        <is>
          <t>adidas Duramo Sl Womens Sneakers Wide Width</t>
        </is>
      </c>
      <c r="X457" s="23" t="n">
        <v>2</v>
      </c>
      <c r="Y457" s="18">
        <f>AC457-AB457</f>
        <v/>
      </c>
      <c r="Z457" s="27" t="n">
        <v>10</v>
      </c>
      <c r="AA457" s="27" t="n">
        <v>41</v>
      </c>
      <c r="AB457" s="27" t="n">
        <v>0</v>
      </c>
      <c r="AC457" s="27" t="n">
        <v>35</v>
      </c>
      <c r="AD457" s="1" t="inlineStr">
        <is>
          <t>LZX58</t>
        </is>
      </c>
      <c r="AE457" s="1" t="inlineStr">
        <is>
          <t>Black/White/Carbon</t>
        </is>
      </c>
      <c r="AF457" s="4" t="n">
        <v>8.92</v>
      </c>
      <c r="AG457" s="4" t="n">
        <v>7.62</v>
      </c>
    </row>
    <row r="458" ht="47.25" customHeight="1">
      <c r="A458" s="18" t="inlineStr">
        <is>
          <t>196465788758</t>
        </is>
      </c>
      <c r="B458" s="19" t="inlineStr">
        <is>
          <t>https://www.amazon.com/dp/</t>
        </is>
      </c>
      <c r="C458" s="20" t="inlineStr">
        <is>
          <t>B0BG6CG2KN</t>
        </is>
      </c>
      <c r="D458" s="44" t="n"/>
      <c r="E458" s="23" t="inlineStr">
        <is>
          <t>?th=1&amp;psc=1&amp;tag=sdcdeals03-20</t>
        </is>
      </c>
      <c r="F458" s="19">
        <f>HYPERLINK("https://redirect.sdcdeals.com/redirect?destination=https%3A%2F%2Fwww.amazon.com%2Fdp%2FB0BG6CG2KN%3Fth%3D1%26psc%3D1%26tag%3Dsdcdeals03-20", "Amazon Link")</f>
        <v/>
      </c>
      <c r="G458" s="19" t="inlineStr">
        <is>
          <t>https://www.jcpenney.com/s?searchTerm={search_term}</t>
        </is>
      </c>
      <c r="H458" s="23" t="inlineStr">
        <is>
          <t>196465788758</t>
        </is>
      </c>
      <c r="I458" s="19">
        <f>HYPERLINK("https://www.jcpenney.com/s?searchTerm=196465788758", "Retail Link")</f>
        <v/>
      </c>
      <c r="J458" s="23" t="inlineStr">
        <is>
          <t>n/a</t>
        </is>
      </c>
      <c r="K458" s="21" t="inlineStr">
        <is>
          <t>adidas Women's Duramo SL Running Sneaker, Black/White/Carbon, 6.5 Wide</t>
        </is>
      </c>
      <c r="L458" s="24" t="n">
        <v>37.9905</v>
      </c>
      <c r="M458" s="24" t="n">
        <v>59.45</v>
      </c>
      <c r="N458" s="24" t="n">
        <v>4.922000000000004</v>
      </c>
      <c r="O458" s="24">
        <f>V458-M458</f>
        <v/>
      </c>
      <c r="P458" s="25">
        <f>N458/L458</f>
        <v/>
      </c>
      <c r="Q458" s="23" t="n">
        <v>183905</v>
      </c>
      <c r="R458" s="23" t="n"/>
      <c r="S458" s="26" t="n">
        <v>1.3668644</v>
      </c>
      <c r="T458" s="24" t="n">
        <v>59.45</v>
      </c>
      <c r="U458" s="24" t="n">
        <v>60.34</v>
      </c>
      <c r="V458" s="24" t="n">
        <v>58.94</v>
      </c>
      <c r="W458" s="26" t="inlineStr">
        <is>
          <t>adidas Duramo Sl Womens Sneakers Wide Width</t>
        </is>
      </c>
      <c r="X458" s="23" t="n">
        <v>1</v>
      </c>
      <c r="Y458" s="18">
        <f>AC458-AB458</f>
        <v/>
      </c>
      <c r="Z458" s="27" t="n">
        <v>14</v>
      </c>
      <c r="AA458" s="27" t="n">
        <v>27</v>
      </c>
      <c r="AB458" s="27" t="n">
        <v>2</v>
      </c>
      <c r="AC458" s="27" t="n">
        <v>37</v>
      </c>
      <c r="AD458" s="1" t="inlineStr">
        <is>
          <t>LZX58</t>
        </is>
      </c>
      <c r="AE458" s="1" t="inlineStr">
        <is>
          <t>Black/White/Carbon</t>
        </is>
      </c>
      <c r="AF458" s="4" t="n">
        <v>8.92</v>
      </c>
      <c r="AG458" s="4" t="n">
        <v>7.62</v>
      </c>
    </row>
    <row r="459" ht="47.25" customHeight="1">
      <c r="A459" s="18" t="inlineStr">
        <is>
          <t>196465788635</t>
        </is>
      </c>
      <c r="B459" s="19" t="inlineStr">
        <is>
          <t>https://www.amazon.com/dp/</t>
        </is>
      </c>
      <c r="C459" s="20" t="inlineStr">
        <is>
          <t>B0BG6C3TRK</t>
        </is>
      </c>
      <c r="D459" s="44" t="n"/>
      <c r="E459" s="23" t="inlineStr">
        <is>
          <t>?th=1&amp;psc=1&amp;tag=sdcdeals03-20</t>
        </is>
      </c>
      <c r="F459" s="19">
        <f>HYPERLINK("https://redirect.sdcdeals.com/redirect?destination=https%3A%2F%2Fwww.amazon.com%2Fdp%2FB0BG6C3TRK%3Fth%3D1%26psc%3D1%26tag%3Dsdcdeals03-20", "Amazon Link")</f>
        <v/>
      </c>
      <c r="G459" s="19" t="inlineStr">
        <is>
          <t>https://www.jcpenney.com/s?searchTerm={search_term}</t>
        </is>
      </c>
      <c r="H459" s="23" t="inlineStr">
        <is>
          <t>196465788635</t>
        </is>
      </c>
      <c r="I459" s="19">
        <f>HYPERLINK("https://www.jcpenney.com/s?searchTerm=196465788635", "Retail Link")</f>
        <v/>
      </c>
      <c r="J459" s="23" t="inlineStr">
        <is>
          <t>n/a</t>
        </is>
      </c>
      <c r="K459" s="21" t="inlineStr">
        <is>
          <t>adidas Women's Duramo SL Running Sneaker, Black/White/Carbon, 7 Wide</t>
        </is>
      </c>
      <c r="L459" s="24" t="n">
        <v>37.9905</v>
      </c>
      <c r="M459" s="24" t="n">
        <v>59.45</v>
      </c>
      <c r="N459" s="24" t="n">
        <v>4.841999999999999</v>
      </c>
      <c r="O459" s="24">
        <f>V459-M459</f>
        <v/>
      </c>
      <c r="P459" s="25">
        <f>N459/L459</f>
        <v/>
      </c>
      <c r="Q459" s="23" t="n">
        <v>183905</v>
      </c>
      <c r="R459" s="23" t="n"/>
      <c r="S459" s="26" t="n">
        <v>1.3889106</v>
      </c>
      <c r="T459" s="24" t="n">
        <v>59.45</v>
      </c>
      <c r="U459" s="24" t="n">
        <v>65.88</v>
      </c>
      <c r="V459" s="24" t="n">
        <v>60.18</v>
      </c>
      <c r="W459" s="26" t="inlineStr">
        <is>
          <t>adidas Duramo Sl Womens Sneakers Wide Width</t>
        </is>
      </c>
      <c r="X459" s="23" t="n">
        <v>2</v>
      </c>
      <c r="Y459" s="18">
        <f>AC459-AB459</f>
        <v/>
      </c>
      <c r="Z459" s="27" t="n">
        <v>13</v>
      </c>
      <c r="AA459" s="27" t="n">
        <v>42</v>
      </c>
      <c r="AB459" s="27" t="n">
        <v>0</v>
      </c>
      <c r="AC459" s="27" t="n">
        <v>37</v>
      </c>
      <c r="AD459" s="1" t="inlineStr">
        <is>
          <t>LZX58</t>
        </is>
      </c>
      <c r="AE459" s="1" t="inlineStr">
        <is>
          <t>Black/White/Carbon</t>
        </is>
      </c>
      <c r="AF459" s="4" t="n">
        <v>8.92</v>
      </c>
      <c r="AG459" s="4" t="n">
        <v>7.7</v>
      </c>
    </row>
    <row r="460" ht="47.25" customHeight="1">
      <c r="A460" s="18" t="inlineStr">
        <is>
          <t>196465788789</t>
        </is>
      </c>
      <c r="B460" s="19" t="inlineStr">
        <is>
          <t>https://www.amazon.com/dp/</t>
        </is>
      </c>
      <c r="C460" s="20" t="inlineStr">
        <is>
          <t>B0BG6DG14Y</t>
        </is>
      </c>
      <c r="D460" s="44" t="n"/>
      <c r="E460" s="23" t="inlineStr">
        <is>
          <t>?th=1&amp;psc=1&amp;tag=sdcdeals03-20</t>
        </is>
      </c>
      <c r="F460" s="19">
        <f>HYPERLINK("https://redirect.sdcdeals.com/redirect?destination=https%3A%2F%2Fwww.amazon.com%2Fdp%2FB0BG6DG14Y%3Fth%3D1%26psc%3D1%26tag%3Dsdcdeals03-20", "Amazon Link")</f>
        <v/>
      </c>
      <c r="G460" s="19" t="inlineStr">
        <is>
          <t>https://www.jcpenney.com/s?searchTerm={search_term}</t>
        </is>
      </c>
      <c r="H460" s="23" t="inlineStr">
        <is>
          <t>196465788789</t>
        </is>
      </c>
      <c r="I460" s="19">
        <f>HYPERLINK("https://www.jcpenney.com/s?searchTerm=196465788789", "Retail Link")</f>
        <v/>
      </c>
      <c r="J460" s="23" t="inlineStr">
        <is>
          <t>n/a</t>
        </is>
      </c>
      <c r="K460" s="21" t="inlineStr">
        <is>
          <t>adidas Women's Duramo SL Running Sneaker, Black/White/Carbon, 7.5 Wide</t>
        </is>
      </c>
      <c r="L460" s="24" t="n">
        <v>37.9905</v>
      </c>
      <c r="M460" s="24" t="n">
        <v>59.45</v>
      </c>
      <c r="N460" s="24" t="n">
        <v>4.841999999999999</v>
      </c>
      <c r="O460" s="24">
        <f>V460-M460</f>
        <v/>
      </c>
      <c r="P460" s="25">
        <f>N460/L460</f>
        <v/>
      </c>
      <c r="Q460" s="23" t="n">
        <v>148456</v>
      </c>
      <c r="R460" s="23" t="n"/>
      <c r="S460" s="26" t="n">
        <v>0.7936632</v>
      </c>
      <c r="T460" s="24" t="n">
        <v>59.45</v>
      </c>
      <c r="U460" s="24" t="n">
        <v>68.62</v>
      </c>
      <c r="V460" s="24" t="n">
        <v>63.6</v>
      </c>
      <c r="W460" s="26" t="inlineStr">
        <is>
          <t>adidas Duramo Sl Womens Sneakers Wide Width</t>
        </is>
      </c>
      <c r="X460" s="23" t="n">
        <v>2</v>
      </c>
      <c r="Y460" s="18">
        <f>AC460-AB460</f>
        <v/>
      </c>
      <c r="Z460" s="27" t="n">
        <v>24</v>
      </c>
      <c r="AA460" s="27" t="n">
        <v>69</v>
      </c>
      <c r="AB460" s="27" t="n">
        <v>2</v>
      </c>
      <c r="AC460" s="27" t="n">
        <v>37</v>
      </c>
      <c r="AD460" s="1" t="inlineStr">
        <is>
          <t>LZX58</t>
        </is>
      </c>
      <c r="AE460" s="1" t="inlineStr">
        <is>
          <t>Black/White/Carbon</t>
        </is>
      </c>
      <c r="AF460" s="4" t="n">
        <v>8.92</v>
      </c>
      <c r="AG460" s="4" t="n">
        <v>7.7</v>
      </c>
    </row>
    <row r="461" ht="47.25" customHeight="1">
      <c r="A461" s="18" t="inlineStr">
        <is>
          <t>196465788710</t>
        </is>
      </c>
      <c r="B461" s="19" t="inlineStr">
        <is>
          <t>https://www.amazon.com/dp/</t>
        </is>
      </c>
      <c r="C461" s="20" t="inlineStr">
        <is>
          <t>B0BG6B4ZYW</t>
        </is>
      </c>
      <c r="D461" s="44" t="n"/>
      <c r="E461" s="23" t="inlineStr">
        <is>
          <t>?th=1&amp;psc=1&amp;tag=sdcdeals03-20</t>
        </is>
      </c>
      <c r="F461" s="19">
        <f>HYPERLINK("https://redirect.sdcdeals.com/redirect?destination=https%3A%2F%2Fwww.amazon.com%2Fdp%2FB0BG6B4ZYW%3Fth%3D1%26psc%3D1%26tag%3Dsdcdeals03-20", "Amazon Link")</f>
        <v/>
      </c>
      <c r="G461" s="19" t="inlineStr">
        <is>
          <t>https://www.jcpenney.com/s?searchTerm={search_term}</t>
        </is>
      </c>
      <c r="H461" s="23" t="inlineStr">
        <is>
          <t>196465788710</t>
        </is>
      </c>
      <c r="I461" s="19">
        <f>HYPERLINK("https://www.jcpenney.com/s?searchTerm=196465788710", "Retail Link")</f>
        <v/>
      </c>
      <c r="J461" s="23" t="inlineStr">
        <is>
          <t>n/a</t>
        </is>
      </c>
      <c r="K461" s="21" t="inlineStr">
        <is>
          <t>adidas Women's Duramo SL Running Sneaker, Black/White/Carbon, 8 Wide</t>
        </is>
      </c>
      <c r="L461" s="24" t="n">
        <v>37.9905</v>
      </c>
      <c r="M461" s="24" t="n">
        <v>49.9</v>
      </c>
      <c r="N461" s="24" t="n">
        <v>-1.8855</v>
      </c>
      <c r="O461" s="24">
        <f>V461-M461</f>
        <v/>
      </c>
      <c r="P461" s="25">
        <f>N461/L461</f>
        <v/>
      </c>
      <c r="Q461" s="23" t="n">
        <v>183905</v>
      </c>
      <c r="R461" s="23" t="n"/>
      <c r="S461" s="26" t="n">
        <v>1.4991416</v>
      </c>
      <c r="T461" s="24" t="n">
        <v>49.9</v>
      </c>
      <c r="U461" s="24" t="n">
        <v>55.97</v>
      </c>
      <c r="V461" s="24" t="n">
        <v>54.46</v>
      </c>
      <c r="W461" s="26" t="inlineStr">
        <is>
          <t>adidas Duramo Sl Womens Sneakers Wide Width</t>
        </is>
      </c>
      <c r="X461" s="23" t="n">
        <v>5</v>
      </c>
      <c r="Y461" s="18">
        <f>AC461-AB461</f>
        <v/>
      </c>
      <c r="Z461" s="27" t="n">
        <v>30</v>
      </c>
      <c r="AA461" s="27" t="n">
        <v>90</v>
      </c>
      <c r="AB461" s="27" t="n">
        <v>3</v>
      </c>
      <c r="AC461" s="27" t="n">
        <v>37</v>
      </c>
      <c r="AD461" s="1" t="inlineStr">
        <is>
          <t>LZX58</t>
        </is>
      </c>
      <c r="AE461" s="1" t="inlineStr">
        <is>
          <t>Black/White/Carbon</t>
        </is>
      </c>
      <c r="AF461" s="4" t="n">
        <v>7.49</v>
      </c>
      <c r="AG461" s="4" t="n">
        <v>6.31</v>
      </c>
    </row>
    <row r="462" ht="47.25" customHeight="1">
      <c r="A462" s="18" t="inlineStr">
        <is>
          <t>196465788840</t>
        </is>
      </c>
      <c r="B462" s="19" t="inlineStr">
        <is>
          <t>https://www.amazon.com/dp/</t>
        </is>
      </c>
      <c r="C462" s="20" t="inlineStr">
        <is>
          <t>B0BG6BXKS4</t>
        </is>
      </c>
      <c r="D462" s="44" t="n"/>
      <c r="E462" s="23" t="inlineStr">
        <is>
          <t>?th=1&amp;psc=1&amp;tag=sdcdeals03-20</t>
        </is>
      </c>
      <c r="F462" s="19">
        <f>HYPERLINK("https://redirect.sdcdeals.com/redirect?destination=https%3A%2F%2Fwww.amazon.com%2Fdp%2FB0BG6BXKS4%3Fth%3D1%26psc%3D1%26tag%3Dsdcdeals03-20", "Amazon Link")</f>
        <v/>
      </c>
      <c r="G462" s="19" t="inlineStr">
        <is>
          <t>https://www.jcpenney.com/s?searchTerm={search_term}</t>
        </is>
      </c>
      <c r="H462" s="23" t="inlineStr">
        <is>
          <t>196465788840</t>
        </is>
      </c>
      <c r="I462" s="19">
        <f>HYPERLINK("https://www.jcpenney.com/s?searchTerm=196465788840", "Retail Link")</f>
        <v/>
      </c>
      <c r="J462" s="23" t="inlineStr">
        <is>
          <t>n/a</t>
        </is>
      </c>
      <c r="K462" s="21" t="inlineStr">
        <is>
          <t>adidas Women's Duramo SL Running Sneaker, Black/White/Carbon, 8.5 Wide</t>
        </is>
      </c>
      <c r="L462" s="24" t="n">
        <v>37.9905</v>
      </c>
      <c r="M462" s="24" t="n">
        <v>59.45</v>
      </c>
      <c r="N462" s="24" t="n">
        <v>5.072000000000003</v>
      </c>
      <c r="O462" s="24">
        <f>V462-M462</f>
        <v/>
      </c>
      <c r="P462" s="25">
        <f>N462/L462</f>
        <v/>
      </c>
      <c r="Q462" s="23" t="n">
        <v>161122</v>
      </c>
      <c r="R462" s="23" t="n"/>
      <c r="S462" s="26" t="n">
        <v>1.4991416</v>
      </c>
      <c r="T462" s="24" t="n">
        <v>59.45</v>
      </c>
      <c r="U462" s="24" t="n">
        <v>53.33</v>
      </c>
      <c r="V462" s="24" t="n">
        <v>53.52</v>
      </c>
      <c r="W462" s="26" t="inlineStr">
        <is>
          <t>adidas Duramo Sl Womens Sneakers Wide Width</t>
        </is>
      </c>
      <c r="X462" s="23" t="n">
        <v>3</v>
      </c>
      <c r="Y462" s="18">
        <f>AC462-AB462</f>
        <v/>
      </c>
      <c r="Z462" s="27" t="n">
        <v>32</v>
      </c>
      <c r="AA462" s="27" t="n">
        <v>93</v>
      </c>
      <c r="AB462" s="27" t="n">
        <v>1</v>
      </c>
      <c r="AC462" s="27" t="n">
        <v>37</v>
      </c>
      <c r="AD462" s="1" t="inlineStr">
        <is>
          <t>LZX58</t>
        </is>
      </c>
      <c r="AE462" s="1" t="inlineStr">
        <is>
          <t>Black/White/Carbon</t>
        </is>
      </c>
      <c r="AF462" s="4" t="n">
        <v>8.92</v>
      </c>
      <c r="AG462" s="4" t="n">
        <v>7.47</v>
      </c>
    </row>
    <row r="463" ht="47.25" customHeight="1">
      <c r="A463" s="18" t="inlineStr">
        <is>
          <t>196465788703</t>
        </is>
      </c>
      <c r="B463" s="19" t="inlineStr">
        <is>
          <t>https://www.amazon.com/dp/</t>
        </is>
      </c>
      <c r="C463" s="20" t="inlineStr">
        <is>
          <t>B0BG6CLSYW</t>
        </is>
      </c>
      <c r="D463" s="44" t="n"/>
      <c r="E463" s="23" t="inlineStr">
        <is>
          <t>?th=1&amp;psc=1&amp;tag=sdcdeals03-20</t>
        </is>
      </c>
      <c r="F463" s="19">
        <f>HYPERLINK("https://redirect.sdcdeals.com/redirect?destination=https%3A%2F%2Fwww.amazon.com%2Fdp%2FB0BG6CLSYW%3Fth%3D1%26psc%3D1%26tag%3Dsdcdeals03-20", "Amazon Link")</f>
        <v/>
      </c>
      <c r="G463" s="19" t="inlineStr">
        <is>
          <t>https://www.jcpenney.com/s?searchTerm={search_term}</t>
        </is>
      </c>
      <c r="H463" s="23" t="inlineStr">
        <is>
          <t>196465788703</t>
        </is>
      </c>
      <c r="I463" s="19">
        <f>HYPERLINK("https://www.jcpenney.com/s?searchTerm=196465788703", "Retail Link")</f>
        <v/>
      </c>
      <c r="J463" s="23" t="inlineStr">
        <is>
          <t>n/a</t>
        </is>
      </c>
      <c r="K463" s="21" t="inlineStr">
        <is>
          <t>adidas Women's Duramo SL Lightmotion Shoes Sneaker, Black/White/Carbon, 9 Wide</t>
        </is>
      </c>
      <c r="L463" s="24" t="n">
        <v>37.9905</v>
      </c>
      <c r="M463" s="24" t="n">
        <v>51.44</v>
      </c>
      <c r="N463" s="24" t="n">
        <v>-0.5765000000000029</v>
      </c>
      <c r="O463" s="24">
        <f>V463-M463</f>
        <v/>
      </c>
      <c r="P463" s="25">
        <f>N463/L463</f>
        <v/>
      </c>
      <c r="Q463" s="23" t="n">
        <v>161122</v>
      </c>
      <c r="R463" s="23" t="n"/>
      <c r="S463" s="26" t="n">
        <v>1.4991416</v>
      </c>
      <c r="T463" s="24" t="n">
        <v>49.9</v>
      </c>
      <c r="U463" s="24" t="n">
        <v>50.62</v>
      </c>
      <c r="V463" s="24" t="n">
        <v>49.95</v>
      </c>
      <c r="W463" s="26" t="inlineStr">
        <is>
          <t>adidas Duramo Sl Womens Sneakers Wide Width</t>
        </is>
      </c>
      <c r="X463" s="23" t="n">
        <v>5</v>
      </c>
      <c r="Y463" s="18">
        <f>AC463-AB463</f>
        <v/>
      </c>
      <c r="Z463" s="27" t="n">
        <v>28</v>
      </c>
      <c r="AA463" s="27" t="n">
        <v>76</v>
      </c>
      <c r="AB463" s="27" t="n">
        <v>2</v>
      </c>
      <c r="AC463" s="27" t="n">
        <v>37</v>
      </c>
      <c r="AD463" s="1" t="inlineStr">
        <is>
          <t>LZX58</t>
        </is>
      </c>
      <c r="AE463" s="1" t="inlineStr">
        <is>
          <t>Black/White/Carbon</t>
        </is>
      </c>
      <c r="AF463" s="4" t="n">
        <v>7.72</v>
      </c>
      <c r="AG463" s="4" t="n">
        <v>6.31</v>
      </c>
    </row>
    <row r="464" ht="47.25" customHeight="1">
      <c r="A464" s="18" t="inlineStr">
        <is>
          <t>196465788659</t>
        </is>
      </c>
      <c r="B464" s="19" t="inlineStr">
        <is>
          <t>https://www.amazon.com/dp/</t>
        </is>
      </c>
      <c r="C464" s="20" t="inlineStr">
        <is>
          <t>B0BG699CXQ</t>
        </is>
      </c>
      <c r="D464" s="44" t="n"/>
      <c r="E464" s="23" t="inlineStr">
        <is>
          <t>?th=1&amp;psc=1&amp;tag=sdcdeals03-20</t>
        </is>
      </c>
      <c r="F464" s="19">
        <f>HYPERLINK("https://redirect.sdcdeals.com/redirect?destination=https%3A%2F%2Fwww.amazon.com%2Fdp%2FB0BG699CXQ%3Fth%3D1%26psc%3D1%26tag%3Dsdcdeals03-20", "Amazon Link")</f>
        <v/>
      </c>
      <c r="G464" s="19" t="inlineStr">
        <is>
          <t>https://www.jcpenney.com/s?searchTerm={search_term}</t>
        </is>
      </c>
      <c r="H464" s="23" t="inlineStr">
        <is>
          <t>196465788659</t>
        </is>
      </c>
      <c r="I464" s="19">
        <f>HYPERLINK("https://www.jcpenney.com/s?searchTerm=196465788659", "Retail Link")</f>
        <v/>
      </c>
      <c r="J464" s="23" t="inlineStr">
        <is>
          <t>n/a</t>
        </is>
      </c>
      <c r="K464" s="21" t="inlineStr">
        <is>
          <t>adidas Women's Duramo SL Running Sneaker, Black/White/Carbon, 9.5 Wide</t>
        </is>
      </c>
      <c r="L464" s="24" t="n">
        <v>37.9905</v>
      </c>
      <c r="M464" s="24" t="n">
        <v>49.9</v>
      </c>
      <c r="N464" s="24" t="n">
        <v>-3.435499999999998</v>
      </c>
      <c r="O464" s="24">
        <f>V464-M464</f>
        <v/>
      </c>
      <c r="P464" s="25">
        <f>N464/L464</f>
        <v/>
      </c>
      <c r="Q464" s="23" t="n">
        <v>148456</v>
      </c>
      <c r="R464" s="23" t="n"/>
      <c r="S464" s="26" t="n">
        <v>1.4991416</v>
      </c>
      <c r="T464" s="24" t="n">
        <v>49.9</v>
      </c>
      <c r="U464" s="24" t="n">
        <v>49.52</v>
      </c>
      <c r="V464" s="24" t="n">
        <v>51.19</v>
      </c>
      <c r="W464" s="26" t="inlineStr">
        <is>
          <t>adidas Duramo Sl Womens Sneakers Wide Width</t>
        </is>
      </c>
      <c r="X464" s="23" t="n">
        <v>3</v>
      </c>
      <c r="Y464" s="18">
        <f>AC464-AB464</f>
        <v/>
      </c>
      <c r="Z464" s="27" t="n">
        <v>14</v>
      </c>
      <c r="AA464" s="27" t="n">
        <v>59</v>
      </c>
      <c r="AB464" s="27" t="n">
        <v>0</v>
      </c>
      <c r="AC464" s="27" t="n">
        <v>37</v>
      </c>
      <c r="AD464" s="1" t="inlineStr">
        <is>
          <t>LZX58</t>
        </is>
      </c>
      <c r="AE464" s="1" t="inlineStr">
        <is>
          <t>Black/White/Carbon</t>
        </is>
      </c>
      <c r="AF464" s="4" t="n">
        <v>7.48</v>
      </c>
      <c r="AG464" s="4" t="n">
        <v>7.86</v>
      </c>
    </row>
    <row r="465" ht="47.25" customHeight="1">
      <c r="A465" s="18" t="inlineStr">
        <is>
          <t>196465788741</t>
        </is>
      </c>
      <c r="B465" s="19" t="inlineStr">
        <is>
          <t>https://www.amazon.com/dp/</t>
        </is>
      </c>
      <c r="C465" s="20" t="inlineStr">
        <is>
          <t>B0BG6C92F2</t>
        </is>
      </c>
      <c r="D465" s="44" t="n"/>
      <c r="E465" s="23" t="inlineStr">
        <is>
          <t>?th=1&amp;psc=1&amp;tag=sdcdeals03-20</t>
        </is>
      </c>
      <c r="F465" s="19">
        <f>HYPERLINK("https://redirect.sdcdeals.com/redirect?destination=https%3A%2F%2Fwww.amazon.com%2Fdp%2FB0BG6C92F2%3Fth%3D1%26psc%3D1%26tag%3Dsdcdeals03-20", "Amazon Link")</f>
        <v/>
      </c>
      <c r="G465" s="19" t="inlineStr">
        <is>
          <t>https://www.jcpenney.com/s?searchTerm={search_term}</t>
        </is>
      </c>
      <c r="H465" s="23" t="inlineStr">
        <is>
          <t>196465788741</t>
        </is>
      </c>
      <c r="I465" s="19">
        <f>HYPERLINK("https://www.jcpenney.com/s?searchTerm=196465788741", "Retail Link")</f>
        <v/>
      </c>
      <c r="J465" s="23" t="inlineStr">
        <is>
          <t>n/a</t>
        </is>
      </c>
      <c r="K465" s="21" t="inlineStr">
        <is>
          <t>adidas Women's Duramo SL Running Sneaker, Black/White/Carbon, 10 Wide</t>
        </is>
      </c>
      <c r="L465" s="24" t="n">
        <v>37.9905</v>
      </c>
      <c r="M465" s="24" t="n">
        <v>53.34</v>
      </c>
      <c r="N465" s="24" t="n">
        <v>-0.1214999999999975</v>
      </c>
      <c r="O465" s="24">
        <f>V465-M465</f>
        <v/>
      </c>
      <c r="P465" s="25">
        <f>N465/L465</f>
        <v/>
      </c>
      <c r="Q465" s="23" t="n">
        <v>183905</v>
      </c>
      <c r="R465" s="23" t="n"/>
      <c r="S465" s="26" t="n">
        <v>1.2786796</v>
      </c>
      <c r="T465" s="24" t="n">
        <v>53.34</v>
      </c>
      <c r="U465" s="24" t="n">
        <v>61.51</v>
      </c>
      <c r="V465" s="24" t="n">
        <v>58.48</v>
      </c>
      <c r="W465" s="26" t="inlineStr">
        <is>
          <t>adidas Duramo Sl Womens Sneakers Wide Width</t>
        </is>
      </c>
      <c r="X465" s="23" t="n">
        <v>1</v>
      </c>
      <c r="Y465" s="18">
        <f>AC465-AB465</f>
        <v/>
      </c>
      <c r="Z465" s="27" t="n">
        <v>16</v>
      </c>
      <c r="AA465" s="27" t="n">
        <v>56</v>
      </c>
      <c r="AB465" s="27" t="n">
        <v>1</v>
      </c>
      <c r="AC465" s="27" t="n">
        <v>37</v>
      </c>
      <c r="AD465" s="1" t="inlineStr">
        <is>
          <t>LZX58</t>
        </is>
      </c>
      <c r="AE465" s="1" t="inlineStr">
        <is>
          <t>Black/White/Carbon</t>
        </is>
      </c>
      <c r="AF465" s="4" t="n">
        <v>8</v>
      </c>
      <c r="AG465" s="4" t="n">
        <v>7.47</v>
      </c>
    </row>
    <row r="466" ht="47.25" customHeight="1">
      <c r="A466" s="18" t="inlineStr">
        <is>
          <t>196465788666</t>
        </is>
      </c>
      <c r="B466" s="19" t="inlineStr">
        <is>
          <t>https://www.amazon.com/dp/</t>
        </is>
      </c>
      <c r="C466" s="20" t="inlineStr">
        <is>
          <t>B0BG6D4ZRT</t>
        </is>
      </c>
      <c r="D466" s="44" t="n"/>
      <c r="E466" s="23" t="inlineStr">
        <is>
          <t>?th=1&amp;psc=1&amp;tag=sdcdeals03-20</t>
        </is>
      </c>
      <c r="F466" s="19">
        <f>HYPERLINK("https://redirect.sdcdeals.com/redirect?destination=https%3A%2F%2Fwww.amazon.com%2Fdp%2FB0BG6D4ZRT%3Fth%3D1%26psc%3D1%26tag%3Dsdcdeals03-20", "Amazon Link")</f>
        <v/>
      </c>
      <c r="G466" s="19" t="inlineStr">
        <is>
          <t>https://www.jcpenney.com/s?searchTerm={search_term}</t>
        </is>
      </c>
      <c r="H466" s="23" t="inlineStr">
        <is>
          <t>196465788666</t>
        </is>
      </c>
      <c r="I466" s="19">
        <f>HYPERLINK("https://www.jcpenney.com/s?searchTerm=196465788666", "Retail Link")</f>
        <v/>
      </c>
      <c r="J466" s="23" t="inlineStr">
        <is>
          <t>n/a</t>
        </is>
      </c>
      <c r="K466" s="21" t="inlineStr">
        <is>
          <t>adidas Women's Duramo SL Running Sneaker, Black/White/Carbon, 11 Wide</t>
        </is>
      </c>
      <c r="L466" s="24" t="n">
        <v>37.9905</v>
      </c>
      <c r="M466" s="24" t="n">
        <v>59.45</v>
      </c>
      <c r="N466" s="24" t="n">
        <v>6.102000000000004</v>
      </c>
      <c r="O466" s="24">
        <f>V466-M466</f>
        <v/>
      </c>
      <c r="P466" s="25">
        <f>N466/L466</f>
        <v/>
      </c>
      <c r="Q466" s="23" t="n">
        <v>3887810</v>
      </c>
      <c r="R466" s="23" t="n"/>
      <c r="S466" s="26" t="n">
        <v>1.4991416</v>
      </c>
      <c r="T466" s="24" t="n">
        <v>59.45</v>
      </c>
      <c r="U466" s="24" t="n">
        <v>55.52</v>
      </c>
      <c r="V466" s="24" t="n">
        <v>55.07</v>
      </c>
      <c r="W466" s="26" t="inlineStr">
        <is>
          <t>adidas Duramo Sl Womens Sneakers Wide Width</t>
        </is>
      </c>
      <c r="X466" s="23" t="n">
        <v>1</v>
      </c>
      <c r="Y466" s="18">
        <f>AC466-AB466</f>
        <v/>
      </c>
      <c r="Z466" s="27" t="n">
        <v>1</v>
      </c>
      <c r="AA466" s="27" t="n">
        <v>11</v>
      </c>
      <c r="AB466" s="27" t="n">
        <v>0</v>
      </c>
      <c r="AC466" s="27" t="n"/>
      <c r="AD466" s="1" t="inlineStr">
        <is>
          <t>LZX58</t>
        </is>
      </c>
      <c r="AE466" s="1" t="inlineStr">
        <is>
          <t>Black/White/Carbon</t>
        </is>
      </c>
      <c r="AF466" s="4" t="n">
        <v>8.92</v>
      </c>
      <c r="AG466" s="4" t="n">
        <v>6.44</v>
      </c>
    </row>
    <row r="467" ht="47.25" customHeight="1">
      <c r="A467" s="18" t="inlineStr">
        <is>
          <t>196477626154</t>
        </is>
      </c>
      <c r="B467" s="19" t="inlineStr">
        <is>
          <t>https://www.amazon.com/dp/</t>
        </is>
      </c>
      <c r="C467" s="20" t="inlineStr">
        <is>
          <t>B0CKMNTB5V</t>
        </is>
      </c>
      <c r="D467" s="44" t="n"/>
      <c r="E467" s="23" t="inlineStr">
        <is>
          <t>?th=1&amp;psc=1&amp;tag=sdcdeals03-20</t>
        </is>
      </c>
      <c r="F467" s="19">
        <f>HYPERLINK("https://redirect.sdcdeals.com/redirect?destination=https%3A%2F%2Fwww.amazon.com%2Fdp%2FB0CKMNTB5V%3Fth%3D1%26psc%3D1%26tag%3Dsdcdeals03-20", "Amazon Link")</f>
        <v/>
      </c>
      <c r="G467" s="19" t="inlineStr">
        <is>
          <t>https://www.jcpenney.com/s?searchTerm={search_term}</t>
        </is>
      </c>
      <c r="H467" s="23" t="inlineStr">
        <is>
          <t>196477626154</t>
        </is>
      </c>
      <c r="I467" s="19">
        <f>HYPERLINK("https://www.jcpenney.com/s?searchTerm=196477626154", "Retail Link")</f>
        <v/>
      </c>
      <c r="J467" s="23" t="inlineStr">
        <is>
          <t>n/a</t>
        </is>
      </c>
      <c r="K467" s="21" t="inlineStr">
        <is>
          <t>adidas Women's Breaknet Sleek Sneaker, Black/White/Black, 5</t>
        </is>
      </c>
      <c r="L467" s="24" t="n">
        <v>56.9905</v>
      </c>
      <c r="M467" s="24" t="n">
        <v>49.08</v>
      </c>
      <c r="N467" s="24" t="n">
        <v>-21.8825</v>
      </c>
      <c r="O467" s="24">
        <f>V467-M467</f>
        <v/>
      </c>
      <c r="P467" s="25">
        <f>N467/L467</f>
        <v/>
      </c>
      <c r="Q467" s="23" t="n">
        <v>36594</v>
      </c>
      <c r="R467" s="23" t="n"/>
      <c r="S467" s="26" t="n">
        <v>1.4109568</v>
      </c>
      <c r="T467" s="24" t="inlineStr"/>
      <c r="U467" s="24" t="n">
        <v>49.08</v>
      </c>
      <c r="V467" s="24" t="n">
        <v>50.9</v>
      </c>
      <c r="W467" s="26" t="inlineStr">
        <is>
          <t>adidas Breaknet Sleek Suede Womens Sneakers</t>
        </is>
      </c>
      <c r="X467" s="23" t="n">
        <v>1</v>
      </c>
      <c r="Y467" s="18">
        <f>AC467-AB467</f>
        <v/>
      </c>
      <c r="Z467" s="27" t="n">
        <v>13</v>
      </c>
      <c r="AA467" s="27" t="n">
        <v>68</v>
      </c>
      <c r="AB467" s="27" t="n">
        <v>0</v>
      </c>
      <c r="AC467" s="27" t="n">
        <v>55</v>
      </c>
      <c r="AD467" s="1" t="inlineStr">
        <is>
          <t>NKA01</t>
        </is>
      </c>
      <c r="AE467" s="1" t="inlineStr">
        <is>
          <t>Black/White/Black</t>
        </is>
      </c>
      <c r="AF467" s="4" t="inlineStr"/>
      <c r="AG467" s="4" t="n">
        <v>6.61</v>
      </c>
    </row>
    <row r="468" ht="47.25" customHeight="1">
      <c r="A468" s="18" t="inlineStr">
        <is>
          <t>196477626130</t>
        </is>
      </c>
      <c r="B468" s="19" t="inlineStr">
        <is>
          <t>https://www.amazon.com/dp/</t>
        </is>
      </c>
      <c r="C468" s="20" t="inlineStr">
        <is>
          <t>B0CKMMDRLT</t>
        </is>
      </c>
      <c r="D468" s="44" t="n"/>
      <c r="E468" s="23" t="inlineStr">
        <is>
          <t>?th=1&amp;psc=1&amp;tag=sdcdeals03-20</t>
        </is>
      </c>
      <c r="F468" s="19">
        <f>HYPERLINK("https://redirect.sdcdeals.com/redirect?destination=https%3A%2F%2Fwww.amazon.com%2Fdp%2FB0CKMMDRLT%3Fth%3D1%26psc%3D1%26tag%3Dsdcdeals03-20", "Amazon Link")</f>
        <v/>
      </c>
      <c r="G468" s="19" t="inlineStr">
        <is>
          <t>https://www.jcpenney.com/s?searchTerm={search_term}</t>
        </is>
      </c>
      <c r="H468" s="23" t="inlineStr">
        <is>
          <t>196477626130</t>
        </is>
      </c>
      <c r="I468" s="19">
        <f>HYPERLINK("https://www.jcpenney.com/s?searchTerm=196477626130", "Retail Link")</f>
        <v/>
      </c>
      <c r="J468" s="23" t="inlineStr">
        <is>
          <t>n/a</t>
        </is>
      </c>
      <c r="K468" s="21" t="inlineStr">
        <is>
          <t>adidas Women's Breaknet Sleek Sneaker, Black/White/Black, 5.5</t>
        </is>
      </c>
      <c r="L468" s="24" t="n">
        <v>56.9905</v>
      </c>
      <c r="M468" s="24" t="n">
        <v>50.62</v>
      </c>
      <c r="N468" s="24" t="n">
        <v>-20.9935</v>
      </c>
      <c r="O468" s="24">
        <f>V468-M468</f>
        <v/>
      </c>
      <c r="P468" s="25">
        <f>N468/L468</f>
        <v/>
      </c>
      <c r="Q468" s="23" t="n">
        <v>33964</v>
      </c>
      <c r="R468" s="23" t="n"/>
      <c r="S468" s="26" t="n">
        <v>1.58953102</v>
      </c>
      <c r="T468" s="24" t="inlineStr"/>
      <c r="U468" s="24" t="n">
        <v>50.62</v>
      </c>
      <c r="V468" s="24" t="n">
        <v>55.68</v>
      </c>
      <c r="W468" s="26" t="inlineStr">
        <is>
          <t>adidas Breaknet Sleek Suede Womens Sneakers</t>
        </is>
      </c>
      <c r="X468" s="23" t="n">
        <v>1</v>
      </c>
      <c r="Y468" s="18">
        <f>AC468-AB468</f>
        <v/>
      </c>
      <c r="Z468" s="27" t="n">
        <v>7</v>
      </c>
      <c r="AA468" s="27" t="n">
        <v>48</v>
      </c>
      <c r="AB468" s="27" t="n">
        <v>0</v>
      </c>
      <c r="AC468" s="27" t="n">
        <v>43</v>
      </c>
      <c r="AD468" s="1" t="inlineStr">
        <is>
          <t>NKA01</t>
        </is>
      </c>
      <c r="AE468" s="1" t="inlineStr">
        <is>
          <t>Black/White/Black</t>
        </is>
      </c>
      <c r="AF468" s="4" t="inlineStr"/>
      <c r="AG468" s="4" t="n">
        <v>7.03</v>
      </c>
    </row>
    <row r="469" ht="47.25" customHeight="1">
      <c r="A469" s="18" t="inlineStr">
        <is>
          <t>196477626147</t>
        </is>
      </c>
      <c r="B469" s="19" t="inlineStr">
        <is>
          <t>https://www.amazon.com/dp/</t>
        </is>
      </c>
      <c r="C469" s="20" t="inlineStr">
        <is>
          <t>B0CKMP3RPY</t>
        </is>
      </c>
      <c r="D469" s="44" t="n"/>
      <c r="E469" s="23" t="inlineStr">
        <is>
          <t>?th=1&amp;psc=1&amp;tag=sdcdeals03-20</t>
        </is>
      </c>
      <c r="F469" s="19">
        <f>HYPERLINK("https://redirect.sdcdeals.com/redirect?destination=https%3A%2F%2Fwww.amazon.com%2Fdp%2FB0CKMP3RPY%3Fth%3D1%26psc%3D1%26tag%3Dsdcdeals03-20", "Amazon Link")</f>
        <v/>
      </c>
      <c r="G469" s="19" t="inlineStr">
        <is>
          <t>https://www.jcpenney.com/s?searchTerm={search_term}</t>
        </is>
      </c>
      <c r="H469" s="23" t="inlineStr">
        <is>
          <t>196477626147</t>
        </is>
      </c>
      <c r="I469" s="19">
        <f>HYPERLINK("https://www.jcpenney.com/s?searchTerm=196477626147", "Retail Link")</f>
        <v/>
      </c>
      <c r="J469" s="23" t="inlineStr">
        <is>
          <t>n/a</t>
        </is>
      </c>
      <c r="K469" s="21" t="inlineStr">
        <is>
          <t>adidas Women's Breaknet Sleek Sneaker, Black/White/Black, 6</t>
        </is>
      </c>
      <c r="L469" s="24" t="n">
        <v>56.9905</v>
      </c>
      <c r="M469" s="24" t="n">
        <v>79.98999999999999</v>
      </c>
      <c r="N469" s="24" t="n">
        <v>3.970999999999989</v>
      </c>
      <c r="O469" s="24">
        <f>V469-M469</f>
        <v/>
      </c>
      <c r="P469" s="25">
        <f>N469/L469</f>
        <v/>
      </c>
      <c r="Q469" s="23" t="n">
        <v>37577</v>
      </c>
      <c r="R469" s="23" t="n"/>
      <c r="S469" s="26" t="n">
        <v>1.56968944</v>
      </c>
      <c r="T469" s="24" t="n">
        <v>79.98999999999999</v>
      </c>
      <c r="U469" s="24" t="n">
        <v>48.21</v>
      </c>
      <c r="V469" s="24" t="n">
        <v>51.91</v>
      </c>
      <c r="W469" s="26" t="inlineStr">
        <is>
          <t>adidas Breaknet Sleek Suede Womens Sneakers</t>
        </is>
      </c>
      <c r="X469" s="23" t="n">
        <v>1</v>
      </c>
      <c r="Y469" s="18">
        <f>AC469-AB469</f>
        <v/>
      </c>
      <c r="Z469" s="27" t="n">
        <v>22</v>
      </c>
      <c r="AA469" s="27" t="n">
        <v>83</v>
      </c>
      <c r="AB469" s="27" t="n">
        <v>0</v>
      </c>
      <c r="AC469" s="27" t="n">
        <v>55</v>
      </c>
      <c r="AD469" s="1" t="inlineStr">
        <is>
          <t>NKA01</t>
        </is>
      </c>
      <c r="AE469" s="1" t="inlineStr">
        <is>
          <t>Black/White/Black</t>
        </is>
      </c>
      <c r="AF469" s="4" t="inlineStr"/>
      <c r="AG469" s="4" t="n">
        <v>7.03</v>
      </c>
    </row>
    <row r="470" ht="47.25" customHeight="1">
      <c r="A470" s="18" t="inlineStr">
        <is>
          <t>196477626161</t>
        </is>
      </c>
      <c r="B470" s="19" t="inlineStr">
        <is>
          <t>https://www.amazon.com/dp/</t>
        </is>
      </c>
      <c r="C470" s="20" t="inlineStr">
        <is>
          <t>B0CKMMLR2C</t>
        </is>
      </c>
      <c r="D470" s="44" t="n"/>
      <c r="E470" s="23" t="inlineStr">
        <is>
          <t>?th=1&amp;psc=1&amp;tag=sdcdeals03-20</t>
        </is>
      </c>
      <c r="F470" s="19">
        <f>HYPERLINK("https://redirect.sdcdeals.com/redirect?destination=https%3A%2F%2Fwww.amazon.com%2Fdp%2FB0CKMMLR2C%3Fth%3D1%26psc%3D1%26tag%3Dsdcdeals03-20", "Amazon Link")</f>
        <v/>
      </c>
      <c r="G470" s="19" t="inlineStr">
        <is>
          <t>https://www.jcpenney.com/s?searchTerm={search_term}</t>
        </is>
      </c>
      <c r="H470" s="23" t="inlineStr">
        <is>
          <t>196477626161</t>
        </is>
      </c>
      <c r="I470" s="19">
        <f>HYPERLINK("https://www.jcpenney.com/s?searchTerm=196477626161", "Retail Link")</f>
        <v/>
      </c>
      <c r="J470" s="23" t="inlineStr">
        <is>
          <t>n/a</t>
        </is>
      </c>
      <c r="K470" s="21" t="inlineStr">
        <is>
          <t>adidas Women's Breaknet Sleek Sneaker, Black/White/Black, 6.5</t>
        </is>
      </c>
      <c r="L470" s="24" t="n">
        <v>56.9905</v>
      </c>
      <c r="M470" s="24" t="n">
        <v>79.98999999999999</v>
      </c>
      <c r="N470" s="24" t="n">
        <v>4.390999999999991</v>
      </c>
      <c r="O470" s="24">
        <f>V470-M470</f>
        <v/>
      </c>
      <c r="P470" s="25">
        <f>N470/L470</f>
        <v/>
      </c>
      <c r="Q470" s="23" t="n">
        <v>37577</v>
      </c>
      <c r="R470" s="23" t="n"/>
      <c r="S470" s="26" t="n">
        <v>1.69976202</v>
      </c>
      <c r="T470" s="24" t="n">
        <v>79.98999999999999</v>
      </c>
      <c r="U470" s="24" t="n">
        <v>48.61</v>
      </c>
      <c r="V470" s="24" t="n">
        <v>52.71</v>
      </c>
      <c r="W470" s="26" t="inlineStr">
        <is>
          <t>adidas Breaknet Sleek Suede Womens Sneakers</t>
        </is>
      </c>
      <c r="X470" s="23" t="n">
        <v>1</v>
      </c>
      <c r="Y470" s="18">
        <f>AC470-AB470</f>
        <v/>
      </c>
      <c r="Z470" s="27" t="n">
        <v>22</v>
      </c>
      <c r="AA470" s="27" t="n">
        <v>76</v>
      </c>
      <c r="AB470" s="27" t="n">
        <v>1</v>
      </c>
      <c r="AC470" s="27" t="n">
        <v>55</v>
      </c>
      <c r="AD470" s="1" t="inlineStr">
        <is>
          <t>NKA01</t>
        </is>
      </c>
      <c r="AE470" s="1" t="inlineStr">
        <is>
          <t>Black/White/Black</t>
        </is>
      </c>
      <c r="AF470" s="4" t="inlineStr"/>
      <c r="AG470" s="4" t="n">
        <v>6.61</v>
      </c>
    </row>
    <row r="471" ht="47.25" customHeight="1">
      <c r="A471" s="18" t="inlineStr">
        <is>
          <t>196477626192</t>
        </is>
      </c>
      <c r="B471" s="19" t="inlineStr">
        <is>
          <t>https://www.amazon.com/dp/</t>
        </is>
      </c>
      <c r="C471" s="20" t="inlineStr">
        <is>
          <t>B0CKMNCNJT</t>
        </is>
      </c>
      <c r="D471" s="44" t="n"/>
      <c r="E471" s="23" t="inlineStr">
        <is>
          <t>?th=1&amp;psc=1&amp;tag=sdcdeals03-20</t>
        </is>
      </c>
      <c r="F471" s="19">
        <f>HYPERLINK("https://redirect.sdcdeals.com/redirect?destination=https%3A%2F%2Fwww.amazon.com%2Fdp%2FB0CKMNCNJT%3Fth%3D1%26psc%3D1%26tag%3Dsdcdeals03-20", "Amazon Link")</f>
        <v/>
      </c>
      <c r="G471" s="19" t="inlineStr">
        <is>
          <t>https://www.jcpenney.com/s?searchTerm={search_term}</t>
        </is>
      </c>
      <c r="H471" s="23" t="inlineStr">
        <is>
          <t>196477626192</t>
        </is>
      </c>
      <c r="I471" s="19">
        <f>HYPERLINK("https://www.jcpenney.com/s?searchTerm=196477626192", "Retail Link")</f>
        <v/>
      </c>
      <c r="J471" s="23" t="inlineStr">
        <is>
          <t>n/a</t>
        </is>
      </c>
      <c r="K471" s="21" t="inlineStr">
        <is>
          <t>adidas Women's Breaknet Sleek Sneaker, Black/White/Black, 7</t>
        </is>
      </c>
      <c r="L471" s="24" t="n">
        <v>56.9905</v>
      </c>
      <c r="M471" s="24" t="n">
        <v>79.98999999999999</v>
      </c>
      <c r="N471" s="24" t="n">
        <v>3.970999999999989</v>
      </c>
      <c r="O471" s="24">
        <f>V471-M471</f>
        <v/>
      </c>
      <c r="P471" s="25">
        <f>N471/L471</f>
        <v/>
      </c>
      <c r="Q471" s="23" t="n">
        <v>37577</v>
      </c>
      <c r="R471" s="23" t="n"/>
      <c r="S471" s="26" t="n">
        <v>1.6314188</v>
      </c>
      <c r="T471" s="24" t="n">
        <v>79.98999999999999</v>
      </c>
      <c r="U471" s="24" t="n">
        <v>50.98</v>
      </c>
      <c r="V471" s="24" t="n">
        <v>54.45</v>
      </c>
      <c r="W471" s="26" t="inlineStr">
        <is>
          <t>adidas Breaknet Sleek Suede Womens Sneakers</t>
        </is>
      </c>
      <c r="X471" s="23" t="n">
        <v>1</v>
      </c>
      <c r="Y471" s="18">
        <f>AC471-AB471</f>
        <v/>
      </c>
      <c r="Z471" s="27" t="n">
        <v>26</v>
      </c>
      <c r="AA471" s="27" t="n">
        <v>70</v>
      </c>
      <c r="AB471" s="27" t="n">
        <v>0</v>
      </c>
      <c r="AC471" s="27" t="n">
        <v>55</v>
      </c>
      <c r="AD471" s="1" t="inlineStr">
        <is>
          <t>NKA01</t>
        </is>
      </c>
      <c r="AE471" s="1" t="inlineStr">
        <is>
          <t>Black/White/Black</t>
        </is>
      </c>
      <c r="AF471" s="4" t="inlineStr"/>
      <c r="AG471" s="4" t="n">
        <v>7.03</v>
      </c>
    </row>
    <row r="472" ht="47.25" customHeight="1">
      <c r="A472" s="18" t="inlineStr">
        <is>
          <t>196477626178</t>
        </is>
      </c>
      <c r="B472" s="19" t="inlineStr">
        <is>
          <t>https://www.amazon.com/dp/</t>
        </is>
      </c>
      <c r="C472" s="20" t="inlineStr">
        <is>
          <t>B0CKMPKG23</t>
        </is>
      </c>
      <c r="D472" s="44" t="n"/>
      <c r="E472" s="23" t="inlineStr">
        <is>
          <t>?th=1&amp;psc=1&amp;tag=sdcdeals03-20</t>
        </is>
      </c>
      <c r="F472" s="19">
        <f>HYPERLINK("https://redirect.sdcdeals.com/redirect?destination=https%3A%2F%2Fwww.amazon.com%2Fdp%2FB0CKMPKG23%3Fth%3D1%26psc%3D1%26tag%3Dsdcdeals03-20", "Amazon Link")</f>
        <v/>
      </c>
      <c r="G472" s="19" t="inlineStr">
        <is>
          <t>https://www.jcpenney.com/s?searchTerm={search_term}</t>
        </is>
      </c>
      <c r="H472" s="23" t="inlineStr">
        <is>
          <t>196477626178</t>
        </is>
      </c>
      <c r="I472" s="19">
        <f>HYPERLINK("https://www.jcpenney.com/s?searchTerm=196477626178", "Retail Link")</f>
        <v/>
      </c>
      <c r="J472" s="23" t="inlineStr">
        <is>
          <t>n/a</t>
        </is>
      </c>
      <c r="K472" s="21" t="inlineStr">
        <is>
          <t>adidas Women's Breaknet Sleek Sneaker, Black/White/Black, 7.5</t>
        </is>
      </c>
      <c r="L472" s="24" t="n">
        <v>56.9905</v>
      </c>
      <c r="M472" s="24" t="n">
        <v>52.66</v>
      </c>
      <c r="N472" s="24" t="n">
        <v>-18.8395</v>
      </c>
      <c r="O472" s="24">
        <f>V472-M472</f>
        <v/>
      </c>
      <c r="P472" s="25">
        <f>N472/L472</f>
        <v/>
      </c>
      <c r="Q472" s="23" t="n">
        <v>34792</v>
      </c>
      <c r="R472" s="23" t="n"/>
      <c r="S472" s="26" t="n">
        <v>1.6093726</v>
      </c>
      <c r="T472" s="24" t="inlineStr"/>
      <c r="U472" s="24" t="n">
        <v>52.66</v>
      </c>
      <c r="V472" s="24" t="n">
        <v>55.64</v>
      </c>
      <c r="W472" s="26" t="inlineStr">
        <is>
          <t>adidas Breaknet Sleek Suede Womens Sneakers</t>
        </is>
      </c>
      <c r="X472" s="23" t="n">
        <v>1</v>
      </c>
      <c r="Y472" s="18">
        <f>AC472-AB472</f>
        <v/>
      </c>
      <c r="Z472" s="27" t="n">
        <v>21</v>
      </c>
      <c r="AA472" s="27" t="n">
        <v>63</v>
      </c>
      <c r="AB472" s="27" t="n">
        <v>1</v>
      </c>
      <c r="AC472" s="27" t="n">
        <v>55</v>
      </c>
      <c r="AD472" s="1" t="inlineStr">
        <is>
          <t>NKA01</t>
        </is>
      </c>
      <c r="AE472" s="1" t="inlineStr">
        <is>
          <t>Black/White/Black</t>
        </is>
      </c>
      <c r="AF472" s="4" t="inlineStr"/>
      <c r="AG472" s="4" t="n">
        <v>6.61</v>
      </c>
    </row>
    <row r="473" ht="47.25" customHeight="1">
      <c r="A473" s="18" t="inlineStr">
        <is>
          <t>196477626185</t>
        </is>
      </c>
      <c r="B473" s="19" t="inlineStr">
        <is>
          <t>https://www.amazon.com/dp/</t>
        </is>
      </c>
      <c r="C473" s="20" t="inlineStr">
        <is>
          <t>B0CKMQ71KB</t>
        </is>
      </c>
      <c r="D473" s="44" t="n"/>
      <c r="E473" s="23" t="inlineStr">
        <is>
          <t>?th=1&amp;psc=1&amp;tag=sdcdeals03-20</t>
        </is>
      </c>
      <c r="F473" s="19">
        <f>HYPERLINK("https://redirect.sdcdeals.com/redirect?destination=https%3A%2F%2Fwww.amazon.com%2Fdp%2FB0CKMQ71KB%3Fth%3D1%26psc%3D1%26tag%3Dsdcdeals03-20", "Amazon Link")</f>
        <v/>
      </c>
      <c r="G473" s="19" t="inlineStr">
        <is>
          <t>https://www.jcpenney.com/s?searchTerm={search_term}</t>
        </is>
      </c>
      <c r="H473" s="23" t="inlineStr">
        <is>
          <t>196477626185</t>
        </is>
      </c>
      <c r="I473" s="19">
        <f>HYPERLINK("https://www.jcpenney.com/s?searchTerm=196477626185", "Retail Link")</f>
        <v/>
      </c>
      <c r="J473" s="23" t="inlineStr">
        <is>
          <t>n/a</t>
        </is>
      </c>
      <c r="K473" s="21" t="inlineStr">
        <is>
          <t>adidas Women's Breaknet Sleek Sneaker, Black/White/Black, 8</t>
        </is>
      </c>
      <c r="L473" s="24" t="n">
        <v>56.9905</v>
      </c>
      <c r="M473" s="24" t="n">
        <v>79.98999999999999</v>
      </c>
      <c r="N473" s="24" t="n">
        <v>3.460999999999991</v>
      </c>
      <c r="O473" s="24">
        <f>V473-M473</f>
        <v/>
      </c>
      <c r="P473" s="25">
        <f>N473/L473</f>
        <v/>
      </c>
      <c r="Q473" s="23" t="n">
        <v>36594</v>
      </c>
      <c r="R473" s="23" t="n"/>
      <c r="S473" s="26" t="n">
        <v>1.64905576</v>
      </c>
      <c r="T473" s="24" t="n">
        <v>79.98999999999999</v>
      </c>
      <c r="U473" s="24" t="n">
        <v>57.25</v>
      </c>
      <c r="V473" s="24" t="n">
        <v>59.25</v>
      </c>
      <c r="W473" s="26" t="inlineStr">
        <is>
          <t>adidas Breaknet Sleek Suede Womens Sneakers</t>
        </is>
      </c>
      <c r="X473" s="23" t="n">
        <v>2</v>
      </c>
      <c r="Y473" s="18">
        <f>AC473-AB473</f>
        <v/>
      </c>
      <c r="Z473" s="27" t="n">
        <v>29</v>
      </c>
      <c r="AA473" s="27" t="n">
        <v>97</v>
      </c>
      <c r="AB473" s="27" t="n">
        <v>0</v>
      </c>
      <c r="AC473" s="27" t="n">
        <v>55</v>
      </c>
      <c r="AD473" s="1" t="inlineStr">
        <is>
          <t>NKA01</t>
        </is>
      </c>
      <c r="AE473" s="1" t="inlineStr">
        <is>
          <t>Black/White/Black</t>
        </is>
      </c>
      <c r="AF473" s="4" t="inlineStr"/>
      <c r="AG473" s="4" t="n">
        <v>7.54</v>
      </c>
    </row>
    <row r="474" ht="47.25" customHeight="1">
      <c r="A474" s="18" t="inlineStr">
        <is>
          <t>196477626239</t>
        </is>
      </c>
      <c r="B474" s="19" t="inlineStr">
        <is>
          <t>https://www.amazon.com/dp/</t>
        </is>
      </c>
      <c r="C474" s="20" t="inlineStr">
        <is>
          <t>B0CKMNRG16</t>
        </is>
      </c>
      <c r="D474" s="44" t="n"/>
      <c r="E474" s="23" t="inlineStr">
        <is>
          <t>?th=1&amp;psc=1&amp;tag=sdcdeals03-20</t>
        </is>
      </c>
      <c r="F474" s="19">
        <f>HYPERLINK("https://redirect.sdcdeals.com/redirect?destination=https%3A%2F%2Fwww.amazon.com%2Fdp%2FB0CKMNRG16%3Fth%3D1%26psc%3D1%26tag%3Dsdcdeals03-20", "Amazon Link")</f>
        <v/>
      </c>
      <c r="G474" s="19" t="inlineStr">
        <is>
          <t>https://www.jcpenney.com/s?searchTerm={search_term}</t>
        </is>
      </c>
      <c r="H474" s="23" t="inlineStr">
        <is>
          <t>196477626239</t>
        </is>
      </c>
      <c r="I474" s="19">
        <f>HYPERLINK("https://www.jcpenney.com/s?searchTerm=196477626239", "Retail Link")</f>
        <v/>
      </c>
      <c r="J474" s="23" t="inlineStr">
        <is>
          <t>n/a</t>
        </is>
      </c>
      <c r="K474" s="21" t="inlineStr">
        <is>
          <t>adidas Women's Breaknet Sleek Sneaker, Black/White/Black, 8.5</t>
        </is>
      </c>
      <c r="L474" s="24" t="n">
        <v>56.9905</v>
      </c>
      <c r="M474" s="24" t="n">
        <v>90</v>
      </c>
      <c r="N474" s="24" t="n">
        <v>11.8895</v>
      </c>
      <c r="O474" s="24">
        <f>V474-M474</f>
        <v/>
      </c>
      <c r="P474" s="25">
        <f>N474/L474</f>
        <v/>
      </c>
      <c r="Q474" s="23" t="n">
        <v>36594</v>
      </c>
      <c r="R474" s="23" t="n"/>
      <c r="S474" s="26" t="n">
        <v>1.653465</v>
      </c>
      <c r="T474" s="24" t="n">
        <v>90</v>
      </c>
      <c r="U474" s="24" t="n">
        <v>54.54</v>
      </c>
      <c r="V474" s="24" t="n">
        <v>56.7</v>
      </c>
      <c r="W474" s="26" t="inlineStr">
        <is>
          <t>adidas Breaknet Sleek Suede Womens Sneakers</t>
        </is>
      </c>
      <c r="X474" s="23" t="n">
        <v>2</v>
      </c>
      <c r="Y474" s="18">
        <f>AC474-AB474</f>
        <v/>
      </c>
      <c r="Z474" s="27" t="n">
        <v>32</v>
      </c>
      <c r="AA474" s="27" t="n">
        <v>81</v>
      </c>
      <c r="AB474" s="27" t="n">
        <v>2</v>
      </c>
      <c r="AC474" s="27" t="n">
        <v>56</v>
      </c>
      <c r="AD474" s="1" t="inlineStr">
        <is>
          <t>NKA01</t>
        </is>
      </c>
      <c r="AE474" s="1" t="inlineStr">
        <is>
          <t>Black/White/Black</t>
        </is>
      </c>
      <c r="AF474" s="4" t="inlineStr"/>
      <c r="AG474" s="4" t="n">
        <v>7.62</v>
      </c>
    </row>
    <row r="475" ht="47.25" customHeight="1">
      <c r="A475" s="18" t="inlineStr">
        <is>
          <t>196477626215</t>
        </is>
      </c>
      <c r="B475" s="19" t="inlineStr">
        <is>
          <t>https://www.amazon.com/dp/</t>
        </is>
      </c>
      <c r="C475" s="20" t="inlineStr">
        <is>
          <t>B0CKMMWV63</t>
        </is>
      </c>
      <c r="D475" s="44" t="n"/>
      <c r="E475" s="23" t="inlineStr">
        <is>
          <t>?th=1&amp;psc=1&amp;tag=sdcdeals03-20</t>
        </is>
      </c>
      <c r="F475" s="19">
        <f>HYPERLINK("https://redirect.sdcdeals.com/redirect?destination=https%3A%2F%2Fwww.amazon.com%2Fdp%2FB0CKMMWV63%3Fth%3D1%26psc%3D1%26tag%3Dsdcdeals03-20", "Amazon Link")</f>
        <v/>
      </c>
      <c r="G475" s="19" t="inlineStr">
        <is>
          <t>https://www.jcpenney.com/s?searchTerm={search_term}</t>
        </is>
      </c>
      <c r="H475" s="23" t="inlineStr">
        <is>
          <t>196477626215</t>
        </is>
      </c>
      <c r="I475" s="19">
        <f>HYPERLINK("https://www.jcpenney.com/s?searchTerm=196477626215", "Retail Link")</f>
        <v/>
      </c>
      <c r="J475" s="23" t="inlineStr">
        <is>
          <t>n/a</t>
        </is>
      </c>
      <c r="K475" s="21" t="inlineStr">
        <is>
          <t>adidas Women's Breaknet Sleek Sneaker, Black/White/Black, 9</t>
        </is>
      </c>
      <c r="L475" s="24" t="n">
        <v>56.9905</v>
      </c>
      <c r="M475" s="24" t="n">
        <v>54.3</v>
      </c>
      <c r="N475" s="24" t="n">
        <v>-18.4555</v>
      </c>
      <c r="O475" s="24">
        <f>V475-M475</f>
        <v/>
      </c>
      <c r="P475" s="25">
        <f>N475/L475</f>
        <v/>
      </c>
      <c r="Q475" s="23" t="n">
        <v>37577</v>
      </c>
      <c r="R475" s="23" t="n"/>
      <c r="S475" s="26" t="n">
        <v>1.763696</v>
      </c>
      <c r="T475" s="24" t="inlineStr"/>
      <c r="U475" s="24" t="n">
        <v>54.3</v>
      </c>
      <c r="V475" s="24" t="n">
        <v>56.44</v>
      </c>
      <c r="W475" s="26" t="inlineStr">
        <is>
          <t>adidas Breaknet Sleek Suede Womens Sneakers</t>
        </is>
      </c>
      <c r="X475" s="23" t="n">
        <v>1</v>
      </c>
      <c r="Y475" s="18">
        <f>AC475-AB475</f>
        <v/>
      </c>
      <c r="Z475" s="27" t="n">
        <v>22</v>
      </c>
      <c r="AA475" s="27" t="n">
        <v>93</v>
      </c>
      <c r="AB475" s="27" t="n">
        <v>2</v>
      </c>
      <c r="AC475" s="27" t="n">
        <v>55</v>
      </c>
      <c r="AD475" s="1" t="inlineStr">
        <is>
          <t>NKA01</t>
        </is>
      </c>
      <c r="AE475" s="1" t="inlineStr">
        <is>
          <t>Black/White/Black</t>
        </is>
      </c>
      <c r="AF475" s="4" t="inlineStr"/>
      <c r="AG475" s="4" t="n">
        <v>7.62</v>
      </c>
    </row>
    <row r="476" ht="47.25" customHeight="1">
      <c r="A476" s="18" t="inlineStr">
        <is>
          <t>196477626208</t>
        </is>
      </c>
      <c r="B476" s="19" t="inlineStr">
        <is>
          <t>https://www.amazon.com/dp/</t>
        </is>
      </c>
      <c r="C476" s="20" t="inlineStr">
        <is>
          <t>B0CKMKMNTL</t>
        </is>
      </c>
      <c r="D476" s="44" t="n"/>
      <c r="E476" s="23" t="inlineStr">
        <is>
          <t>?th=1&amp;psc=1&amp;tag=sdcdeals03-20</t>
        </is>
      </c>
      <c r="F476" s="19">
        <f>HYPERLINK("https://redirect.sdcdeals.com/redirect?destination=https%3A%2F%2Fwww.amazon.com%2Fdp%2FB0CKMKMNTL%3Fth%3D1%26psc%3D1%26tag%3Dsdcdeals03-20", "Amazon Link")</f>
        <v/>
      </c>
      <c r="G476" s="19" t="inlineStr">
        <is>
          <t>https://www.jcpenney.com/s?searchTerm={search_term}</t>
        </is>
      </c>
      <c r="H476" s="23" t="inlineStr">
        <is>
          <t>196477626208</t>
        </is>
      </c>
      <c r="I476" s="19">
        <f>HYPERLINK("https://www.jcpenney.com/s?searchTerm=196477626208", "Retail Link")</f>
        <v/>
      </c>
      <c r="J476" s="23" t="inlineStr">
        <is>
          <t>n/a</t>
        </is>
      </c>
      <c r="K476" s="21" t="inlineStr">
        <is>
          <t>adidas Women's Breaknet Sleek Sneaker, Black/White/Black, 9.5</t>
        </is>
      </c>
      <c r="L476" s="24" t="n">
        <v>56.9905</v>
      </c>
      <c r="M476" s="24" t="n">
        <v>65</v>
      </c>
      <c r="N476" s="24" t="n">
        <v>-9.280499999999996</v>
      </c>
      <c r="O476" s="24">
        <f>V476-M476</f>
        <v/>
      </c>
      <c r="P476" s="25">
        <f>N476/L476</f>
        <v/>
      </c>
      <c r="Q476" s="23" t="n">
        <v>37577</v>
      </c>
      <c r="R476" s="23" t="n"/>
      <c r="S476" s="26" t="n">
        <v>1.7857422</v>
      </c>
      <c r="T476" s="24" t="n">
        <v>65</v>
      </c>
      <c r="U476" s="24" t="n">
        <v>50.27</v>
      </c>
      <c r="V476" s="24" t="n">
        <v>54.07</v>
      </c>
      <c r="W476" s="26" t="inlineStr">
        <is>
          <t>adidas Breaknet Sleek Suede Womens Sneakers</t>
        </is>
      </c>
      <c r="X476" s="23" t="n">
        <v>1</v>
      </c>
      <c r="Y476" s="18">
        <f>AC476-AB476</f>
        <v/>
      </c>
      <c r="Z476" s="27" t="n">
        <v>25</v>
      </c>
      <c r="AA476" s="27" t="n">
        <v>90</v>
      </c>
      <c r="AB476" s="27" t="n">
        <v>0</v>
      </c>
      <c r="AC476" s="27" t="n">
        <v>56</v>
      </c>
      <c r="AD476" s="1" t="inlineStr">
        <is>
          <t>NKA01</t>
        </is>
      </c>
      <c r="AE476" s="1" t="inlineStr">
        <is>
          <t>Black/White/Black</t>
        </is>
      </c>
      <c r="AF476" s="4" t="n">
        <v>9.75</v>
      </c>
      <c r="AG476" s="4" t="n">
        <v>7.54</v>
      </c>
    </row>
    <row r="477" ht="47.25" customHeight="1">
      <c r="A477" s="18" t="inlineStr">
        <is>
          <t>196477626222</t>
        </is>
      </c>
      <c r="B477" s="19" t="inlineStr">
        <is>
          <t>https://www.amazon.com/dp/</t>
        </is>
      </c>
      <c r="C477" s="20" t="inlineStr">
        <is>
          <t>B0CKMP4SVT</t>
        </is>
      </c>
      <c r="D477" s="44" t="n"/>
      <c r="E477" s="23" t="inlineStr">
        <is>
          <t>?th=1&amp;psc=1&amp;tag=sdcdeals03-20</t>
        </is>
      </c>
      <c r="F477" s="19">
        <f>HYPERLINK("https://redirect.sdcdeals.com/redirect?destination=https%3A%2F%2Fwww.amazon.com%2Fdp%2FB0CKMP4SVT%3Fth%3D1%26psc%3D1%26tag%3Dsdcdeals03-20", "Amazon Link")</f>
        <v/>
      </c>
      <c r="G477" s="19" t="inlineStr">
        <is>
          <t>https://www.jcpenney.com/s?searchTerm={search_term}</t>
        </is>
      </c>
      <c r="H477" s="23" t="inlineStr">
        <is>
          <t>196477626222</t>
        </is>
      </c>
      <c r="I477" s="19">
        <f>HYPERLINK("https://www.jcpenney.com/s?searchTerm=196477626222", "Retail Link")</f>
        <v/>
      </c>
      <c r="J477" s="23" t="inlineStr">
        <is>
          <t>n/a</t>
        </is>
      </c>
      <c r="K477" s="21" t="inlineStr">
        <is>
          <t>adidas Women's Breaknet Sleek Sneaker, Black/White/Black, 10</t>
        </is>
      </c>
      <c r="L477" s="24" t="n">
        <v>56.9905</v>
      </c>
      <c r="M477" s="24" t="n">
        <v>65</v>
      </c>
      <c r="N477" s="24" t="n">
        <v>-9.360499999999995</v>
      </c>
      <c r="O477" s="24">
        <f>V477-M477</f>
        <v/>
      </c>
      <c r="P477" s="25">
        <f>N477/L477</f>
        <v/>
      </c>
      <c r="Q477" s="23" t="n">
        <v>33792</v>
      </c>
      <c r="R477" s="23" t="n"/>
      <c r="S477" s="26" t="n">
        <v>1.7857422</v>
      </c>
      <c r="T477" s="24" t="n">
        <v>65</v>
      </c>
      <c r="U477" s="24" t="n">
        <v>59.82</v>
      </c>
      <c r="V477" s="24" t="n">
        <v>59.9</v>
      </c>
      <c r="W477" s="26" t="inlineStr">
        <is>
          <t>adidas Breaknet Sleek Suede Womens Sneakers</t>
        </is>
      </c>
      <c r="X477" s="23" t="n">
        <v>2</v>
      </c>
      <c r="Y477" s="18">
        <f>AC477-AB477</f>
        <v/>
      </c>
      <c r="Z477" s="27" t="n">
        <v>43</v>
      </c>
      <c r="AA477" s="27" t="n">
        <v>109</v>
      </c>
      <c r="AB477" s="27" t="n">
        <v>1</v>
      </c>
      <c r="AC477" s="27" t="n">
        <v>56</v>
      </c>
      <c r="AD477" s="1" t="inlineStr">
        <is>
          <t>NKA01</t>
        </is>
      </c>
      <c r="AE477" s="1" t="inlineStr">
        <is>
          <t>Black/White/Black</t>
        </is>
      </c>
      <c r="AF477" s="4" t="n">
        <v>9.75</v>
      </c>
      <c r="AG477" s="4" t="n">
        <v>7.62</v>
      </c>
    </row>
    <row r="478" ht="47.25" customHeight="1">
      <c r="A478" s="18" t="inlineStr">
        <is>
          <t>196477626123</t>
        </is>
      </c>
      <c r="B478" s="19" t="inlineStr">
        <is>
          <t>https://www.amazon.com/dp/</t>
        </is>
      </c>
      <c r="C478" s="20" t="inlineStr">
        <is>
          <t>B0CKMMS26N</t>
        </is>
      </c>
      <c r="D478" s="44" t="n"/>
      <c r="E478" s="23" t="inlineStr">
        <is>
          <t>?th=1&amp;psc=1&amp;tag=sdcdeals03-20</t>
        </is>
      </c>
      <c r="F478" s="19">
        <f>HYPERLINK("https://redirect.sdcdeals.com/redirect?destination=https%3A%2F%2Fwww.amazon.com%2Fdp%2FB0CKMMS26N%3Fth%3D1%26psc%3D1%26tag%3Dsdcdeals03-20", "Amazon Link")</f>
        <v/>
      </c>
      <c r="G478" s="19" t="inlineStr">
        <is>
          <t>https://www.jcpenney.com/s?searchTerm={search_term}</t>
        </is>
      </c>
      <c r="H478" s="23" t="inlineStr">
        <is>
          <t>196477626123</t>
        </is>
      </c>
      <c r="I478" s="19">
        <f>HYPERLINK("https://www.jcpenney.com/s?searchTerm=196477626123", "Retail Link")</f>
        <v/>
      </c>
      <c r="J478" s="23" t="inlineStr">
        <is>
          <t>n/a</t>
        </is>
      </c>
      <c r="K478" s="21" t="inlineStr">
        <is>
          <t>adidas Women's Breaknet Sleek Sneaker, Black/White/Black, 11</t>
        </is>
      </c>
      <c r="L478" s="24" t="n">
        <v>56.9905</v>
      </c>
      <c r="M478" s="24" t="n">
        <v>46.62</v>
      </c>
      <c r="N478" s="24" t="n">
        <v>-24.9835</v>
      </c>
      <c r="O478" s="24">
        <f>V478-M478</f>
        <v/>
      </c>
      <c r="P478" s="25">
        <f>N478/L478</f>
        <v/>
      </c>
      <c r="Q478" s="23" t="n">
        <v>37577</v>
      </c>
      <c r="R478" s="23" t="n"/>
      <c r="S478" s="26" t="n">
        <v>2.03045502</v>
      </c>
      <c r="T478" s="24" t="n">
        <v>46.62</v>
      </c>
      <c r="U478" s="24" t="n">
        <v>48.49</v>
      </c>
      <c r="V478" s="24" t="n">
        <v>52.92</v>
      </c>
      <c r="W478" s="26" t="inlineStr">
        <is>
          <t>adidas Breaknet Sleek Suede Womens Sneakers</t>
        </is>
      </c>
      <c r="X478" s="23" t="n">
        <v>1</v>
      </c>
      <c r="Y478" s="18">
        <f>AC478-AB478</f>
        <v/>
      </c>
      <c r="Z478" s="27" t="n">
        <v>24</v>
      </c>
      <c r="AA478" s="27" t="n">
        <v>86</v>
      </c>
      <c r="AB478" s="27" t="n">
        <v>0</v>
      </c>
      <c r="AC478" s="27" t="n">
        <v>55</v>
      </c>
      <c r="AD478" s="1" t="inlineStr">
        <is>
          <t>NKA01</t>
        </is>
      </c>
      <c r="AE478" s="1" t="inlineStr">
        <is>
          <t>Black/White/Black</t>
        </is>
      </c>
      <c r="AF478" s="4" t="n">
        <v>6.99</v>
      </c>
      <c r="AG478" s="4" t="n">
        <v>7.62</v>
      </c>
    </row>
    <row r="479" ht="47.25" customHeight="1">
      <c r="A479" s="18" t="inlineStr">
        <is>
          <t>196477610757</t>
        </is>
      </c>
      <c r="B479" s="19" t="inlineStr">
        <is>
          <t>https://www.amazon.com/dp/</t>
        </is>
      </c>
      <c r="C479" s="20" t="inlineStr">
        <is>
          <t>B0CPRGTZRJ</t>
        </is>
      </c>
      <c r="D479" s="44" t="n"/>
      <c r="E479" s="23" t="inlineStr">
        <is>
          <t>?th=1&amp;psc=1&amp;tag=sdcdeals03-20</t>
        </is>
      </c>
      <c r="F479" s="19">
        <f>HYPERLINK("https://redirect.sdcdeals.com/redirect?destination=https%3A%2F%2Fwww.amazon.com%2Fdp%2FB0CPRGTZRJ%3Fth%3D1%26psc%3D1%26tag%3Dsdcdeals03-20", "Amazon Link")</f>
        <v/>
      </c>
      <c r="G479" s="19" t="inlineStr">
        <is>
          <t>https://www.jcpenney.com/s?searchTerm={search_term}</t>
        </is>
      </c>
      <c r="H479" s="23" t="inlineStr">
        <is>
          <t>196477610757</t>
        </is>
      </c>
      <c r="I479" s="19">
        <f>HYPERLINK("https://www.jcpenney.com/s?searchTerm=196477610757", "Retail Link")</f>
        <v/>
      </c>
      <c r="J479" s="23" t="inlineStr">
        <is>
          <t>n/a</t>
        </is>
      </c>
      <c r="K479" s="21" t="inlineStr">
        <is>
          <t>Adidas Breaknet Sleek Shoes</t>
        </is>
      </c>
      <c r="L479" s="24" t="n">
        <v>56.9905</v>
      </c>
      <c r="M479" s="24" t="n">
        <v>65</v>
      </c>
      <c r="N479" s="24" t="n">
        <v>-8.350499999999997</v>
      </c>
      <c r="O479" s="24">
        <f>V479-M479</f>
        <v/>
      </c>
      <c r="P479" s="25">
        <f>N479/L479</f>
        <v/>
      </c>
      <c r="Q479" s="23" t="n">
        <v>699084</v>
      </c>
      <c r="R479" s="23" t="n"/>
      <c r="S479" s="26" t="n">
        <v>1.433003</v>
      </c>
      <c r="T479" s="24" t="n">
        <v>65</v>
      </c>
      <c r="U479" s="24" t="n">
        <v>65</v>
      </c>
      <c r="V479" s="24" t="n">
        <v>65</v>
      </c>
      <c r="W479" s="26" t="inlineStr">
        <is>
          <t>adidas Breaknet Sleek Suede Womens Sneakers</t>
        </is>
      </c>
      <c r="X479" s="23" t="n">
        <v>1</v>
      </c>
      <c r="Y479" s="18">
        <f>AC479-AB479</f>
        <v/>
      </c>
      <c r="Z479" s="27" t="n">
        <v>1</v>
      </c>
      <c r="AA479" s="27" t="n">
        <v>1</v>
      </c>
      <c r="AB479" s="27" t="n">
        <v>0</v>
      </c>
      <c r="AC479" s="27" t="n">
        <v>3</v>
      </c>
      <c r="AD479" s="1" t="inlineStr">
        <is>
          <t>IH5470</t>
        </is>
      </c>
      <c r="AE479" s="1" t="inlineStr">
        <is>
          <t>Preloved Scarlet/Core White/Cloud Wh</t>
        </is>
      </c>
      <c r="AF479" s="4" t="n">
        <v>9.75</v>
      </c>
      <c r="AG479" s="4" t="n">
        <v>6.61</v>
      </c>
    </row>
    <row r="480" ht="47.25" customHeight="1">
      <c r="A480" s="18" t="inlineStr">
        <is>
          <t>196477610665</t>
        </is>
      </c>
      <c r="B480" s="19" t="inlineStr">
        <is>
          <t>https://www.amazon.com/dp/</t>
        </is>
      </c>
      <c r="C480" s="20" t="inlineStr">
        <is>
          <t>B0CPRQN27M</t>
        </is>
      </c>
      <c r="D480" s="44" t="n"/>
      <c r="E480" s="23" t="inlineStr">
        <is>
          <t>?th=1&amp;psc=1&amp;tag=sdcdeals03-20</t>
        </is>
      </c>
      <c r="F480" s="19">
        <f>HYPERLINK("https://redirect.sdcdeals.com/redirect?destination=https%3A%2F%2Fwww.amazon.com%2Fdp%2FB0CPRQN27M%3Fth%3D1%26psc%3D1%26tag%3Dsdcdeals03-20", "Amazon Link")</f>
        <v/>
      </c>
      <c r="G480" s="19" t="inlineStr">
        <is>
          <t>https://www.jcpenney.com/s?searchTerm={search_term}</t>
        </is>
      </c>
      <c r="H480" s="23" t="inlineStr">
        <is>
          <t>196477610665</t>
        </is>
      </c>
      <c r="I480" s="19">
        <f>HYPERLINK("https://www.jcpenney.com/s?searchTerm=196477610665", "Retail Link")</f>
        <v/>
      </c>
      <c r="J480" s="23" t="inlineStr">
        <is>
          <t>n/a</t>
        </is>
      </c>
      <c r="K480" s="21" t="inlineStr">
        <is>
          <t>Adidas Breaknet Sleek Shoes</t>
        </is>
      </c>
      <c r="L480" s="24" t="n">
        <v>56.9905</v>
      </c>
      <c r="M480" s="24" t="n">
        <v>65</v>
      </c>
      <c r="N480" s="24" t="n">
        <v>-8.350499999999997</v>
      </c>
      <c r="O480" s="24">
        <f>V480-M480</f>
        <v/>
      </c>
      <c r="P480" s="25">
        <f>N480/L480</f>
        <v/>
      </c>
      <c r="Q480" s="23" t="n">
        <v>699084</v>
      </c>
      <c r="R480" s="23" t="n"/>
      <c r="S480" s="26" t="n">
        <v>1.34040896</v>
      </c>
      <c r="T480" s="24" t="n">
        <v>65</v>
      </c>
      <c r="U480" s="24" t="n">
        <v>65</v>
      </c>
      <c r="V480" s="24" t="n">
        <v>65</v>
      </c>
      <c r="W480" s="26" t="inlineStr">
        <is>
          <t>adidas Breaknet Sleek Suede Womens Sneakers</t>
        </is>
      </c>
      <c r="X480" s="23" t="n">
        <v>1</v>
      </c>
      <c r="Y480" s="18">
        <f>AC480-AB480</f>
        <v/>
      </c>
      <c r="Z480" s="27" t="n">
        <v>1</v>
      </c>
      <c r="AA480" s="27" t="n">
        <v>1</v>
      </c>
      <c r="AB480" s="27" t="n">
        <v>0</v>
      </c>
      <c r="AC480" s="27" t="n">
        <v>3</v>
      </c>
      <c r="AD480" s="1" t="inlineStr">
        <is>
          <t>IH5470</t>
        </is>
      </c>
      <c r="AE480" s="1" t="inlineStr">
        <is>
          <t>Preloved Scarlet/Core White/Cloud Wh</t>
        </is>
      </c>
      <c r="AF480" s="4" t="n">
        <v>9.75</v>
      </c>
      <c r="AG480" s="4" t="n">
        <v>6.61</v>
      </c>
    </row>
    <row r="481" ht="47.25" customHeight="1">
      <c r="A481" s="18" t="inlineStr">
        <is>
          <t>196477610740</t>
        </is>
      </c>
      <c r="B481" s="19" t="inlineStr">
        <is>
          <t>https://www.amazon.com/dp/</t>
        </is>
      </c>
      <c r="C481" s="20" t="inlineStr">
        <is>
          <t>B0CPRPMFQM</t>
        </is>
      </c>
      <c r="D481" s="44" t="n"/>
      <c r="E481" s="23" t="inlineStr">
        <is>
          <t>?th=1&amp;psc=1&amp;tag=sdcdeals03-20</t>
        </is>
      </c>
      <c r="F481" s="19">
        <f>HYPERLINK("https://redirect.sdcdeals.com/redirect?destination=https%3A%2F%2Fwww.amazon.com%2Fdp%2FB0CPRPMFQM%3Fth%3D1%26psc%3D1%26tag%3Dsdcdeals03-20", "Amazon Link")</f>
        <v/>
      </c>
      <c r="G481" s="19" t="inlineStr">
        <is>
          <t>https://www.jcpenney.com/s?searchTerm={search_term}</t>
        </is>
      </c>
      <c r="H481" s="23" t="inlineStr">
        <is>
          <t>196477610740</t>
        </is>
      </c>
      <c r="I481" s="19">
        <f>HYPERLINK("https://www.jcpenney.com/s?searchTerm=196477610740", "Retail Link")</f>
        <v/>
      </c>
      <c r="J481" s="23" t="inlineStr">
        <is>
          <t>n/a</t>
        </is>
      </c>
      <c r="K481" s="21" t="inlineStr">
        <is>
          <t>Adidas Breaknet Sleek Shoes</t>
        </is>
      </c>
      <c r="L481" s="24" t="n">
        <v>56.9905</v>
      </c>
      <c r="M481" s="24" t="n">
        <v>65</v>
      </c>
      <c r="N481" s="24" t="n">
        <v>-8.350499999999997</v>
      </c>
      <c r="O481" s="24">
        <f>V481-M481</f>
        <v/>
      </c>
      <c r="P481" s="25">
        <f>N481/L481</f>
        <v/>
      </c>
      <c r="Q481" s="23" t="n">
        <v>675461</v>
      </c>
      <c r="R481" s="23" t="n"/>
      <c r="S481" s="26" t="n">
        <v>1.4550492</v>
      </c>
      <c r="T481" s="24" t="n">
        <v>65</v>
      </c>
      <c r="U481" s="24" t="n">
        <v>65</v>
      </c>
      <c r="V481" s="24" t="n">
        <v>65</v>
      </c>
      <c r="W481" s="26" t="inlineStr">
        <is>
          <t>adidas Breaknet Sleek Suede Womens Sneakers</t>
        </is>
      </c>
      <c r="X481" s="23" t="n">
        <v>1</v>
      </c>
      <c r="Y481" s="18">
        <f>AC481-AB481</f>
        <v/>
      </c>
      <c r="Z481" s="27" t="n">
        <v>1</v>
      </c>
      <c r="AA481" s="27" t="n">
        <v>1</v>
      </c>
      <c r="AB481" s="27" t="n">
        <v>0</v>
      </c>
      <c r="AC481" s="27" t="n">
        <v>3</v>
      </c>
      <c r="AD481" s="1" t="inlineStr">
        <is>
          <t>IH5470</t>
        </is>
      </c>
      <c r="AE481" s="1" t="inlineStr">
        <is>
          <t>Preloved Scarlet/Core White/Cloud Wh</t>
        </is>
      </c>
      <c r="AF481" s="4" t="n">
        <v>9.75</v>
      </c>
      <c r="AG481" s="4" t="n">
        <v>6.61</v>
      </c>
    </row>
    <row r="482" ht="47.25" customHeight="1">
      <c r="A482" s="18" t="inlineStr">
        <is>
          <t>196477607047</t>
        </is>
      </c>
      <c r="B482" s="19" t="inlineStr">
        <is>
          <t>https://www.amazon.com/dp/</t>
        </is>
      </c>
      <c r="C482" s="20" t="inlineStr">
        <is>
          <t>B0CPRNBW43</t>
        </is>
      </c>
      <c r="D482" s="44" t="n"/>
      <c r="E482" s="23" t="inlineStr">
        <is>
          <t>?th=1&amp;psc=1&amp;tag=sdcdeals03-20</t>
        </is>
      </c>
      <c r="F482" s="19">
        <f>HYPERLINK("https://redirect.sdcdeals.com/redirect?destination=https%3A%2F%2Fwww.amazon.com%2Fdp%2FB0CPRNBW43%3Fth%3D1%26psc%3D1%26tag%3Dsdcdeals03-20", "Amazon Link")</f>
        <v/>
      </c>
      <c r="G482" s="19" t="inlineStr">
        <is>
          <t>https://www.jcpenney.com/s?searchTerm={search_term}</t>
        </is>
      </c>
      <c r="H482" s="23" t="inlineStr">
        <is>
          <t>196477607047</t>
        </is>
      </c>
      <c r="I482" s="19">
        <f>HYPERLINK("https://www.jcpenney.com/s?searchTerm=196477607047", "Retail Link")</f>
        <v/>
      </c>
      <c r="J482" s="23" t="inlineStr">
        <is>
          <t>n/a</t>
        </is>
      </c>
      <c r="K482" s="21" t="inlineStr">
        <is>
          <t>Adidas Breaknet Sleek Shoes</t>
        </is>
      </c>
      <c r="L482" s="24" t="n">
        <v>56.9905</v>
      </c>
      <c r="M482" s="24" t="n">
        <v>65</v>
      </c>
      <c r="N482" s="24" t="n">
        <v>-8.350499999999997</v>
      </c>
      <c r="O482" s="24">
        <f>V482-M482</f>
        <v/>
      </c>
      <c r="P482" s="25">
        <f>N482/L482</f>
        <v/>
      </c>
      <c r="Q482" s="23" t="n">
        <v>699084</v>
      </c>
      <c r="R482" s="23" t="n"/>
      <c r="S482" s="26" t="n">
        <v>1.543234</v>
      </c>
      <c r="T482" s="24" t="n">
        <v>65</v>
      </c>
      <c r="U482" s="24" t="n">
        <v>65</v>
      </c>
      <c r="V482" s="24" t="n">
        <v>65</v>
      </c>
      <c r="W482" s="26" t="inlineStr">
        <is>
          <t>adidas Breaknet Sleek Suede Womens Sneakers</t>
        </is>
      </c>
      <c r="X482" s="23" t="n">
        <v>1</v>
      </c>
      <c r="Y482" s="18">
        <f>AC482-AB482</f>
        <v/>
      </c>
      <c r="Z482" s="27" t="n">
        <v>1</v>
      </c>
      <c r="AA482" s="27" t="n">
        <v>1</v>
      </c>
      <c r="AB482" s="27" t="n">
        <v>0</v>
      </c>
      <c r="AC482" s="27" t="n">
        <v>3</v>
      </c>
      <c r="AD482" s="1" t="inlineStr">
        <is>
          <t>IH5470</t>
        </is>
      </c>
      <c r="AE482" s="1" t="inlineStr">
        <is>
          <t>Preloved Scarlet/Core White/Cloud Wh</t>
        </is>
      </c>
      <c r="AF482" s="4" t="n">
        <v>9.75</v>
      </c>
      <c r="AG482" s="4" t="n">
        <v>6.61</v>
      </c>
    </row>
    <row r="483" ht="47.25" customHeight="1">
      <c r="A483" s="18" t="inlineStr">
        <is>
          <t>196477610726</t>
        </is>
      </c>
      <c r="B483" s="19" t="inlineStr">
        <is>
          <t>https://www.amazon.com/dp/</t>
        </is>
      </c>
      <c r="C483" s="20" t="inlineStr">
        <is>
          <t>B0CPRP89R7</t>
        </is>
      </c>
      <c r="D483" s="44" t="n"/>
      <c r="E483" s="23" t="inlineStr">
        <is>
          <t>?th=1&amp;psc=1&amp;tag=sdcdeals03-20</t>
        </is>
      </c>
      <c r="F483" s="19">
        <f>HYPERLINK("https://redirect.sdcdeals.com/redirect?destination=https%3A%2F%2Fwww.amazon.com%2Fdp%2FB0CPRP89R7%3Fth%3D1%26psc%3D1%26tag%3Dsdcdeals03-20", "Amazon Link")</f>
        <v/>
      </c>
      <c r="G483" s="19" t="inlineStr">
        <is>
          <t>https://www.jcpenney.com/s?searchTerm={search_term}</t>
        </is>
      </c>
      <c r="H483" s="23" t="inlineStr">
        <is>
          <t>196477610726</t>
        </is>
      </c>
      <c r="I483" s="19">
        <f>HYPERLINK("https://www.jcpenney.com/s?searchTerm=196477610726", "Retail Link")</f>
        <v/>
      </c>
      <c r="J483" s="23" t="inlineStr">
        <is>
          <t>n/a</t>
        </is>
      </c>
      <c r="K483" s="21" t="inlineStr">
        <is>
          <t>Adidas Breaknet Sleek Shoes</t>
        </is>
      </c>
      <c r="L483" s="24" t="n">
        <v>56.9905</v>
      </c>
      <c r="M483" s="24" t="n">
        <v>65</v>
      </c>
      <c r="N483" s="24" t="n">
        <v>-9.280499999999996</v>
      </c>
      <c r="O483" s="24">
        <f>V483-M483</f>
        <v/>
      </c>
      <c r="P483" s="25">
        <f>N483/L483</f>
        <v/>
      </c>
      <c r="Q483" s="23" t="n">
        <v>699084</v>
      </c>
      <c r="R483" s="23" t="n"/>
      <c r="S483" s="26" t="n">
        <v>1.5873264</v>
      </c>
      <c r="T483" s="24" t="n">
        <v>65</v>
      </c>
      <c r="U483" s="24" t="n">
        <v>65</v>
      </c>
      <c r="V483" s="24" t="n">
        <v>65</v>
      </c>
      <c r="W483" s="26" t="inlineStr">
        <is>
          <t>adidas Breaknet Sleek Suede Womens Sneakers</t>
        </is>
      </c>
      <c r="X483" s="23" t="n">
        <v>1</v>
      </c>
      <c r="Y483" s="18">
        <f>AC483-AB483</f>
        <v/>
      </c>
      <c r="Z483" s="27" t="n">
        <v>1</v>
      </c>
      <c r="AA483" s="27" t="n">
        <v>1</v>
      </c>
      <c r="AB483" s="27" t="n">
        <v>0</v>
      </c>
      <c r="AC483" s="27" t="n">
        <v>3</v>
      </c>
      <c r="AD483" s="1" t="inlineStr">
        <is>
          <t>IH5470</t>
        </is>
      </c>
      <c r="AE483" s="1" t="inlineStr">
        <is>
          <t>Preloved Scarlet/Core White/Cloud Wh</t>
        </is>
      </c>
      <c r="AF483" s="4" t="n">
        <v>9.75</v>
      </c>
      <c r="AG483" s="4" t="n">
        <v>7.54</v>
      </c>
    </row>
    <row r="484" ht="47.25" customHeight="1">
      <c r="A484" s="18" t="inlineStr">
        <is>
          <t>196477610719</t>
        </is>
      </c>
      <c r="B484" s="19" t="inlineStr">
        <is>
          <t>https://www.amazon.com/dp/</t>
        </is>
      </c>
      <c r="C484" s="20" t="inlineStr">
        <is>
          <t>B0CPRYM5SX</t>
        </is>
      </c>
      <c r="D484" s="44" t="n"/>
      <c r="E484" s="23" t="inlineStr">
        <is>
          <t>?th=1&amp;psc=1&amp;tag=sdcdeals03-20</t>
        </is>
      </c>
      <c r="F484" s="19">
        <f>HYPERLINK("https://redirect.sdcdeals.com/redirect?destination=https%3A%2F%2Fwww.amazon.com%2Fdp%2FB0CPRYM5SX%3Fth%3D1%26psc%3D1%26tag%3Dsdcdeals03-20", "Amazon Link")</f>
        <v/>
      </c>
      <c r="G484" s="19" t="inlineStr">
        <is>
          <t>https://www.jcpenney.com/s?searchTerm={search_term}</t>
        </is>
      </c>
      <c r="H484" s="23" t="inlineStr">
        <is>
          <t>196477610719</t>
        </is>
      </c>
      <c r="I484" s="19">
        <f>HYPERLINK("https://www.jcpenney.com/s?searchTerm=196477610719", "Retail Link")</f>
        <v/>
      </c>
      <c r="J484" s="23" t="inlineStr">
        <is>
          <t>n/a</t>
        </is>
      </c>
      <c r="K484" s="21" t="inlineStr">
        <is>
          <t>Adidas Breaknet Sleek Shoes</t>
        </is>
      </c>
      <c r="L484" s="24" t="n">
        <v>56.9905</v>
      </c>
      <c r="M484" s="24" t="n">
        <v>65</v>
      </c>
      <c r="N484" s="24" t="n">
        <v>-9.360499999999995</v>
      </c>
      <c r="O484" s="24">
        <f>V484-M484</f>
        <v/>
      </c>
      <c r="P484" s="25">
        <f>N484/L484</f>
        <v/>
      </c>
      <c r="Q484" s="23" t="n">
        <v>699084</v>
      </c>
      <c r="R484" s="23" t="n"/>
      <c r="S484" s="26" t="n">
        <v>1.6314188</v>
      </c>
      <c r="T484" s="24" t="n">
        <v>65</v>
      </c>
      <c r="U484" s="24" t="n">
        <v>65</v>
      </c>
      <c r="V484" s="24" t="n">
        <v>65</v>
      </c>
      <c r="W484" s="26" t="inlineStr">
        <is>
          <t>adidas Breaknet Sleek Suede Womens Sneakers</t>
        </is>
      </c>
      <c r="X484" s="23" t="n">
        <v>1</v>
      </c>
      <c r="Y484" s="18">
        <f>AC484-AB484</f>
        <v/>
      </c>
      <c r="Z484" s="27" t="n">
        <v>1</v>
      </c>
      <c r="AA484" s="27" t="n">
        <v>1</v>
      </c>
      <c r="AB484" s="27" t="n">
        <v>0</v>
      </c>
      <c r="AC484" s="27" t="n">
        <v>3</v>
      </c>
      <c r="AD484" s="1" t="inlineStr">
        <is>
          <t>IH5470</t>
        </is>
      </c>
      <c r="AE484" s="1" t="inlineStr">
        <is>
          <t>Preloved Scarlet/Core White/Cloud Wh</t>
        </is>
      </c>
      <c r="AF484" s="4" t="n">
        <v>9.75</v>
      </c>
      <c r="AG484" s="4" t="n">
        <v>7.62</v>
      </c>
    </row>
    <row r="485" ht="47.25" customHeight="1">
      <c r="A485" s="18" t="inlineStr">
        <is>
          <t>196477607054</t>
        </is>
      </c>
      <c r="B485" s="19" t="inlineStr">
        <is>
          <t>https://www.amazon.com/dp/</t>
        </is>
      </c>
      <c r="C485" s="20" t="inlineStr">
        <is>
          <t>B0CPR9X2SK</t>
        </is>
      </c>
      <c r="D485" s="44" t="n"/>
      <c r="E485" s="23" t="inlineStr">
        <is>
          <t>?th=1&amp;psc=1&amp;tag=sdcdeals03-20</t>
        </is>
      </c>
      <c r="F485" s="19">
        <f>HYPERLINK("https://redirect.sdcdeals.com/redirect?destination=https%3A%2F%2Fwww.amazon.com%2Fdp%2FB0CPR9X2SK%3Fth%3D1%26psc%3D1%26tag%3Dsdcdeals03-20", "Amazon Link")</f>
        <v/>
      </c>
      <c r="G485" s="19" t="inlineStr">
        <is>
          <t>https://www.jcpenney.com/s?searchTerm={search_term}</t>
        </is>
      </c>
      <c r="H485" s="23" t="inlineStr">
        <is>
          <t>196477607054</t>
        </is>
      </c>
      <c r="I485" s="19">
        <f>HYPERLINK("https://www.jcpenney.com/s?searchTerm=196477607054", "Retail Link")</f>
        <v/>
      </c>
      <c r="J485" s="23" t="inlineStr">
        <is>
          <t>n/a</t>
        </is>
      </c>
      <c r="K485" s="21" t="inlineStr">
        <is>
          <t>Adidas Breaknet Sleek Shoes</t>
        </is>
      </c>
      <c r="L485" s="24" t="n">
        <v>56.9905</v>
      </c>
      <c r="M485" s="24" t="n">
        <v>65</v>
      </c>
      <c r="N485" s="24" t="n">
        <v>-9.4405</v>
      </c>
      <c r="O485" s="24">
        <f>V485-M485</f>
        <v/>
      </c>
      <c r="P485" s="25">
        <f>N485/L485</f>
        <v/>
      </c>
      <c r="Q485" s="23" t="n">
        <v>740210</v>
      </c>
      <c r="R485" s="23" t="n"/>
      <c r="S485" s="26" t="n">
        <v>1.6755112</v>
      </c>
      <c r="T485" s="24" t="n">
        <v>65</v>
      </c>
      <c r="U485" s="24" t="n">
        <v>65</v>
      </c>
      <c r="V485" s="24" t="n">
        <v>65</v>
      </c>
      <c r="W485" s="26" t="inlineStr">
        <is>
          <t>adidas Breaknet Sleek Suede Womens Sneakers</t>
        </is>
      </c>
      <c r="X485" s="23" t="n">
        <v>1</v>
      </c>
      <c r="Y485" s="18">
        <f>AC485-AB485</f>
        <v/>
      </c>
      <c r="Z485" s="27" t="n">
        <v>1</v>
      </c>
      <c r="AA485" s="27" t="n">
        <v>1</v>
      </c>
      <c r="AB485" s="27" t="n">
        <v>0</v>
      </c>
      <c r="AC485" s="27" t="n">
        <v>3</v>
      </c>
      <c r="AD485" s="1" t="inlineStr">
        <is>
          <t>IH5470</t>
        </is>
      </c>
      <c r="AE485" s="1" t="inlineStr">
        <is>
          <t>Preloved Scarlet/Core White/Cloud Wh</t>
        </is>
      </c>
      <c r="AF485" s="4" t="n">
        <v>9.75</v>
      </c>
      <c r="AG485" s="4" t="n">
        <v>7.7</v>
      </c>
    </row>
    <row r="486" ht="47.25" customHeight="1">
      <c r="A486" s="18" t="inlineStr">
        <is>
          <t>196477610702</t>
        </is>
      </c>
      <c r="B486" s="19" t="inlineStr">
        <is>
          <t>https://www.amazon.com/dp/</t>
        </is>
      </c>
      <c r="C486" s="20" t="inlineStr">
        <is>
          <t>B0CPRPVYYH</t>
        </is>
      </c>
      <c r="D486" s="44" t="n"/>
      <c r="E486" s="23" t="inlineStr">
        <is>
          <t>?th=1&amp;psc=1&amp;tag=sdcdeals03-20</t>
        </is>
      </c>
      <c r="F486" s="19">
        <f>HYPERLINK("https://redirect.sdcdeals.com/redirect?destination=https%3A%2F%2Fwww.amazon.com%2Fdp%2FB0CPRPVYYH%3Fth%3D1%26psc%3D1%26tag%3Dsdcdeals03-20", "Amazon Link")</f>
        <v/>
      </c>
      <c r="G486" s="19" t="inlineStr">
        <is>
          <t>https://www.jcpenney.com/s?searchTerm={search_term}</t>
        </is>
      </c>
      <c r="H486" s="23" t="inlineStr">
        <is>
          <t>196477610702</t>
        </is>
      </c>
      <c r="I486" s="19">
        <f>HYPERLINK("https://www.jcpenney.com/s?searchTerm=196477610702", "Retail Link")</f>
        <v/>
      </c>
      <c r="J486" s="23" t="inlineStr">
        <is>
          <t>n/a</t>
        </is>
      </c>
      <c r="K486" s="21" t="inlineStr">
        <is>
          <t>Adidas Breaknet Sleek Shoes</t>
        </is>
      </c>
      <c r="L486" s="24" t="n">
        <v>56.9905</v>
      </c>
      <c r="M486" s="24" t="n">
        <v>65</v>
      </c>
      <c r="N486" s="24" t="n">
        <v>-9.280499999999996</v>
      </c>
      <c r="O486" s="24">
        <f>V486-M486</f>
        <v/>
      </c>
      <c r="P486" s="25">
        <f>N486/L486</f>
        <v/>
      </c>
      <c r="Q486" s="23" t="n">
        <v>740210</v>
      </c>
      <c r="R486" s="23" t="n"/>
      <c r="S486" s="26" t="n">
        <v>1.7857422</v>
      </c>
      <c r="T486" s="24" t="n">
        <v>65</v>
      </c>
      <c r="U486" s="24" t="n">
        <v>65</v>
      </c>
      <c r="V486" s="24" t="n">
        <v>65</v>
      </c>
      <c r="W486" s="26" t="inlineStr">
        <is>
          <t>adidas Breaknet Sleek Suede Womens Sneakers</t>
        </is>
      </c>
      <c r="X486" s="23" t="n">
        <v>1</v>
      </c>
      <c r="Y486" s="18">
        <f>AC486-AB486</f>
        <v/>
      </c>
      <c r="Z486" s="27" t="n">
        <v>0</v>
      </c>
      <c r="AA486" s="27" t="n">
        <v>0</v>
      </c>
      <c r="AB486" s="27" t="n">
        <v>0</v>
      </c>
      <c r="AC486" s="27" t="n">
        <v>3</v>
      </c>
      <c r="AD486" s="1" t="inlineStr">
        <is>
          <t>IH5470</t>
        </is>
      </c>
      <c r="AE486" s="1" t="inlineStr">
        <is>
          <t>Preloved Scarlet/Core White/Cloud Wh</t>
        </is>
      </c>
      <c r="AF486" s="4" t="n">
        <v>9.75</v>
      </c>
      <c r="AG486" s="4" t="n">
        <v>7.54</v>
      </c>
    </row>
    <row r="487" ht="47.25" customHeight="1">
      <c r="A487" s="18" t="inlineStr">
        <is>
          <t>196477610689</t>
        </is>
      </c>
      <c r="B487" s="19" t="inlineStr">
        <is>
          <t>https://www.amazon.com/dp/</t>
        </is>
      </c>
      <c r="C487" s="20" t="inlineStr">
        <is>
          <t>B0CPRVK85S</t>
        </is>
      </c>
      <c r="D487" s="44" t="n"/>
      <c r="E487" s="23" t="inlineStr">
        <is>
          <t>?th=1&amp;psc=1&amp;tag=sdcdeals03-20</t>
        </is>
      </c>
      <c r="F487" s="19">
        <f>HYPERLINK("https://redirect.sdcdeals.com/redirect?destination=https%3A%2F%2Fwww.amazon.com%2Fdp%2FB0CPRVK85S%3Fth%3D1%26psc%3D1%26tag%3Dsdcdeals03-20", "Amazon Link")</f>
        <v/>
      </c>
      <c r="G487" s="19" t="inlineStr">
        <is>
          <t>https://www.jcpenney.com/s?searchTerm={search_term}</t>
        </is>
      </c>
      <c r="H487" s="23" t="inlineStr">
        <is>
          <t>196477610689</t>
        </is>
      </c>
      <c r="I487" s="19">
        <f>HYPERLINK("https://www.jcpenney.com/s?searchTerm=196477610689", "Retail Link")</f>
        <v/>
      </c>
      <c r="J487" s="23" t="inlineStr">
        <is>
          <t>n/a</t>
        </is>
      </c>
      <c r="K487" s="21" t="inlineStr">
        <is>
          <t>Adidas Breaknet Sleek Shoes</t>
        </is>
      </c>
      <c r="L487" s="24" t="n">
        <v>56.9905</v>
      </c>
      <c r="M487" s="24" t="n">
        <v>65</v>
      </c>
      <c r="N487" s="24" t="n">
        <v>-9.360499999999995</v>
      </c>
      <c r="O487" s="24">
        <f>V487-M487</f>
        <v/>
      </c>
      <c r="P487" s="25">
        <f>N487/L487</f>
        <v/>
      </c>
      <c r="Q487" s="23" t="n">
        <v>699084</v>
      </c>
      <c r="R487" s="23" t="n"/>
      <c r="S487" s="26" t="n">
        <v>1.7196036</v>
      </c>
      <c r="T487" s="24" t="n">
        <v>65</v>
      </c>
      <c r="U487" s="24" t="n">
        <v>65</v>
      </c>
      <c r="V487" s="24" t="n">
        <v>65</v>
      </c>
      <c r="W487" s="26" t="inlineStr">
        <is>
          <t>adidas Breaknet Sleek Suede Womens Sneakers</t>
        </is>
      </c>
      <c r="X487" s="23" t="n">
        <v>1</v>
      </c>
      <c r="Y487" s="18">
        <f>AC487-AB487</f>
        <v/>
      </c>
      <c r="Z487" s="27" t="n">
        <v>1</v>
      </c>
      <c r="AA487" s="27" t="n">
        <v>1</v>
      </c>
      <c r="AB487" s="27" t="n">
        <v>0</v>
      </c>
      <c r="AC487" s="27" t="n">
        <v>3</v>
      </c>
      <c r="AD487" s="1" t="inlineStr">
        <is>
          <t>IH5470</t>
        </is>
      </c>
      <c r="AE487" s="1" t="inlineStr">
        <is>
          <t>Preloved Scarlet/Core White/Cloud Wh</t>
        </is>
      </c>
      <c r="AF487" s="4" t="n">
        <v>9.75</v>
      </c>
      <c r="AG487" s="4" t="n">
        <v>7.62</v>
      </c>
    </row>
    <row r="488" ht="47.25" customHeight="1">
      <c r="A488" s="18" t="inlineStr">
        <is>
          <t>197607762728</t>
        </is>
      </c>
      <c r="B488" s="19" t="inlineStr">
        <is>
          <t>https://www.amazon.com/dp/</t>
        </is>
      </c>
      <c r="C488" s="20" t="inlineStr">
        <is>
          <t>B0CRCXLMC3</t>
        </is>
      </c>
      <c r="D488" s="44" t="n"/>
      <c r="E488" s="23" t="inlineStr">
        <is>
          <t>?th=1&amp;psc=1&amp;tag=sdcdeals03-20</t>
        </is>
      </c>
      <c r="F488" s="19">
        <f>HYPERLINK("https://redirect.sdcdeals.com/redirect?destination=https%3A%2F%2Fwww.amazon.com%2Fdp%2FB0CRCXLMC3%3Fth%3D1%26psc%3D1%26tag%3Dsdcdeals03-20", "Amazon Link")</f>
        <v/>
      </c>
      <c r="G488" s="19" t="inlineStr">
        <is>
          <t>https://www.jcpenney.com/s?searchTerm={search_term}</t>
        </is>
      </c>
      <c r="H488" s="23" t="inlineStr">
        <is>
          <t>197607762728</t>
        </is>
      </c>
      <c r="I488" s="19">
        <f>HYPERLINK("https://www.jcpenney.com/s?searchTerm=197607762728", "Retail Link")</f>
        <v/>
      </c>
      <c r="J488" s="23" t="inlineStr">
        <is>
          <t>n/a</t>
        </is>
      </c>
      <c r="K488" s="21" t="inlineStr">
        <is>
          <t>adidas Women's Ultimashow 2.0 Sneaker, Black/Carbon/Black, 5</t>
        </is>
      </c>
      <c r="L488" s="24" t="n">
        <v>56.9905</v>
      </c>
      <c r="M488" s="24" t="inlineStr"/>
      <c r="N488" s="24" t="n"/>
      <c r="O488" s="24">
        <f>V488-M488</f>
        <v/>
      </c>
      <c r="P488" s="25">
        <f>N488/L488</f>
        <v/>
      </c>
      <c r="Q488" s="23" t="n">
        <v>2000078</v>
      </c>
      <c r="R488" s="23" t="n"/>
      <c r="S488" s="26" t="n">
        <v>1.00089748</v>
      </c>
      <c r="T488" s="24" t="inlineStr"/>
      <c r="U488" s="24" t="inlineStr"/>
      <c r="V488" s="24" t="inlineStr"/>
      <c r="W488" s="26" t="inlineStr">
        <is>
          <t>adidas Ultimashow 2.0 Womens Sneakers</t>
        </is>
      </c>
      <c r="X488" s="23" t="n"/>
      <c r="Y488" s="18">
        <f>AC488-AB488</f>
        <v/>
      </c>
      <c r="Z488" s="27" t="n">
        <v>1</v>
      </c>
      <c r="AA488" s="27" t="n">
        <v>1</v>
      </c>
      <c r="AB488" s="27" t="n">
        <v>0</v>
      </c>
      <c r="AC488" s="27" t="n"/>
      <c r="AD488" s="1" t="inlineStr">
        <is>
          <t>NLG38</t>
        </is>
      </c>
      <c r="AE488" s="1" t="inlineStr">
        <is>
          <t>Black/Carbon/Black</t>
        </is>
      </c>
      <c r="AF488" s="4" t="inlineStr"/>
      <c r="AG488" s="4" t="n">
        <v>8.1</v>
      </c>
    </row>
    <row r="489" ht="47.25" customHeight="1">
      <c r="A489" s="18" t="inlineStr">
        <is>
          <t>197607762797</t>
        </is>
      </c>
      <c r="B489" s="19" t="inlineStr">
        <is>
          <t>https://www.amazon.com/dp/</t>
        </is>
      </c>
      <c r="C489" s="20" t="inlineStr">
        <is>
          <t>B0CRCY94PC</t>
        </is>
      </c>
      <c r="D489" s="44" t="n"/>
      <c r="E489" s="23" t="inlineStr">
        <is>
          <t>?th=1&amp;psc=1&amp;tag=sdcdeals03-20</t>
        </is>
      </c>
      <c r="F489" s="19">
        <f>HYPERLINK("https://redirect.sdcdeals.com/redirect?destination=https%3A%2F%2Fwww.amazon.com%2Fdp%2FB0CRCY94PC%3Fth%3D1%26psc%3D1%26tag%3Dsdcdeals03-20", "Amazon Link")</f>
        <v/>
      </c>
      <c r="G489" s="19" t="inlineStr">
        <is>
          <t>https://www.jcpenney.com/s?searchTerm={search_term}</t>
        </is>
      </c>
      <c r="H489" s="23" t="inlineStr">
        <is>
          <t>197607762797</t>
        </is>
      </c>
      <c r="I489" s="19">
        <f>HYPERLINK("https://www.jcpenney.com/s?searchTerm=197607762797", "Retail Link")</f>
        <v/>
      </c>
      <c r="J489" s="23" t="inlineStr">
        <is>
          <t>n/a</t>
        </is>
      </c>
      <c r="K489" s="21" t="inlineStr">
        <is>
          <t>adidas Women's Ultimashow 2.0 Sneaker, Black/Carbon/Black, 5.5</t>
        </is>
      </c>
      <c r="L489" s="24" t="n">
        <v>56.9905</v>
      </c>
      <c r="M489" s="24" t="n">
        <v>53.34</v>
      </c>
      <c r="N489" s="24" t="n">
        <v>-19.7515</v>
      </c>
      <c r="O489" s="24">
        <f>V489-M489</f>
        <v/>
      </c>
      <c r="P489" s="25">
        <f>N489/L489</f>
        <v/>
      </c>
      <c r="Q489" s="23" t="n">
        <v>2000078</v>
      </c>
      <c r="R489" s="23" t="n"/>
      <c r="S489" s="26" t="n">
        <v>1.00089748</v>
      </c>
      <c r="T489" s="24" t="n">
        <v>53.34</v>
      </c>
      <c r="U489" s="24" t="inlineStr"/>
      <c r="V489" s="24" t="inlineStr"/>
      <c r="W489" s="26" t="inlineStr">
        <is>
          <t>adidas Ultimashow 2.0 Womens Sneakers</t>
        </is>
      </c>
      <c r="X489" s="23" t="n"/>
      <c r="Y489" s="18">
        <f>AC489-AB489</f>
        <v/>
      </c>
      <c r="Z489" s="27" t="n">
        <v>1</v>
      </c>
      <c r="AA489" s="27" t="n">
        <v>2</v>
      </c>
      <c r="AB489" s="27" t="n">
        <v>0</v>
      </c>
      <c r="AC489" s="27" t="n"/>
      <c r="AD489" s="1" t="inlineStr">
        <is>
          <t>NLG38</t>
        </is>
      </c>
      <c r="AE489" s="1" t="inlineStr">
        <is>
          <t>Black/Carbon/Black</t>
        </is>
      </c>
      <c r="AF489" s="4" t="n">
        <v>8</v>
      </c>
      <c r="AG489" s="4" t="n">
        <v>8.1</v>
      </c>
    </row>
    <row r="490" ht="47.25" customHeight="1">
      <c r="A490" s="18" t="inlineStr">
        <is>
          <t>197607762773</t>
        </is>
      </c>
      <c r="B490" s="19" t="inlineStr">
        <is>
          <t>https://www.amazon.com/dp/</t>
        </is>
      </c>
      <c r="C490" s="20" t="inlineStr">
        <is>
          <t>B0CRDDW3WQ</t>
        </is>
      </c>
      <c r="D490" s="44" t="n"/>
      <c r="E490" s="23" t="inlineStr">
        <is>
          <t>?th=1&amp;psc=1&amp;tag=sdcdeals03-20</t>
        </is>
      </c>
      <c r="F490" s="19">
        <f>HYPERLINK("https://redirect.sdcdeals.com/redirect?destination=https%3A%2F%2Fwww.amazon.com%2Fdp%2FB0CRDDW3WQ%3Fth%3D1%26psc%3D1%26tag%3Dsdcdeals03-20", "Amazon Link")</f>
        <v/>
      </c>
      <c r="G490" s="19" t="inlineStr">
        <is>
          <t>https://www.jcpenney.com/s?searchTerm={search_term}</t>
        </is>
      </c>
      <c r="H490" s="23" t="inlineStr">
        <is>
          <t>197607762773</t>
        </is>
      </c>
      <c r="I490" s="19">
        <f>HYPERLINK("https://www.jcpenney.com/s?searchTerm=197607762773", "Retail Link")</f>
        <v/>
      </c>
      <c r="J490" s="23" t="inlineStr">
        <is>
          <t>n/a</t>
        </is>
      </c>
      <c r="K490" s="21" t="inlineStr">
        <is>
          <t>adidas Women's Ultimashow 2.0 Sneaker, Black/Carbon/Black, 6</t>
        </is>
      </c>
      <c r="L490" s="24" t="n">
        <v>56.9905</v>
      </c>
      <c r="M490" s="24" t="inlineStr"/>
      <c r="N490" s="24" t="n"/>
      <c r="O490" s="24">
        <f>V490-M490</f>
        <v/>
      </c>
      <c r="P490" s="25">
        <f>N490/L490</f>
        <v/>
      </c>
      <c r="Q490" s="23" t="n">
        <v>2000078</v>
      </c>
      <c r="R490" s="23" t="n"/>
      <c r="S490" s="26" t="n">
        <v>1.00089748</v>
      </c>
      <c r="T490" s="24" t="inlineStr"/>
      <c r="U490" s="24" t="inlineStr"/>
      <c r="V490" s="24" t="inlineStr"/>
      <c r="W490" s="26" t="inlineStr">
        <is>
          <t>adidas Ultimashow 2.0 Womens Sneakers</t>
        </is>
      </c>
      <c r="X490" s="23" t="n"/>
      <c r="Y490" s="18">
        <f>AC490-AB490</f>
        <v/>
      </c>
      <c r="Z490" s="27" t="n">
        <v>1</v>
      </c>
      <c r="AA490" s="27" t="n">
        <v>1</v>
      </c>
      <c r="AB490" s="27" t="n">
        <v>0</v>
      </c>
      <c r="AC490" s="27" t="n"/>
      <c r="AD490" s="1" t="inlineStr">
        <is>
          <t>NLG38</t>
        </is>
      </c>
      <c r="AE490" s="1" t="inlineStr">
        <is>
          <t>Black/Carbon/Black</t>
        </is>
      </c>
      <c r="AF490" s="4" t="inlineStr"/>
      <c r="AG490" s="4" t="n">
        <v>8.1</v>
      </c>
    </row>
    <row r="491" ht="47.25" customHeight="1">
      <c r="A491" s="18" t="inlineStr">
        <is>
          <t>197607762810</t>
        </is>
      </c>
      <c r="B491" s="19" t="inlineStr">
        <is>
          <t>https://www.amazon.com/dp/</t>
        </is>
      </c>
      <c r="C491" s="20" t="inlineStr">
        <is>
          <t>B0CRCW5GNL</t>
        </is>
      </c>
      <c r="D491" s="44" t="n"/>
      <c r="E491" s="23" t="inlineStr">
        <is>
          <t>?th=1&amp;psc=1&amp;tag=sdcdeals03-20</t>
        </is>
      </c>
      <c r="F491" s="19">
        <f>HYPERLINK("https://redirect.sdcdeals.com/redirect?destination=https%3A%2F%2Fwww.amazon.com%2Fdp%2FB0CRCW5GNL%3Fth%3D1%26psc%3D1%26tag%3Dsdcdeals03-20", "Amazon Link")</f>
        <v/>
      </c>
      <c r="G491" s="19" t="inlineStr">
        <is>
          <t>https://www.jcpenney.com/s?searchTerm={search_term}</t>
        </is>
      </c>
      <c r="H491" s="23" t="inlineStr">
        <is>
          <t>197607762810</t>
        </is>
      </c>
      <c r="I491" s="19">
        <f>HYPERLINK("https://www.jcpenney.com/s?searchTerm=197607762810", "Retail Link")</f>
        <v/>
      </c>
      <c r="J491" s="23" t="inlineStr">
        <is>
          <t>n/a</t>
        </is>
      </c>
      <c r="K491" s="21" t="inlineStr">
        <is>
          <t>adidas Women's Ultimashow 2.0 Sneaker, Black/Carbon/Black, 6.5</t>
        </is>
      </c>
      <c r="L491" s="24" t="n">
        <v>56.9905</v>
      </c>
      <c r="M491" s="24" t="inlineStr"/>
      <c r="N491" s="24" t="n"/>
      <c r="O491" s="24">
        <f>V491-M491</f>
        <v/>
      </c>
      <c r="P491" s="25">
        <f>N491/L491</f>
        <v/>
      </c>
      <c r="Q491" s="23" t="n"/>
      <c r="R491" s="23" t="n"/>
      <c r="S491" s="26" t="n">
        <v>1.00089748</v>
      </c>
      <c r="T491" s="24" t="inlineStr"/>
      <c r="U491" s="24" t="inlineStr"/>
      <c r="V491" s="24" t="inlineStr"/>
      <c r="W491" s="26" t="inlineStr">
        <is>
          <t>adidas Ultimashow 2.0 Womens Sneakers</t>
        </is>
      </c>
      <c r="X491" s="23" t="n"/>
      <c r="Y491" s="18">
        <f>AC491-AB491</f>
        <v/>
      </c>
      <c r="Z491" s="27" t="n">
        <v>1</v>
      </c>
      <c r="AA491" s="27" t="n">
        <v>1</v>
      </c>
      <c r="AB491" s="27" t="n">
        <v>0</v>
      </c>
      <c r="AC491" s="27" t="n"/>
      <c r="AD491" s="1" t="inlineStr">
        <is>
          <t>NLG38</t>
        </is>
      </c>
      <c r="AE491" s="1" t="inlineStr">
        <is>
          <t>Black/Carbon/Black</t>
        </is>
      </c>
      <c r="AF491" s="4" t="inlineStr"/>
      <c r="AG491" s="4" t="n">
        <v>8.1</v>
      </c>
    </row>
    <row r="492" ht="47.25" customHeight="1">
      <c r="A492" s="18" t="inlineStr">
        <is>
          <t>197607762711</t>
        </is>
      </c>
      <c r="B492" s="19" t="inlineStr">
        <is>
          <t>https://www.amazon.com/dp/</t>
        </is>
      </c>
      <c r="C492" s="20" t="inlineStr">
        <is>
          <t>B0CRD1HXXG</t>
        </is>
      </c>
      <c r="D492" s="44" t="n"/>
      <c r="E492" s="23" t="inlineStr">
        <is>
          <t>?th=1&amp;psc=1&amp;tag=sdcdeals03-20</t>
        </is>
      </c>
      <c r="F492" s="19">
        <f>HYPERLINK("https://redirect.sdcdeals.com/redirect?destination=https%3A%2F%2Fwww.amazon.com%2Fdp%2FB0CRD1HXXG%3Fth%3D1%26psc%3D1%26tag%3Dsdcdeals03-20", "Amazon Link")</f>
        <v/>
      </c>
      <c r="G492" s="19" t="inlineStr">
        <is>
          <t>https://www.jcpenney.com/s?searchTerm={search_term}</t>
        </is>
      </c>
      <c r="H492" s="23" t="inlineStr">
        <is>
          <t>197607762711</t>
        </is>
      </c>
      <c r="I492" s="19">
        <f>HYPERLINK("https://www.jcpenney.com/s?searchTerm=197607762711", "Retail Link")</f>
        <v/>
      </c>
      <c r="J492" s="23" t="inlineStr">
        <is>
          <t>n/a</t>
        </is>
      </c>
      <c r="K492" s="21" t="inlineStr">
        <is>
          <t>adidas Women's Ultimashow 2.0 Sneaker, Black/Carbon/Black, 7</t>
        </is>
      </c>
      <c r="L492" s="24" t="n">
        <v>56.9905</v>
      </c>
      <c r="M492" s="24" t="n">
        <v>63.53</v>
      </c>
      <c r="N492" s="24" t="n">
        <v>-11.09</v>
      </c>
      <c r="O492" s="24">
        <f>V492-M492</f>
        <v/>
      </c>
      <c r="P492" s="25">
        <f>N492/L492</f>
        <v/>
      </c>
      <c r="Q492" s="23" t="n">
        <v>2000078</v>
      </c>
      <c r="R492" s="23" t="n"/>
      <c r="S492" s="26" t="n">
        <v>1.00089748</v>
      </c>
      <c r="T492" s="24" t="inlineStr"/>
      <c r="U492" s="24" t="n">
        <v>63.53</v>
      </c>
      <c r="V492" s="24" t="n">
        <v>63.53</v>
      </c>
      <c r="W492" s="26" t="inlineStr">
        <is>
          <t>adidas Ultimashow 2.0 Womens Sneakers</t>
        </is>
      </c>
      <c r="X492" s="23" t="n">
        <v>1</v>
      </c>
      <c r="Y492" s="18">
        <f>AC492-AB492</f>
        <v/>
      </c>
      <c r="Z492" s="27" t="n">
        <v>1</v>
      </c>
      <c r="AA492" s="27" t="n">
        <v>3</v>
      </c>
      <c r="AB492" s="27" t="n">
        <v>0</v>
      </c>
      <c r="AC492" s="27" t="n"/>
      <c r="AD492" s="1" t="inlineStr">
        <is>
          <t>NLG38</t>
        </is>
      </c>
      <c r="AE492" s="1" t="inlineStr">
        <is>
          <t>Black/Carbon/Black</t>
        </is>
      </c>
      <c r="AF492" s="4" t="inlineStr"/>
      <c r="AG492" s="4" t="n">
        <v>8.1</v>
      </c>
    </row>
    <row r="493" ht="47.25" customHeight="1">
      <c r="A493" s="18" t="inlineStr">
        <is>
          <t>197607762780</t>
        </is>
      </c>
      <c r="B493" s="19" t="inlineStr">
        <is>
          <t>https://www.amazon.com/dp/</t>
        </is>
      </c>
      <c r="C493" s="20" t="inlineStr">
        <is>
          <t>B0CRD87SSX</t>
        </is>
      </c>
      <c r="D493" s="44" t="n"/>
      <c r="E493" s="23" t="inlineStr">
        <is>
          <t>?th=1&amp;psc=1&amp;tag=sdcdeals03-20</t>
        </is>
      </c>
      <c r="F493" s="19">
        <f>HYPERLINK("https://redirect.sdcdeals.com/redirect?destination=https%3A%2F%2Fwww.amazon.com%2Fdp%2FB0CRD87SSX%3Fth%3D1%26psc%3D1%26tag%3Dsdcdeals03-20", "Amazon Link")</f>
        <v/>
      </c>
      <c r="G493" s="19" t="inlineStr">
        <is>
          <t>https://www.jcpenney.com/s?searchTerm={search_term}</t>
        </is>
      </c>
      <c r="H493" s="23" t="inlineStr">
        <is>
          <t>197607762780</t>
        </is>
      </c>
      <c r="I493" s="19">
        <f>HYPERLINK("https://www.jcpenney.com/s?searchTerm=197607762780", "Retail Link")</f>
        <v/>
      </c>
      <c r="J493" s="23" t="inlineStr">
        <is>
          <t>n/a</t>
        </is>
      </c>
      <c r="K493" s="21" t="inlineStr">
        <is>
          <t>adidas Women's Ultimashow 2.0 Sneaker, Black/Carbon/Black, 7.5</t>
        </is>
      </c>
      <c r="L493" s="24" t="n">
        <v>56.9905</v>
      </c>
      <c r="M493" s="24" t="n">
        <v>65</v>
      </c>
      <c r="N493" s="24" t="n">
        <v>-9.840499999999999</v>
      </c>
      <c r="O493" s="24">
        <f>V493-M493</f>
        <v/>
      </c>
      <c r="P493" s="25">
        <f>N493/L493</f>
        <v/>
      </c>
      <c r="Q493" s="23" t="n">
        <v>2000078</v>
      </c>
      <c r="R493" s="23" t="n"/>
      <c r="S493" s="26" t="n">
        <v>1.00089748</v>
      </c>
      <c r="T493" s="24" t="inlineStr"/>
      <c r="U493" s="24" t="n">
        <v>65</v>
      </c>
      <c r="V493" s="24" t="n">
        <v>65</v>
      </c>
      <c r="W493" s="26" t="inlineStr">
        <is>
          <t>adidas Ultimashow 2.0 Womens Sneakers</t>
        </is>
      </c>
      <c r="X493" s="23" t="n">
        <v>1</v>
      </c>
      <c r="Y493" s="18">
        <f>AC493-AB493</f>
        <v/>
      </c>
      <c r="Z493" s="27" t="n">
        <v>1</v>
      </c>
      <c r="AA493" s="27" t="n">
        <v>1</v>
      </c>
      <c r="AB493" s="27" t="n">
        <v>0</v>
      </c>
      <c r="AC493" s="27" t="n"/>
      <c r="AD493" s="1" t="inlineStr">
        <is>
          <t>NLG38</t>
        </is>
      </c>
      <c r="AE493" s="1" t="inlineStr">
        <is>
          <t>Black/Carbon/Black</t>
        </is>
      </c>
      <c r="AF493" s="4" t="inlineStr"/>
      <c r="AG493" s="4" t="n">
        <v>8.1</v>
      </c>
    </row>
    <row r="494" ht="47.25" customHeight="1">
      <c r="A494" s="18" t="inlineStr">
        <is>
          <t>197607762803</t>
        </is>
      </c>
      <c r="B494" s="19" t="inlineStr">
        <is>
          <t>https://www.amazon.com/dp/</t>
        </is>
      </c>
      <c r="C494" s="20" t="inlineStr">
        <is>
          <t>B0CRCVNRS1</t>
        </is>
      </c>
      <c r="D494" s="44" t="n"/>
      <c r="E494" s="23" t="inlineStr">
        <is>
          <t>?th=1&amp;psc=1&amp;tag=sdcdeals03-20</t>
        </is>
      </c>
      <c r="F494" s="19">
        <f>HYPERLINK("https://redirect.sdcdeals.com/redirect?destination=https%3A%2F%2Fwww.amazon.com%2Fdp%2FB0CRCVNRS1%3Fth%3D1%26psc%3D1%26tag%3Dsdcdeals03-20", "Amazon Link")</f>
        <v/>
      </c>
      <c r="G494" s="19" t="inlineStr">
        <is>
          <t>https://www.jcpenney.com/s?searchTerm={search_term}</t>
        </is>
      </c>
      <c r="H494" s="23" t="inlineStr">
        <is>
          <t>197607762803</t>
        </is>
      </c>
      <c r="I494" s="19">
        <f>HYPERLINK("https://www.jcpenney.com/s?searchTerm=197607762803", "Retail Link")</f>
        <v/>
      </c>
      <c r="J494" s="23" t="inlineStr">
        <is>
          <t>n/a</t>
        </is>
      </c>
      <c r="K494" s="21" t="inlineStr">
        <is>
          <t>adidas Women's Ultimashow 2.0 Sneaker, Black/Carbon/Black, 8</t>
        </is>
      </c>
      <c r="L494" s="24" t="n">
        <v>56.9905</v>
      </c>
      <c r="M494" s="24" t="n">
        <v>58.22</v>
      </c>
      <c r="N494" s="24" t="n">
        <v>-15.2835</v>
      </c>
      <c r="O494" s="24">
        <f>V494-M494</f>
        <v/>
      </c>
      <c r="P494" s="25">
        <f>N494/L494</f>
        <v/>
      </c>
      <c r="Q494" s="23" t="n">
        <v>1980374</v>
      </c>
      <c r="R494" s="23" t="n"/>
      <c r="S494" s="26" t="n">
        <v>1.79015144</v>
      </c>
      <c r="T494" s="24" t="n">
        <v>58.22</v>
      </c>
      <c r="U494" s="24" t="n">
        <v>54.93</v>
      </c>
      <c r="V494" s="24" t="n">
        <v>54.93</v>
      </c>
      <c r="W494" s="26" t="inlineStr">
        <is>
          <t>adidas Ultimashow 2.0 Womens Sneakers</t>
        </is>
      </c>
      <c r="X494" s="23" t="n">
        <v>1</v>
      </c>
      <c r="Y494" s="18">
        <f>AC494-AB494</f>
        <v/>
      </c>
      <c r="Z494" s="27" t="n">
        <v>5</v>
      </c>
      <c r="AA494" s="27" t="n">
        <v>11</v>
      </c>
      <c r="AB494" s="27" t="n">
        <v>0</v>
      </c>
      <c r="AC494" s="27" t="n"/>
      <c r="AD494" s="1" t="inlineStr">
        <is>
          <t>NLG38</t>
        </is>
      </c>
      <c r="AE494" s="1" t="inlineStr">
        <is>
          <t>Black/Carbon/Black</t>
        </is>
      </c>
      <c r="AF494" s="4" t="n">
        <v>8.73</v>
      </c>
      <c r="AG494" s="4" t="n">
        <v>7.78</v>
      </c>
    </row>
    <row r="495" ht="47.25" customHeight="1">
      <c r="A495" s="18" t="inlineStr">
        <is>
          <t>197607762698</t>
        </is>
      </c>
      <c r="B495" s="19" t="inlineStr">
        <is>
          <t>https://www.amazon.com/dp/</t>
        </is>
      </c>
      <c r="C495" s="20" t="inlineStr">
        <is>
          <t>B0CRD633K1</t>
        </is>
      </c>
      <c r="D495" s="44" t="n"/>
      <c r="E495" s="23" t="inlineStr">
        <is>
          <t>?th=1&amp;psc=1&amp;tag=sdcdeals03-20</t>
        </is>
      </c>
      <c r="F495" s="19">
        <f>HYPERLINK("https://redirect.sdcdeals.com/redirect?destination=https%3A%2F%2Fwww.amazon.com%2Fdp%2FB0CRD633K1%3Fth%3D1%26psc%3D1%26tag%3Dsdcdeals03-20", "Amazon Link")</f>
        <v/>
      </c>
      <c r="G495" s="19" t="inlineStr">
        <is>
          <t>https://www.jcpenney.com/s?searchTerm={search_term}</t>
        </is>
      </c>
      <c r="H495" s="23" t="inlineStr">
        <is>
          <t>197607762698</t>
        </is>
      </c>
      <c r="I495" s="19">
        <f>HYPERLINK("https://www.jcpenney.com/s?searchTerm=197607762698", "Retail Link")</f>
        <v/>
      </c>
      <c r="J495" s="23" t="inlineStr">
        <is>
          <t>n/a</t>
        </is>
      </c>
      <c r="K495" s="21" t="inlineStr">
        <is>
          <t>adidas Women's Ultimashow 2.0 Sneaker, Black/Carbon/Black, 8.5</t>
        </is>
      </c>
      <c r="L495" s="24" t="n">
        <v>56.9905</v>
      </c>
      <c r="M495" s="24" t="inlineStr"/>
      <c r="N495" s="24" t="n"/>
      <c r="O495" s="24">
        <f>V495-M495</f>
        <v/>
      </c>
      <c r="P495" s="25">
        <f>N495/L495</f>
        <v/>
      </c>
      <c r="Q495" s="23" t="n"/>
      <c r="R495" s="23" t="n"/>
      <c r="S495" s="26" t="n">
        <v>1.00089748</v>
      </c>
      <c r="T495" s="24" t="inlineStr"/>
      <c r="U495" s="24" t="inlineStr"/>
      <c r="V495" s="24" t="inlineStr"/>
      <c r="W495" s="26" t="inlineStr">
        <is>
          <t>adidas Ultimashow 2.0 Womens Sneakers</t>
        </is>
      </c>
      <c r="X495" s="23" t="n"/>
      <c r="Y495" s="18">
        <f>AC495-AB495</f>
        <v/>
      </c>
      <c r="Z495" s="27" t="n">
        <v>1</v>
      </c>
      <c r="AA495" s="27" t="n">
        <v>1</v>
      </c>
      <c r="AB495" s="27" t="n">
        <v>0</v>
      </c>
      <c r="AC495" s="27" t="n"/>
      <c r="AD495" s="1" t="inlineStr">
        <is>
          <t>NLG38</t>
        </is>
      </c>
      <c r="AE495" s="1" t="inlineStr">
        <is>
          <t>Black/Carbon/Black</t>
        </is>
      </c>
      <c r="AF495" s="4" t="inlineStr"/>
      <c r="AG495" s="4" t="n">
        <v>8.1</v>
      </c>
    </row>
    <row r="496" ht="47.25" customHeight="1">
      <c r="A496" s="18" t="inlineStr">
        <is>
          <t>197607762735</t>
        </is>
      </c>
      <c r="B496" s="19" t="inlineStr">
        <is>
          <t>https://www.amazon.com/dp/</t>
        </is>
      </c>
      <c r="C496" s="20" t="inlineStr">
        <is>
          <t>B0CRD33GDR</t>
        </is>
      </c>
      <c r="D496" s="44" t="n"/>
      <c r="E496" s="23" t="inlineStr">
        <is>
          <t>?th=1&amp;psc=1&amp;tag=sdcdeals03-20</t>
        </is>
      </c>
      <c r="F496" s="19">
        <f>HYPERLINK("https://redirect.sdcdeals.com/redirect?destination=https%3A%2F%2Fwww.amazon.com%2Fdp%2FB0CRD33GDR%3Fth%3D1%26psc%3D1%26tag%3Dsdcdeals03-20", "Amazon Link")</f>
        <v/>
      </c>
      <c r="G496" s="19" t="inlineStr">
        <is>
          <t>https://www.jcpenney.com/s?searchTerm={search_term}</t>
        </is>
      </c>
      <c r="H496" s="23" t="inlineStr">
        <is>
          <t>197607762735</t>
        </is>
      </c>
      <c r="I496" s="19">
        <f>HYPERLINK("https://www.jcpenney.com/s?searchTerm=197607762735", "Retail Link")</f>
        <v/>
      </c>
      <c r="J496" s="23" t="inlineStr">
        <is>
          <t>n/a</t>
        </is>
      </c>
      <c r="K496" s="21" t="inlineStr">
        <is>
          <t>adidas Women's Ultimashow 2.0 Sneaker, Black/Carbon/Black, 9</t>
        </is>
      </c>
      <c r="L496" s="24" t="n">
        <v>56.9905</v>
      </c>
      <c r="M496" s="24" t="inlineStr"/>
      <c r="N496" s="24" t="n"/>
      <c r="O496" s="24">
        <f>V496-M496</f>
        <v/>
      </c>
      <c r="P496" s="25">
        <f>N496/L496</f>
        <v/>
      </c>
      <c r="Q496" s="23" t="n"/>
      <c r="R496" s="23" t="n"/>
      <c r="S496" s="26" t="n">
        <v>1.84967618</v>
      </c>
      <c r="T496" s="24" t="inlineStr"/>
      <c r="U496" s="24" t="inlineStr"/>
      <c r="V496" s="24" t="inlineStr"/>
      <c r="W496" s="26" t="inlineStr">
        <is>
          <t>adidas Ultimashow 2.0 Womens Sneakers</t>
        </is>
      </c>
      <c r="X496" s="23" t="n"/>
      <c r="Y496" s="18">
        <f>AC496-AB496</f>
        <v/>
      </c>
      <c r="Z496" s="27" t="n">
        <v>1</v>
      </c>
      <c r="AA496" s="27" t="n">
        <v>2</v>
      </c>
      <c r="AB496" s="27" t="n">
        <v>0</v>
      </c>
      <c r="AC496" s="27" t="n"/>
      <c r="AD496" s="1" t="inlineStr">
        <is>
          <t>NLG38</t>
        </is>
      </c>
      <c r="AE496" s="1" t="inlineStr">
        <is>
          <t>Black/Carbon/Black</t>
        </is>
      </c>
      <c r="AF496" s="4" t="inlineStr"/>
      <c r="AG496" s="4" t="n">
        <v>7.86</v>
      </c>
    </row>
    <row r="497" ht="47.25" customHeight="1">
      <c r="A497" s="18" t="inlineStr">
        <is>
          <t>197607762759</t>
        </is>
      </c>
      <c r="B497" s="19" t="inlineStr">
        <is>
          <t>https://www.amazon.com/dp/</t>
        </is>
      </c>
      <c r="C497" s="20" t="inlineStr">
        <is>
          <t>B0CRD84T8S</t>
        </is>
      </c>
      <c r="D497" s="44" t="n"/>
      <c r="E497" s="23" t="inlineStr">
        <is>
          <t>?th=1&amp;psc=1&amp;tag=sdcdeals03-20</t>
        </is>
      </c>
      <c r="F497" s="19">
        <f>HYPERLINK("https://redirect.sdcdeals.com/redirect?destination=https%3A%2F%2Fwww.amazon.com%2Fdp%2FB0CRD84T8S%3Fth%3D1%26psc%3D1%26tag%3Dsdcdeals03-20", "Amazon Link")</f>
        <v/>
      </c>
      <c r="G497" s="19" t="inlineStr">
        <is>
          <t>https://www.jcpenney.com/s?searchTerm={search_term}</t>
        </is>
      </c>
      <c r="H497" s="23" t="inlineStr">
        <is>
          <t>197607762759</t>
        </is>
      </c>
      <c r="I497" s="19">
        <f>HYPERLINK("https://www.jcpenney.com/s?searchTerm=197607762759", "Retail Link")</f>
        <v/>
      </c>
      <c r="J497" s="23" t="inlineStr">
        <is>
          <t>n/a</t>
        </is>
      </c>
      <c r="K497" s="21" t="inlineStr">
        <is>
          <t>adidas Women's Ultimashow 2.0 Sneaker, Black/Carbon/Black, 9.5</t>
        </is>
      </c>
      <c r="L497" s="24" t="n">
        <v>56.9905</v>
      </c>
      <c r="M497" s="24" t="inlineStr"/>
      <c r="N497" s="24" t="n"/>
      <c r="O497" s="24">
        <f>V497-M497</f>
        <v/>
      </c>
      <c r="P497" s="25">
        <f>N497/L497</f>
        <v/>
      </c>
      <c r="Q497" s="23" t="n"/>
      <c r="R497" s="23" t="n"/>
      <c r="S497" s="26" t="n">
        <v>1.00089748</v>
      </c>
      <c r="T497" s="24" t="inlineStr"/>
      <c r="U497" s="24" t="inlineStr"/>
      <c r="V497" s="24" t="inlineStr"/>
      <c r="W497" s="26" t="inlineStr">
        <is>
          <t>adidas Ultimashow 2.0 Womens Sneakers</t>
        </is>
      </c>
      <c r="X497" s="23" t="n"/>
      <c r="Y497" s="18">
        <f>AC497-AB497</f>
        <v/>
      </c>
      <c r="Z497" s="27" t="n">
        <v>1</v>
      </c>
      <c r="AA497" s="27" t="n">
        <v>1</v>
      </c>
      <c r="AB497" s="27" t="n">
        <v>0</v>
      </c>
      <c r="AC497" s="27" t="n"/>
      <c r="AD497" s="1" t="inlineStr">
        <is>
          <t>NLG38</t>
        </is>
      </c>
      <c r="AE497" s="1" t="inlineStr">
        <is>
          <t>Black/Carbon/Black</t>
        </is>
      </c>
      <c r="AF497" s="4" t="inlineStr"/>
      <c r="AG497" s="4" t="n">
        <v>8.1</v>
      </c>
    </row>
    <row r="498" ht="47.25" customHeight="1">
      <c r="A498" s="18" t="inlineStr">
        <is>
          <t>197607762742</t>
        </is>
      </c>
      <c r="B498" s="19" t="inlineStr">
        <is>
          <t>https://www.amazon.com/dp/</t>
        </is>
      </c>
      <c r="C498" s="20" t="inlineStr">
        <is>
          <t>B0CRCY94P9</t>
        </is>
      </c>
      <c r="D498" s="44" t="n"/>
      <c r="E498" s="23" t="inlineStr">
        <is>
          <t>?th=1&amp;psc=1&amp;tag=sdcdeals03-20</t>
        </is>
      </c>
      <c r="F498" s="19">
        <f>HYPERLINK("https://redirect.sdcdeals.com/redirect?destination=https%3A%2F%2Fwww.amazon.com%2Fdp%2FB0CRCY94P9%3Fth%3D1%26psc%3D1%26tag%3Dsdcdeals03-20", "Amazon Link")</f>
        <v/>
      </c>
      <c r="G498" s="19" t="inlineStr">
        <is>
          <t>https://www.jcpenney.com/s?searchTerm={search_term}</t>
        </is>
      </c>
      <c r="H498" s="23" t="inlineStr">
        <is>
          <t>197607762742</t>
        </is>
      </c>
      <c r="I498" s="19">
        <f>HYPERLINK("https://www.jcpenney.com/s?searchTerm=197607762742", "Retail Link")</f>
        <v/>
      </c>
      <c r="J498" s="23" t="inlineStr">
        <is>
          <t>n/a</t>
        </is>
      </c>
      <c r="K498" s="21" t="inlineStr">
        <is>
          <t>adidas Women's Ultimashow 2.0 Sneaker, Black/Carbon/Black, 10</t>
        </is>
      </c>
      <c r="L498" s="24" t="n">
        <v>56.9905</v>
      </c>
      <c r="M498" s="24" t="inlineStr"/>
      <c r="N498" s="24" t="n"/>
      <c r="O498" s="24">
        <f>V498-M498</f>
        <v/>
      </c>
      <c r="P498" s="25">
        <f>N498/L498</f>
        <v/>
      </c>
      <c r="Q498" s="23" t="n"/>
      <c r="R498" s="23" t="n"/>
      <c r="S498" s="26" t="n">
        <v>1.00089748</v>
      </c>
      <c r="T498" s="24" t="inlineStr"/>
      <c r="U498" s="24" t="inlineStr"/>
      <c r="V498" s="24" t="inlineStr"/>
      <c r="W498" s="26" t="inlineStr">
        <is>
          <t>adidas Ultimashow 2.0 Womens Sneakers</t>
        </is>
      </c>
      <c r="X498" s="23" t="n"/>
      <c r="Y498" s="18">
        <f>AC498-AB498</f>
        <v/>
      </c>
      <c r="Z498" s="27" t="n">
        <v>1</v>
      </c>
      <c r="AA498" s="27" t="n">
        <v>2</v>
      </c>
      <c r="AB498" s="27" t="n">
        <v>0</v>
      </c>
      <c r="AC498" s="27" t="n"/>
      <c r="AD498" s="1" t="inlineStr">
        <is>
          <t>NLG38</t>
        </is>
      </c>
      <c r="AE498" s="1" t="inlineStr">
        <is>
          <t>Black/Carbon/Black</t>
        </is>
      </c>
      <c r="AF498" s="4" t="inlineStr"/>
      <c r="AG498" s="4" t="n">
        <v>8.1</v>
      </c>
    </row>
    <row r="499" ht="47.25" customHeight="1">
      <c r="A499" s="18" t="inlineStr">
        <is>
          <t>197607762704</t>
        </is>
      </c>
      <c r="B499" s="19" t="inlineStr">
        <is>
          <t>https://www.amazon.com/dp/</t>
        </is>
      </c>
      <c r="C499" s="20" t="inlineStr">
        <is>
          <t>B0CRDFKMTJ</t>
        </is>
      </c>
      <c r="D499" s="44" t="n"/>
      <c r="E499" s="23" t="inlineStr">
        <is>
          <t>?th=1&amp;psc=1&amp;tag=sdcdeals03-20</t>
        </is>
      </c>
      <c r="F499" s="19">
        <f>HYPERLINK("https://redirect.sdcdeals.com/redirect?destination=https%3A%2F%2Fwww.amazon.com%2Fdp%2FB0CRDFKMTJ%3Fth%3D1%26psc%3D1%26tag%3Dsdcdeals03-20", "Amazon Link")</f>
        <v/>
      </c>
      <c r="G499" s="19" t="inlineStr">
        <is>
          <t>https://www.jcpenney.com/s?searchTerm={search_term}</t>
        </is>
      </c>
      <c r="H499" s="23" t="inlineStr">
        <is>
          <t>197607762704</t>
        </is>
      </c>
      <c r="I499" s="19">
        <f>HYPERLINK("https://www.jcpenney.com/s?searchTerm=197607762704", "Retail Link")</f>
        <v/>
      </c>
      <c r="J499" s="23" t="inlineStr">
        <is>
          <t>n/a</t>
        </is>
      </c>
      <c r="K499" s="21" t="inlineStr">
        <is>
          <t>adidas Women's Ultimashow 2.0 Sneaker, Black/Carbon/Black, 11</t>
        </is>
      </c>
      <c r="L499" s="24" t="n">
        <v>56.9905</v>
      </c>
      <c r="M499" s="24" t="inlineStr"/>
      <c r="N499" s="24" t="n"/>
      <c r="O499" s="24">
        <f>V499-M499</f>
        <v/>
      </c>
      <c r="P499" s="25">
        <f>N499/L499</f>
        <v/>
      </c>
      <c r="Q499" s="23" t="n"/>
      <c r="R499" s="23" t="n"/>
      <c r="S499" s="26" t="n">
        <v>1.00089748</v>
      </c>
      <c r="T499" s="24" t="inlineStr"/>
      <c r="U499" s="24" t="inlineStr"/>
      <c r="V499" s="24" t="inlineStr"/>
      <c r="W499" s="26" t="inlineStr">
        <is>
          <t>adidas Ultimashow 2.0 Womens Sneakers</t>
        </is>
      </c>
      <c r="X499" s="23" t="n"/>
      <c r="Y499" s="18">
        <f>AC499-AB499</f>
        <v/>
      </c>
      <c r="Z499" s="27" t="n">
        <v>1</v>
      </c>
      <c r="AA499" s="27" t="n">
        <v>2</v>
      </c>
      <c r="AB499" s="27" t="n">
        <v>0</v>
      </c>
      <c r="AC499" s="27" t="n"/>
      <c r="AD499" s="1" t="inlineStr">
        <is>
          <t>NLG38</t>
        </is>
      </c>
      <c r="AE499" s="1" t="inlineStr">
        <is>
          <t>Black/Carbon/Black</t>
        </is>
      </c>
      <c r="AF499" s="4" t="inlineStr"/>
      <c r="AG499" s="4" t="n">
        <v>8.1</v>
      </c>
    </row>
    <row r="500" ht="47.25" customHeight="1">
      <c r="A500" s="18" t="inlineStr">
        <is>
          <t>197607926076</t>
        </is>
      </c>
      <c r="B500" s="19" t="inlineStr">
        <is>
          <t>https://www.amazon.com/dp/</t>
        </is>
      </c>
      <c r="C500" s="20" t="inlineStr">
        <is>
          <t>B0CRDB9RC2</t>
        </is>
      </c>
      <c r="D500" s="44" t="n"/>
      <c r="E500" s="23" t="inlineStr">
        <is>
          <t>?th=1&amp;psc=1&amp;tag=sdcdeals03-20</t>
        </is>
      </c>
      <c r="F500" s="19">
        <f>HYPERLINK("https://redirect.sdcdeals.com/redirect?destination=https%3A%2F%2Fwww.amazon.com%2Fdp%2FB0CRDB9RC2%3Fth%3D1%26psc%3D1%26tag%3Dsdcdeals03-20", "Amazon Link")</f>
        <v/>
      </c>
      <c r="G500" s="19" t="inlineStr">
        <is>
          <t>https://www.jcpenney.com/s?searchTerm={search_term}</t>
        </is>
      </c>
      <c r="H500" s="23" t="inlineStr">
        <is>
          <t>197607926076</t>
        </is>
      </c>
      <c r="I500" s="19">
        <f>HYPERLINK("https://www.jcpenney.com/s?searchTerm=197607926076", "Retail Link")</f>
        <v/>
      </c>
      <c r="J500" s="23" t="inlineStr">
        <is>
          <t>n/a</t>
        </is>
      </c>
      <c r="K500" s="21" t="inlineStr">
        <is>
          <t>adidas Women's Ultimashow 2.0 Sneaker, Linen Green/Chalk White/Chalk White, 5</t>
        </is>
      </c>
      <c r="L500" s="24" t="n">
        <v>56.9905</v>
      </c>
      <c r="M500" s="24" t="n">
        <v>65</v>
      </c>
      <c r="N500" s="24" t="n">
        <v>-9.840499999999999</v>
      </c>
      <c r="O500" s="24">
        <f>V500-M500</f>
        <v/>
      </c>
      <c r="P500" s="25">
        <f>N500/L500</f>
        <v/>
      </c>
      <c r="Q500" s="23" t="n"/>
      <c r="R500" s="23" t="n"/>
      <c r="S500" s="26" t="n">
        <v>1.00089748</v>
      </c>
      <c r="T500" s="24" t="inlineStr"/>
      <c r="U500" s="24" t="n">
        <v>65</v>
      </c>
      <c r="V500" s="24" t="n">
        <v>65</v>
      </c>
      <c r="W500" s="26" t="inlineStr">
        <is>
          <t>adidas Ultimashow 2.0 Womens Sneakers</t>
        </is>
      </c>
      <c r="X500" s="23" t="n">
        <v>1</v>
      </c>
      <c r="Y500" s="18">
        <f>AC500-AB500</f>
        <v/>
      </c>
      <c r="Z500" s="27" t="n">
        <v>1</v>
      </c>
      <c r="AA500" s="27" t="n">
        <v>3</v>
      </c>
      <c r="AB500" s="27" t="n">
        <v>0</v>
      </c>
      <c r="AC500" s="27" t="n"/>
      <c r="AD500" s="1" t="inlineStr">
        <is>
          <t>NLG38</t>
        </is>
      </c>
      <c r="AE500" s="1" t="inlineStr">
        <is>
          <t>Linen Green/Chalk White/Chalk White</t>
        </is>
      </c>
      <c r="AF500" s="4" t="inlineStr"/>
      <c r="AG500" s="4" t="n">
        <v>8.1</v>
      </c>
    </row>
    <row r="501" ht="47.25" customHeight="1">
      <c r="A501" s="18" t="inlineStr">
        <is>
          <t>197607922399</t>
        </is>
      </c>
      <c r="B501" s="19" t="inlineStr">
        <is>
          <t>https://www.amazon.com/dp/</t>
        </is>
      </c>
      <c r="C501" s="20" t="inlineStr">
        <is>
          <t>B0CRD6HP32</t>
        </is>
      </c>
      <c r="D501" s="44" t="n"/>
      <c r="E501" s="23" t="inlineStr">
        <is>
          <t>?th=1&amp;psc=1&amp;tag=sdcdeals03-20</t>
        </is>
      </c>
      <c r="F501" s="19">
        <f>HYPERLINK("https://redirect.sdcdeals.com/redirect?destination=https%3A%2F%2Fwww.amazon.com%2Fdp%2FB0CRD6HP32%3Fth%3D1%26psc%3D1%26tag%3Dsdcdeals03-20", "Amazon Link")</f>
        <v/>
      </c>
      <c r="G501" s="19" t="inlineStr">
        <is>
          <t>https://www.jcpenney.com/s?searchTerm={search_term}</t>
        </is>
      </c>
      <c r="H501" s="23" t="inlineStr">
        <is>
          <t>197607922399</t>
        </is>
      </c>
      <c r="I501" s="19">
        <f>HYPERLINK("https://www.jcpenney.com/s?searchTerm=197607922399", "Retail Link")</f>
        <v/>
      </c>
      <c r="J501" s="23" t="inlineStr">
        <is>
          <t>n/a</t>
        </is>
      </c>
      <c r="K501" s="21" t="inlineStr">
        <is>
          <t>adidas Women's Ultimashow 2.0 Sneaker, Linen Green/Chalk White/Chalk White, 5.5</t>
        </is>
      </c>
      <c r="L501" s="24" t="n">
        <v>56.9905</v>
      </c>
      <c r="M501" s="24" t="n">
        <v>56.45</v>
      </c>
      <c r="N501" s="24" t="n">
        <v>-17.108</v>
      </c>
      <c r="O501" s="24">
        <f>V501-M501</f>
        <v/>
      </c>
      <c r="P501" s="25">
        <f>N501/L501</f>
        <v/>
      </c>
      <c r="Q501" s="23" t="n"/>
      <c r="R501" s="23" t="n"/>
      <c r="S501" s="26" t="n">
        <v>1.00089748</v>
      </c>
      <c r="T501" s="24" t="inlineStr"/>
      <c r="U501" s="24" t="n">
        <v>56.45</v>
      </c>
      <c r="V501" s="24" t="n">
        <v>56.45</v>
      </c>
      <c r="W501" s="26" t="inlineStr">
        <is>
          <t>adidas Ultimashow 2.0 Womens Sneakers</t>
        </is>
      </c>
      <c r="X501" s="23" t="n">
        <v>1</v>
      </c>
      <c r="Y501" s="18">
        <f>AC501-AB501</f>
        <v/>
      </c>
      <c r="Z501" s="27" t="n">
        <v>1</v>
      </c>
      <c r="AA501" s="27" t="n">
        <v>10</v>
      </c>
      <c r="AB501" s="27" t="n">
        <v>0</v>
      </c>
      <c r="AC501" s="27" t="n"/>
      <c r="AD501" s="1" t="inlineStr">
        <is>
          <t>NLG38</t>
        </is>
      </c>
      <c r="AE501" s="1" t="inlineStr">
        <is>
          <t>Linen Green/Chalk White/Chalk White</t>
        </is>
      </c>
      <c r="AF501" s="4" t="inlineStr"/>
      <c r="AG501" s="4" t="n">
        <v>8.1</v>
      </c>
    </row>
    <row r="502" ht="47.25" customHeight="1">
      <c r="A502" s="18" t="inlineStr">
        <is>
          <t>197607926069</t>
        </is>
      </c>
      <c r="B502" s="19" t="inlineStr">
        <is>
          <t>https://www.amazon.com/dp/</t>
        </is>
      </c>
      <c r="C502" s="20" t="inlineStr">
        <is>
          <t>B0CRDCCDY8</t>
        </is>
      </c>
      <c r="D502" s="44" t="n"/>
      <c r="E502" s="23" t="inlineStr">
        <is>
          <t>?th=1&amp;psc=1&amp;tag=sdcdeals03-20</t>
        </is>
      </c>
      <c r="F502" s="19">
        <f>HYPERLINK("https://redirect.sdcdeals.com/redirect?destination=https%3A%2F%2Fwww.amazon.com%2Fdp%2FB0CRDCCDY8%3Fth%3D1%26psc%3D1%26tag%3Dsdcdeals03-20", "Amazon Link")</f>
        <v/>
      </c>
      <c r="G502" s="19" t="inlineStr">
        <is>
          <t>https://www.jcpenney.com/s?searchTerm={search_term}</t>
        </is>
      </c>
      <c r="H502" s="23" t="inlineStr">
        <is>
          <t>197607926069</t>
        </is>
      </c>
      <c r="I502" s="19">
        <f>HYPERLINK("https://www.jcpenney.com/s?searchTerm=197607926069", "Retail Link")</f>
        <v/>
      </c>
      <c r="J502" s="23" t="inlineStr">
        <is>
          <t>n/a</t>
        </is>
      </c>
      <c r="K502" s="21" t="inlineStr">
        <is>
          <t>adidas Women's Ultimashow 2.0 Sneaker, Linen Green/Chalk White/Chalk White, 6</t>
        </is>
      </c>
      <c r="L502" s="24" t="n">
        <v>56.9905</v>
      </c>
      <c r="M502" s="24" t="inlineStr"/>
      <c r="N502" s="24" t="n"/>
      <c r="O502" s="24">
        <f>V502-M502</f>
        <v/>
      </c>
      <c r="P502" s="25">
        <f>N502/L502</f>
        <v/>
      </c>
      <c r="Q502" s="23" t="n"/>
      <c r="R502" s="23" t="n"/>
      <c r="S502" s="26" t="n">
        <v>1.00089748</v>
      </c>
      <c r="T502" s="24" t="inlineStr"/>
      <c r="U502" s="24" t="inlineStr"/>
      <c r="V502" s="24" t="inlineStr"/>
      <c r="W502" s="26" t="inlineStr">
        <is>
          <t>adidas Ultimashow 2.0 Womens Sneakers</t>
        </is>
      </c>
      <c r="X502" s="23" t="n">
        <v>1</v>
      </c>
      <c r="Y502" s="18">
        <f>AC502-AB502</f>
        <v/>
      </c>
      <c r="Z502" s="27" t="n">
        <v>1</v>
      </c>
      <c r="AA502" s="27" t="n">
        <v>6</v>
      </c>
      <c r="AB502" s="27" t="n">
        <v>0</v>
      </c>
      <c r="AC502" s="27" t="n"/>
      <c r="AD502" s="1" t="inlineStr">
        <is>
          <t>NLG38</t>
        </is>
      </c>
      <c r="AE502" s="1" t="inlineStr">
        <is>
          <t>Linen Green/Chalk White/Chalk White</t>
        </is>
      </c>
      <c r="AF502" s="4" t="inlineStr"/>
      <c r="AG502" s="4" t="n">
        <v>8.1</v>
      </c>
    </row>
    <row r="503" ht="47.25" customHeight="1">
      <c r="A503" s="18" t="inlineStr">
        <is>
          <t>197607922368</t>
        </is>
      </c>
      <c r="B503" s="19" t="inlineStr">
        <is>
          <t>https://www.amazon.com/dp/</t>
        </is>
      </c>
      <c r="C503" s="20" t="inlineStr">
        <is>
          <t>B0CRCYNDG4</t>
        </is>
      </c>
      <c r="D503" s="44" t="n"/>
      <c r="E503" s="23" t="inlineStr">
        <is>
          <t>?th=1&amp;psc=1&amp;tag=sdcdeals03-20</t>
        </is>
      </c>
      <c r="F503" s="19">
        <f>HYPERLINK("https://redirect.sdcdeals.com/redirect?destination=https%3A%2F%2Fwww.amazon.com%2Fdp%2FB0CRCYNDG4%3Fth%3D1%26psc%3D1%26tag%3Dsdcdeals03-20", "Amazon Link")</f>
        <v/>
      </c>
      <c r="G503" s="19" t="inlineStr">
        <is>
          <t>https://www.jcpenney.com/s?searchTerm={search_term}</t>
        </is>
      </c>
      <c r="H503" s="23" t="inlineStr">
        <is>
          <t>197607922368</t>
        </is>
      </c>
      <c r="I503" s="19">
        <f>HYPERLINK("https://www.jcpenney.com/s?searchTerm=197607922368", "Retail Link")</f>
        <v/>
      </c>
      <c r="J503" s="23" t="inlineStr">
        <is>
          <t>n/a</t>
        </is>
      </c>
      <c r="K503" s="21" t="inlineStr">
        <is>
          <t>adidas Women's Ultimashow 2.0 Sneaker, Linen Green/Chalk White/Chalk White, 6.5</t>
        </is>
      </c>
      <c r="L503" s="24" t="n">
        <v>56.9905</v>
      </c>
      <c r="M503" s="24" t="inlineStr"/>
      <c r="N503" s="24" t="n"/>
      <c r="O503" s="24">
        <f>V503-M503</f>
        <v/>
      </c>
      <c r="P503" s="25">
        <f>N503/L503</f>
        <v/>
      </c>
      <c r="Q503" s="23" t="n"/>
      <c r="R503" s="23" t="n"/>
      <c r="S503" s="26" t="n">
        <v>1.00089748</v>
      </c>
      <c r="T503" s="24" t="inlineStr"/>
      <c r="U503" s="24" t="inlineStr"/>
      <c r="V503" s="24" t="inlineStr"/>
      <c r="W503" s="26" t="inlineStr">
        <is>
          <t>adidas Ultimashow 2.0 Womens Sneakers</t>
        </is>
      </c>
      <c r="X503" s="23" t="n">
        <v>1</v>
      </c>
      <c r="Y503" s="18">
        <f>AC503-AB503</f>
        <v/>
      </c>
      <c r="Z503" s="27" t="n">
        <v>1</v>
      </c>
      <c r="AA503" s="27" t="n">
        <v>5</v>
      </c>
      <c r="AB503" s="27" t="n">
        <v>0</v>
      </c>
      <c r="AC503" s="27" t="n"/>
      <c r="AD503" s="1" t="inlineStr">
        <is>
          <t>NLG38</t>
        </is>
      </c>
      <c r="AE503" s="1" t="inlineStr">
        <is>
          <t>Linen Green/Chalk White/Chalk White</t>
        </is>
      </c>
      <c r="AF503" s="4" t="inlineStr"/>
      <c r="AG503" s="4" t="n">
        <v>8.1</v>
      </c>
    </row>
    <row r="504" ht="47.25" customHeight="1">
      <c r="A504" s="18" t="inlineStr">
        <is>
          <t>197607922351</t>
        </is>
      </c>
      <c r="B504" s="19" t="inlineStr">
        <is>
          <t>https://www.amazon.com/dp/</t>
        </is>
      </c>
      <c r="C504" s="20" t="inlineStr">
        <is>
          <t>B0CRD72VVV</t>
        </is>
      </c>
      <c r="D504" s="44" t="n"/>
      <c r="E504" s="23" t="inlineStr">
        <is>
          <t>?th=1&amp;psc=1&amp;tag=sdcdeals03-20</t>
        </is>
      </c>
      <c r="F504" s="19">
        <f>HYPERLINK("https://redirect.sdcdeals.com/redirect?destination=https%3A%2F%2Fwww.amazon.com%2Fdp%2FB0CRD72VVV%3Fth%3D1%26psc%3D1%26tag%3Dsdcdeals03-20", "Amazon Link")</f>
        <v/>
      </c>
      <c r="G504" s="19" t="inlineStr">
        <is>
          <t>https://www.jcpenney.com/s?searchTerm={search_term}</t>
        </is>
      </c>
      <c r="H504" s="23" t="inlineStr">
        <is>
          <t>197607922351</t>
        </is>
      </c>
      <c r="I504" s="19">
        <f>HYPERLINK("https://www.jcpenney.com/s?searchTerm=197607922351", "Retail Link")</f>
        <v/>
      </c>
      <c r="J504" s="23" t="inlineStr">
        <is>
          <t>n/a</t>
        </is>
      </c>
      <c r="K504" s="21" t="inlineStr">
        <is>
          <t>adidas Women's Ultimashow 2.0 Sneaker, Linen Green/Chalk White/Chalk White, 7</t>
        </is>
      </c>
      <c r="L504" s="24" t="n">
        <v>56.9905</v>
      </c>
      <c r="M504" s="24" t="inlineStr"/>
      <c r="N504" s="24" t="n"/>
      <c r="O504" s="24">
        <f>V504-M504</f>
        <v/>
      </c>
      <c r="P504" s="25">
        <f>N504/L504</f>
        <v/>
      </c>
      <c r="Q504" s="23" t="n"/>
      <c r="R504" s="23" t="n"/>
      <c r="S504" s="26" t="n">
        <v>1.00089748</v>
      </c>
      <c r="T504" s="24" t="inlineStr"/>
      <c r="U504" s="24" t="inlineStr"/>
      <c r="V504" s="24" t="inlineStr"/>
      <c r="W504" s="26" t="inlineStr">
        <is>
          <t>adidas Ultimashow 2.0 Womens Sneakers</t>
        </is>
      </c>
      <c r="X504" s="23" t="n">
        <v>1</v>
      </c>
      <c r="Y504" s="18">
        <f>AC504-AB504</f>
        <v/>
      </c>
      <c r="Z504" s="27" t="n">
        <v>1</v>
      </c>
      <c r="AA504" s="27" t="n">
        <v>6</v>
      </c>
      <c r="AB504" s="27" t="n">
        <v>0</v>
      </c>
      <c r="AC504" s="27" t="n"/>
      <c r="AD504" s="1" t="inlineStr">
        <is>
          <t>NLG38</t>
        </is>
      </c>
      <c r="AE504" s="1" t="inlineStr">
        <is>
          <t>Linen Green/Chalk White/Chalk White</t>
        </is>
      </c>
      <c r="AF504" s="4" t="inlineStr"/>
      <c r="AG504" s="4" t="n">
        <v>8.1</v>
      </c>
    </row>
    <row r="505" ht="47.25" customHeight="1">
      <c r="A505" s="18" t="inlineStr">
        <is>
          <t>197607922436</t>
        </is>
      </c>
      <c r="B505" s="19" t="inlineStr">
        <is>
          <t>https://www.amazon.com/dp/</t>
        </is>
      </c>
      <c r="C505" s="20" t="inlineStr">
        <is>
          <t>B0CRCX23XB</t>
        </is>
      </c>
      <c r="D505" s="44" t="n"/>
      <c r="E505" s="23" t="inlineStr">
        <is>
          <t>?th=1&amp;psc=1&amp;tag=sdcdeals03-20</t>
        </is>
      </c>
      <c r="F505" s="19">
        <f>HYPERLINK("https://redirect.sdcdeals.com/redirect?destination=https%3A%2F%2Fwww.amazon.com%2Fdp%2FB0CRCX23XB%3Fth%3D1%26psc%3D1%26tag%3Dsdcdeals03-20", "Amazon Link")</f>
        <v/>
      </c>
      <c r="G505" s="19" t="inlineStr">
        <is>
          <t>https://www.jcpenney.com/s?searchTerm={search_term}</t>
        </is>
      </c>
      <c r="H505" s="23" t="inlineStr">
        <is>
          <t>197607922436</t>
        </is>
      </c>
      <c r="I505" s="19">
        <f>HYPERLINK("https://www.jcpenney.com/s?searchTerm=197607922436", "Retail Link")</f>
        <v/>
      </c>
      <c r="J505" s="23" t="inlineStr">
        <is>
          <t>n/a</t>
        </is>
      </c>
      <c r="K505" s="21" t="inlineStr">
        <is>
          <t>adidas Women's Ultimashow 2.0 Sneaker, Linen Green/Chalk White/Chalk White, 7.5</t>
        </is>
      </c>
      <c r="L505" s="24" t="n">
        <v>56.9905</v>
      </c>
      <c r="M505" s="24" t="inlineStr"/>
      <c r="N505" s="24" t="n"/>
      <c r="O505" s="24">
        <f>V505-M505</f>
        <v/>
      </c>
      <c r="P505" s="25">
        <f>N505/L505</f>
        <v/>
      </c>
      <c r="Q505" s="23" t="n"/>
      <c r="R505" s="23" t="n"/>
      <c r="S505" s="26" t="n">
        <v>1.00089748</v>
      </c>
      <c r="T505" s="24" t="inlineStr"/>
      <c r="U505" s="24" t="inlineStr"/>
      <c r="V505" s="24" t="inlineStr"/>
      <c r="W505" s="26" t="inlineStr">
        <is>
          <t>adidas Ultimashow 2.0 Womens Sneakers</t>
        </is>
      </c>
      <c r="X505" s="23" t="n">
        <v>1</v>
      </c>
      <c r="Y505" s="18">
        <f>AC505-AB505</f>
        <v/>
      </c>
      <c r="Z505" s="27" t="n">
        <v>1</v>
      </c>
      <c r="AA505" s="27" t="n">
        <v>4</v>
      </c>
      <c r="AB505" s="27" t="n">
        <v>0</v>
      </c>
      <c r="AC505" s="27" t="n"/>
      <c r="AD505" s="1" t="inlineStr">
        <is>
          <t>NLG38</t>
        </is>
      </c>
      <c r="AE505" s="1" t="inlineStr">
        <is>
          <t>Linen Green/Chalk White/Chalk White</t>
        </is>
      </c>
      <c r="AF505" s="4" t="inlineStr"/>
      <c r="AG505" s="4" t="n">
        <v>8.1</v>
      </c>
    </row>
    <row r="506" ht="47.25" customHeight="1">
      <c r="A506" s="18" t="inlineStr">
        <is>
          <t>197607922375</t>
        </is>
      </c>
      <c r="B506" s="19" t="inlineStr">
        <is>
          <t>https://www.amazon.com/dp/</t>
        </is>
      </c>
      <c r="C506" s="20" t="inlineStr">
        <is>
          <t>B0CRDBV841</t>
        </is>
      </c>
      <c r="D506" s="44" t="n"/>
      <c r="E506" s="23" t="inlineStr">
        <is>
          <t>?th=1&amp;psc=1&amp;tag=sdcdeals03-20</t>
        </is>
      </c>
      <c r="F506" s="19">
        <f>HYPERLINK("https://redirect.sdcdeals.com/redirect?destination=https%3A%2F%2Fwww.amazon.com%2Fdp%2FB0CRDBV841%3Fth%3D1%26psc%3D1%26tag%3Dsdcdeals03-20", "Amazon Link")</f>
        <v/>
      </c>
      <c r="G506" s="19" t="inlineStr">
        <is>
          <t>https://www.jcpenney.com/s?searchTerm={search_term}</t>
        </is>
      </c>
      <c r="H506" s="23" t="inlineStr">
        <is>
          <t>197607922375</t>
        </is>
      </c>
      <c r="I506" s="19">
        <f>HYPERLINK("https://www.jcpenney.com/s?searchTerm=197607922375", "Retail Link")</f>
        <v/>
      </c>
      <c r="J506" s="23" t="inlineStr">
        <is>
          <t>n/a</t>
        </is>
      </c>
      <c r="K506" s="21" t="inlineStr">
        <is>
          <t>adidas Women's Ultimashow 2.0 Sneaker, Linen Green/Chalk White/Chalk White, 8</t>
        </is>
      </c>
      <c r="L506" s="24" t="n">
        <v>56.9905</v>
      </c>
      <c r="M506" s="24" t="n">
        <v>51.69</v>
      </c>
      <c r="N506" s="24" t="n">
        <v>-20.834</v>
      </c>
      <c r="O506" s="24">
        <f>V506-M506</f>
        <v/>
      </c>
      <c r="P506" s="25">
        <f>N506/L506</f>
        <v/>
      </c>
      <c r="Q506" s="23" t="n">
        <v>1980374</v>
      </c>
      <c r="R506" s="23" t="n"/>
      <c r="S506" s="26" t="n">
        <v>1.79015144</v>
      </c>
      <c r="T506" s="24" t="n">
        <v>51.69</v>
      </c>
      <c r="U506" s="24" t="n">
        <v>55.06</v>
      </c>
      <c r="V506" s="24" t="n">
        <v>55.06</v>
      </c>
      <c r="W506" s="26" t="inlineStr">
        <is>
          <t>adidas Ultimashow 2.0 Womens Sneakers</t>
        </is>
      </c>
      <c r="X506" s="23" t="n">
        <v>2</v>
      </c>
      <c r="Y506" s="18">
        <f>AC506-AB506</f>
        <v/>
      </c>
      <c r="Z506" s="27" t="n">
        <v>5</v>
      </c>
      <c r="AA506" s="27" t="n">
        <v>15</v>
      </c>
      <c r="AB506" s="27" t="n">
        <v>0</v>
      </c>
      <c r="AC506" s="27" t="n"/>
      <c r="AD506" s="1" t="inlineStr">
        <is>
          <t>NLG38</t>
        </is>
      </c>
      <c r="AE506" s="1" t="inlineStr">
        <is>
          <t>Linen Green/Chalk White/Chalk White</t>
        </is>
      </c>
      <c r="AF506" s="4" t="n">
        <v>7.75</v>
      </c>
      <c r="AG506" s="4" t="n">
        <v>7.78</v>
      </c>
    </row>
    <row r="507" ht="47.25" customHeight="1">
      <c r="A507" s="18" t="inlineStr">
        <is>
          <t>197607922412</t>
        </is>
      </c>
      <c r="B507" s="19" t="inlineStr">
        <is>
          <t>https://www.amazon.com/dp/</t>
        </is>
      </c>
      <c r="C507" s="20" t="inlineStr">
        <is>
          <t>B0CRD29WGB</t>
        </is>
      </c>
      <c r="D507" s="44" t="n"/>
      <c r="E507" s="23" t="inlineStr">
        <is>
          <t>?th=1&amp;psc=1&amp;tag=sdcdeals03-20</t>
        </is>
      </c>
      <c r="F507" s="19">
        <f>HYPERLINK("https://redirect.sdcdeals.com/redirect?destination=https%3A%2F%2Fwww.amazon.com%2Fdp%2FB0CRD29WGB%3Fth%3D1%26psc%3D1%26tag%3Dsdcdeals03-20", "Amazon Link")</f>
        <v/>
      </c>
      <c r="G507" s="19" t="inlineStr">
        <is>
          <t>https://www.jcpenney.com/s?searchTerm={search_term}</t>
        </is>
      </c>
      <c r="H507" s="23" t="inlineStr">
        <is>
          <t>197607922412</t>
        </is>
      </c>
      <c r="I507" s="19">
        <f>HYPERLINK("https://www.jcpenney.com/s?searchTerm=197607922412", "Retail Link")</f>
        <v/>
      </c>
      <c r="J507" s="23" t="inlineStr">
        <is>
          <t>n/a</t>
        </is>
      </c>
      <c r="K507" s="21" t="inlineStr">
        <is>
          <t>adidas Women's Ultimashow 2.0 Sneaker, Linen Green/Chalk White/Chalk White, 8.5</t>
        </is>
      </c>
      <c r="L507" s="24" t="n">
        <v>56.9905</v>
      </c>
      <c r="M507" s="24" t="n">
        <v>46</v>
      </c>
      <c r="N507" s="24" t="n">
        <v>-25.9905</v>
      </c>
      <c r="O507" s="24">
        <f>V507-M507</f>
        <v/>
      </c>
      <c r="P507" s="25">
        <f>N507/L507</f>
        <v/>
      </c>
      <c r="Q507" s="23" t="n"/>
      <c r="R507" s="23" t="n"/>
      <c r="S507" s="26" t="n">
        <v>1.00089748</v>
      </c>
      <c r="T507" s="24" t="inlineStr"/>
      <c r="U507" s="24" t="n">
        <v>46</v>
      </c>
      <c r="V507" s="24" t="n">
        <v>46</v>
      </c>
      <c r="W507" s="26" t="inlineStr">
        <is>
          <t>adidas Ultimashow 2.0 Womens Sneakers</t>
        </is>
      </c>
      <c r="X507" s="23" t="n">
        <v>1</v>
      </c>
      <c r="Y507" s="18">
        <f>AC507-AB507</f>
        <v/>
      </c>
      <c r="Z507" s="27" t="n">
        <v>0</v>
      </c>
      <c r="AA507" s="27" t="n">
        <v>7</v>
      </c>
      <c r="AB507" s="27" t="n">
        <v>0</v>
      </c>
      <c r="AC507" s="27" t="n"/>
      <c r="AD507" s="1" t="inlineStr">
        <is>
          <t>NLG38</t>
        </is>
      </c>
      <c r="AE507" s="1" t="inlineStr">
        <is>
          <t>Linen Green/Chalk White/Chalk White</t>
        </is>
      </c>
      <c r="AF507" s="4" t="inlineStr"/>
      <c r="AG507" s="4" t="n">
        <v>8.1</v>
      </c>
    </row>
    <row r="508" ht="47.25" customHeight="1">
      <c r="A508" s="18" t="inlineStr">
        <is>
          <t>197607922405</t>
        </is>
      </c>
      <c r="B508" s="19" t="inlineStr">
        <is>
          <t>https://www.amazon.com/dp/</t>
        </is>
      </c>
      <c r="C508" s="20" t="inlineStr">
        <is>
          <t>B0CRDB84C4</t>
        </is>
      </c>
      <c r="D508" s="44" t="n"/>
      <c r="E508" s="23" t="inlineStr">
        <is>
          <t>?th=1&amp;psc=1&amp;tag=sdcdeals03-20</t>
        </is>
      </c>
      <c r="F508" s="19">
        <f>HYPERLINK("https://redirect.sdcdeals.com/redirect?destination=https%3A%2F%2Fwww.amazon.com%2Fdp%2FB0CRDB84C4%3Fth%3D1%26psc%3D1%26tag%3Dsdcdeals03-20", "Amazon Link")</f>
        <v/>
      </c>
      <c r="G508" s="19" t="inlineStr">
        <is>
          <t>https://www.jcpenney.com/s?searchTerm={search_term}</t>
        </is>
      </c>
      <c r="H508" s="23" t="inlineStr">
        <is>
          <t>197607922405</t>
        </is>
      </c>
      <c r="I508" s="19">
        <f>HYPERLINK("https://www.jcpenney.com/s?searchTerm=197607922405", "Retail Link")</f>
        <v/>
      </c>
      <c r="J508" s="23" t="inlineStr">
        <is>
          <t>n/a</t>
        </is>
      </c>
      <c r="K508" s="21" t="inlineStr">
        <is>
          <t>adidas Women's Ultimashow 2.0 Sneaker, Linen Green/Chalk White/Chalk White, 9</t>
        </is>
      </c>
      <c r="L508" s="24" t="n">
        <v>56.9905</v>
      </c>
      <c r="M508" s="24" t="n">
        <v>54.86</v>
      </c>
      <c r="N508" s="24" t="n">
        <v>-18.2195</v>
      </c>
      <c r="O508" s="24">
        <f>V508-M508</f>
        <v/>
      </c>
      <c r="P508" s="25">
        <f>N508/L508</f>
        <v/>
      </c>
      <c r="Q508" s="23" t="n">
        <v>1987281</v>
      </c>
      <c r="R508" s="23" t="n"/>
      <c r="S508" s="26" t="n">
        <v>1.84967618</v>
      </c>
      <c r="T508" s="24" t="n">
        <v>54.86</v>
      </c>
      <c r="U508" s="24" t="n">
        <v>54.66</v>
      </c>
      <c r="V508" s="24" t="n">
        <v>54.66</v>
      </c>
      <c r="W508" s="26" t="inlineStr">
        <is>
          <t>adidas Ultimashow 2.0 Womens Sneakers</t>
        </is>
      </c>
      <c r="X508" s="23" t="n">
        <v>1</v>
      </c>
      <c r="Y508" s="18">
        <f>AC508-AB508</f>
        <v/>
      </c>
      <c r="Z508" s="27" t="n">
        <v>3</v>
      </c>
      <c r="AA508" s="27" t="n">
        <v>9</v>
      </c>
      <c r="AB508" s="27" t="n">
        <v>0</v>
      </c>
      <c r="AC508" s="27" t="n"/>
      <c r="AD508" s="1" t="inlineStr">
        <is>
          <t>NLG38</t>
        </is>
      </c>
      <c r="AE508" s="1" t="inlineStr">
        <is>
          <t>Linen Green/Chalk White/Chalk White</t>
        </is>
      </c>
      <c r="AF508" s="4" t="n">
        <v>8.23</v>
      </c>
      <c r="AG508" s="4" t="n">
        <v>7.86</v>
      </c>
    </row>
    <row r="509" ht="47.25" customHeight="1">
      <c r="A509" s="18" t="inlineStr">
        <is>
          <t>197607922382</t>
        </is>
      </c>
      <c r="B509" s="19" t="inlineStr">
        <is>
          <t>https://www.amazon.com/dp/</t>
        </is>
      </c>
      <c r="C509" s="20" t="inlineStr">
        <is>
          <t>B0CRD1MFKT</t>
        </is>
      </c>
      <c r="D509" s="44" t="n"/>
      <c r="E509" s="23" t="inlineStr">
        <is>
          <t>?th=1&amp;psc=1&amp;tag=sdcdeals03-20</t>
        </is>
      </c>
      <c r="F509" s="19">
        <f>HYPERLINK("https://redirect.sdcdeals.com/redirect?destination=https%3A%2F%2Fwww.amazon.com%2Fdp%2FB0CRD1MFKT%3Fth%3D1%26psc%3D1%26tag%3Dsdcdeals03-20", "Amazon Link")</f>
        <v/>
      </c>
      <c r="G509" s="19" t="inlineStr">
        <is>
          <t>https://www.jcpenney.com/s?searchTerm={search_term}</t>
        </is>
      </c>
      <c r="H509" s="23" t="inlineStr">
        <is>
          <t>197607922382</t>
        </is>
      </c>
      <c r="I509" s="19">
        <f>HYPERLINK("https://www.jcpenney.com/s?searchTerm=197607922382", "Retail Link")</f>
        <v/>
      </c>
      <c r="J509" s="23" t="inlineStr">
        <is>
          <t>n/a</t>
        </is>
      </c>
      <c r="K509" s="21" t="inlineStr">
        <is>
          <t>adidas Women's Ultimashow 2.0 Sneaker, Linen Green/Chalk White/Chalk White, 9.5</t>
        </is>
      </c>
      <c r="L509" s="24" t="n">
        <v>56.9905</v>
      </c>
      <c r="M509" s="24" t="inlineStr"/>
      <c r="N509" s="24" t="n"/>
      <c r="O509" s="24">
        <f>V509-M509</f>
        <v/>
      </c>
      <c r="P509" s="25">
        <f>N509/L509</f>
        <v/>
      </c>
      <c r="Q509" s="23" t="n"/>
      <c r="R509" s="23" t="n"/>
      <c r="S509" s="26" t="n">
        <v>1.00089748</v>
      </c>
      <c r="T509" s="24" t="inlineStr"/>
      <c r="U509" s="24" t="inlineStr"/>
      <c r="V509" s="24" t="inlineStr"/>
      <c r="W509" s="26" t="inlineStr">
        <is>
          <t>adidas Ultimashow 2.0 Womens Sneakers</t>
        </is>
      </c>
      <c r="X509" s="23" t="n">
        <v>1</v>
      </c>
      <c r="Y509" s="18">
        <f>AC509-AB509</f>
        <v/>
      </c>
      <c r="Z509" s="27" t="n">
        <v>1</v>
      </c>
      <c r="AA509" s="27" t="n">
        <v>4</v>
      </c>
      <c r="AB509" s="27" t="n">
        <v>0</v>
      </c>
      <c r="AC509" s="27" t="n"/>
      <c r="AD509" s="1" t="inlineStr">
        <is>
          <t>NLG38</t>
        </is>
      </c>
      <c r="AE509" s="1" t="inlineStr">
        <is>
          <t>Linen Green/Chalk White/Chalk White</t>
        </is>
      </c>
      <c r="AF509" s="4" t="inlineStr"/>
      <c r="AG509" s="4" t="n">
        <v>8.1</v>
      </c>
    </row>
    <row r="510" ht="47.25" customHeight="1">
      <c r="A510" s="18" t="inlineStr">
        <is>
          <t>197607922429</t>
        </is>
      </c>
      <c r="B510" s="19" t="inlineStr">
        <is>
          <t>https://www.amazon.com/dp/</t>
        </is>
      </c>
      <c r="C510" s="20" t="inlineStr">
        <is>
          <t>B0CRDF3BK6</t>
        </is>
      </c>
      <c r="D510" s="44" t="n"/>
      <c r="E510" s="23" t="inlineStr">
        <is>
          <t>?th=1&amp;psc=1&amp;tag=sdcdeals03-20</t>
        </is>
      </c>
      <c r="F510" s="19">
        <f>HYPERLINK("https://redirect.sdcdeals.com/redirect?destination=https%3A%2F%2Fwww.amazon.com%2Fdp%2FB0CRDF3BK6%3Fth%3D1%26psc%3D1%26tag%3Dsdcdeals03-20", "Amazon Link")</f>
        <v/>
      </c>
      <c r="G510" s="19" t="inlineStr">
        <is>
          <t>https://www.jcpenney.com/s?searchTerm={search_term}</t>
        </is>
      </c>
      <c r="H510" s="23" t="inlineStr">
        <is>
          <t>197607922429</t>
        </is>
      </c>
      <c r="I510" s="19">
        <f>HYPERLINK("https://www.jcpenney.com/s?searchTerm=197607922429", "Retail Link")</f>
        <v/>
      </c>
      <c r="J510" s="23" t="inlineStr">
        <is>
          <t>n/a</t>
        </is>
      </c>
      <c r="K510" s="21" t="inlineStr">
        <is>
          <t>adidas Women's Ultimashow 2.0 Sneaker, Linen Green/Chalk White/Chalk White, 10</t>
        </is>
      </c>
      <c r="L510" s="24" t="n">
        <v>56.9905</v>
      </c>
      <c r="M510" s="24" t="n">
        <v>59</v>
      </c>
      <c r="N510" s="24" t="n">
        <v>-14.9405</v>
      </c>
      <c r="O510" s="24">
        <f>V510-M510</f>
        <v/>
      </c>
      <c r="P510" s="25">
        <f>N510/L510</f>
        <v/>
      </c>
      <c r="Q510" s="23" t="n">
        <v>1980374</v>
      </c>
      <c r="R510" s="23" t="n"/>
      <c r="S510" s="26" t="n">
        <v>1.00089748</v>
      </c>
      <c r="T510" s="24" t="n">
        <v>59</v>
      </c>
      <c r="U510" s="24" t="n">
        <v>56.98</v>
      </c>
      <c r="V510" s="24" t="n">
        <v>56.98</v>
      </c>
      <c r="W510" s="26" t="inlineStr">
        <is>
          <t>adidas Ultimashow 2.0 Womens Sneakers</t>
        </is>
      </c>
      <c r="X510" s="23" t="n">
        <v>1</v>
      </c>
      <c r="Y510" s="18">
        <f>AC510-AB510</f>
        <v/>
      </c>
      <c r="Z510" s="27" t="n">
        <v>4</v>
      </c>
      <c r="AA510" s="27" t="n">
        <v>9</v>
      </c>
      <c r="AB510" s="27" t="n">
        <v>0</v>
      </c>
      <c r="AC510" s="27" t="n"/>
      <c r="AD510" s="1" t="inlineStr">
        <is>
          <t>NLG38</t>
        </is>
      </c>
      <c r="AE510" s="1" t="inlineStr">
        <is>
          <t>Linen Green/Chalk White/Chalk White</t>
        </is>
      </c>
      <c r="AF510" s="4" t="n">
        <v>8.85</v>
      </c>
      <c r="AG510" s="4" t="n">
        <v>8.1</v>
      </c>
    </row>
    <row r="511" ht="47.25" customHeight="1">
      <c r="A511" s="18" t="inlineStr">
        <is>
          <t>197607922450</t>
        </is>
      </c>
      <c r="B511" s="19" t="inlineStr">
        <is>
          <t>https://www.amazon.com/dp/</t>
        </is>
      </c>
      <c r="C511" s="20" t="inlineStr">
        <is>
          <t>B0CRDCT5HK</t>
        </is>
      </c>
      <c r="D511" s="44" t="n"/>
      <c r="E511" s="23" t="inlineStr">
        <is>
          <t>?th=1&amp;psc=1&amp;tag=sdcdeals03-20</t>
        </is>
      </c>
      <c r="F511" s="19">
        <f>HYPERLINK("https://redirect.sdcdeals.com/redirect?destination=https%3A%2F%2Fwww.amazon.com%2Fdp%2FB0CRDCT5HK%3Fth%3D1%26psc%3D1%26tag%3Dsdcdeals03-20", "Amazon Link")</f>
        <v/>
      </c>
      <c r="G511" s="19" t="inlineStr">
        <is>
          <t>https://www.jcpenney.com/s?searchTerm={search_term}</t>
        </is>
      </c>
      <c r="H511" s="23" t="inlineStr">
        <is>
          <t>197607922450</t>
        </is>
      </c>
      <c r="I511" s="19">
        <f>HYPERLINK("https://www.jcpenney.com/s?searchTerm=197607922450", "Retail Link")</f>
        <v/>
      </c>
      <c r="J511" s="23" t="inlineStr">
        <is>
          <t>n/a</t>
        </is>
      </c>
      <c r="K511" s="21" t="inlineStr">
        <is>
          <t>adidas Women's Ultimashow 2.0 Sneaker, Linen Green/Chalk White/Chalk White, 11</t>
        </is>
      </c>
      <c r="L511" s="24" t="n">
        <v>56.9905</v>
      </c>
      <c r="M511" s="24" t="inlineStr"/>
      <c r="N511" s="24" t="n"/>
      <c r="O511" s="24">
        <f>V511-M511</f>
        <v/>
      </c>
      <c r="P511" s="25">
        <f>N511/L511</f>
        <v/>
      </c>
      <c r="Q511" s="23" t="n"/>
      <c r="R511" s="23" t="n"/>
      <c r="S511" s="26" t="n">
        <v>1.00089748</v>
      </c>
      <c r="T511" s="24" t="inlineStr"/>
      <c r="U511" s="24" t="inlineStr"/>
      <c r="V511" s="24" t="inlineStr"/>
      <c r="W511" s="26" t="inlineStr">
        <is>
          <t>adidas Ultimashow 2.0 Womens Sneakers</t>
        </is>
      </c>
      <c r="X511" s="23" t="n">
        <v>1</v>
      </c>
      <c r="Y511" s="18">
        <f>AC511-AB511</f>
        <v/>
      </c>
      <c r="Z511" s="27" t="n">
        <v>1</v>
      </c>
      <c r="AA511" s="27" t="n">
        <v>5</v>
      </c>
      <c r="AB511" s="27" t="n">
        <v>0</v>
      </c>
      <c r="AC511" s="27" t="n"/>
      <c r="AD511" s="1" t="inlineStr">
        <is>
          <t>NLG38</t>
        </is>
      </c>
      <c r="AE511" s="1" t="inlineStr">
        <is>
          <t>Linen Green/Chalk White/Chalk White</t>
        </is>
      </c>
      <c r="AF511" s="4" t="inlineStr"/>
      <c r="AG511" s="4" t="n">
        <v>8.1</v>
      </c>
    </row>
    <row r="512" ht="47.25" customHeight="1">
      <c r="A512" s="18" t="inlineStr">
        <is>
          <t>197670757317</t>
        </is>
      </c>
      <c r="B512" s="19" t="inlineStr">
        <is>
          <t>https://www.amazon.com/dp/</t>
        </is>
      </c>
      <c r="C512" s="20" t="inlineStr">
        <is>
          <t>B0DJ636N6W</t>
        </is>
      </c>
      <c r="D512" s="44" t="n"/>
      <c r="E512" s="23" t="inlineStr">
        <is>
          <t>?th=1&amp;psc=1&amp;tag=sdcdeals03-20</t>
        </is>
      </c>
      <c r="F512" s="19">
        <f>HYPERLINK("https://redirect.sdcdeals.com/redirect?destination=https%3A%2F%2Fwww.amazon.com%2Fdp%2FB0DJ636N6W%3Fth%3D1%26psc%3D1%26tag%3Dsdcdeals03-20", "Amazon Link")</f>
        <v/>
      </c>
      <c r="G512" s="19" t="inlineStr">
        <is>
          <t>https://www.jcpenney.com/s?searchTerm={search_term}</t>
        </is>
      </c>
      <c r="H512" s="23" t="inlineStr">
        <is>
          <t>197670757317</t>
        </is>
      </c>
      <c r="I512" s="19">
        <f>HYPERLINK("https://www.jcpenney.com/s?searchTerm=197670757317", "Retail Link")</f>
        <v/>
      </c>
      <c r="J512" s="23" t="inlineStr">
        <is>
          <t>n/a</t>
        </is>
      </c>
      <c r="K512" s="21" t="inlineStr">
        <is>
          <t>Puma - Womens Carina 2.0 Sd Shoes, Color Black/Cast Iron, Size: 5.5 M US</t>
        </is>
      </c>
      <c r="L512" s="24" t="n">
        <v>66.5</v>
      </c>
      <c r="M512" s="24" t="n">
        <v>74.98999999999999</v>
      </c>
      <c r="N512" s="24" t="n"/>
      <c r="O512" s="24">
        <f>V512-M512</f>
        <v/>
      </c>
      <c r="P512" s="25">
        <f>N512/L512</f>
        <v/>
      </c>
      <c r="Q512" s="23" t="n"/>
      <c r="R512" s="23" t="n"/>
      <c r="S512" s="26" t="n"/>
      <c r="T512" s="24" t="n">
        <v>70</v>
      </c>
      <c r="U512" s="24" t="n">
        <v>74.98999999999999</v>
      </c>
      <c r="V512" s="24" t="n">
        <v>74.98999999999999</v>
      </c>
      <c r="W512" s="26" t="inlineStr">
        <is>
          <t>PUMA Carina 2.0 Sd Womens Sneakers</t>
        </is>
      </c>
      <c r="X512" s="23" t="n">
        <v>1</v>
      </c>
      <c r="Y512" s="18">
        <f>AC512-AB512</f>
        <v/>
      </c>
      <c r="Z512" s="27" t="n">
        <v>-1</v>
      </c>
      <c r="AA512" s="27" t="n">
        <v>-1</v>
      </c>
      <c r="AB512" s="27" t="n"/>
      <c r="AC512" s="27" t="n"/>
      <c r="AD512" s="1" t="inlineStr"/>
      <c r="AE512" s="1" t="inlineStr">
        <is>
          <t>Black/Cast Iron</t>
        </is>
      </c>
      <c r="AF512" s="4" t="inlineStr"/>
      <c r="AG512" s="4" t="inlineStr"/>
    </row>
    <row r="513" ht="47.25" customHeight="1">
      <c r="A513" s="18" t="inlineStr">
        <is>
          <t>197670757324</t>
        </is>
      </c>
      <c r="B513" s="19" t="inlineStr">
        <is>
          <t>https://www.amazon.com/dp/</t>
        </is>
      </c>
      <c r="C513" s="20" t="inlineStr">
        <is>
          <t>B0DJ64BVJR</t>
        </is>
      </c>
      <c r="D513" s="44" t="n"/>
      <c r="E513" s="23" t="inlineStr">
        <is>
          <t>?th=1&amp;psc=1&amp;tag=sdcdeals03-20</t>
        </is>
      </c>
      <c r="F513" s="19">
        <f>HYPERLINK("https://redirect.sdcdeals.com/redirect?destination=https%3A%2F%2Fwww.amazon.com%2Fdp%2FB0DJ64BVJR%3Fth%3D1%26psc%3D1%26tag%3Dsdcdeals03-20", "Amazon Link")</f>
        <v/>
      </c>
      <c r="G513" s="19" t="inlineStr">
        <is>
          <t>https://www.jcpenney.com/s?searchTerm={search_term}</t>
        </is>
      </c>
      <c r="H513" s="23" t="inlineStr">
        <is>
          <t>197670757324</t>
        </is>
      </c>
      <c r="I513" s="19">
        <f>HYPERLINK("https://www.jcpenney.com/s?searchTerm=197670757324", "Retail Link")</f>
        <v/>
      </c>
      <c r="J513" s="23" t="inlineStr">
        <is>
          <t>n/a</t>
        </is>
      </c>
      <c r="K513" s="21" t="inlineStr">
        <is>
          <t>Puma - Womens Carina 2.0 Sd Shoes, Color Black/Cast Iron, Size: 6 M US</t>
        </is>
      </c>
      <c r="L513" s="24" t="n">
        <v>66.5</v>
      </c>
      <c r="M513" s="24" t="n">
        <v>74.98999999999999</v>
      </c>
      <c r="N513" s="24" t="n"/>
      <c r="O513" s="24">
        <f>V513-M513</f>
        <v/>
      </c>
      <c r="P513" s="25">
        <f>N513/L513</f>
        <v/>
      </c>
      <c r="Q513" s="23" t="n"/>
      <c r="R513" s="23" t="n"/>
      <c r="S513" s="26" t="n"/>
      <c r="T513" s="24" t="inlineStr"/>
      <c r="U513" s="24" t="n">
        <v>74.98999999999999</v>
      </c>
      <c r="V513" s="24" t="n">
        <v>74.98999999999999</v>
      </c>
      <c r="W513" s="26" t="inlineStr">
        <is>
          <t>PUMA Carina 2.0 Sd Womens Sneakers</t>
        </is>
      </c>
      <c r="X513" s="23" t="n">
        <v>1</v>
      </c>
      <c r="Y513" s="18">
        <f>AC513-AB513</f>
        <v/>
      </c>
      <c r="Z513" s="27" t="n">
        <v>-1</v>
      </c>
      <c r="AA513" s="27" t="n">
        <v>-1</v>
      </c>
      <c r="AB513" s="27" t="n"/>
      <c r="AC513" s="27" t="n"/>
      <c r="AD513" s="1" t="inlineStr"/>
      <c r="AE513" s="1" t="inlineStr">
        <is>
          <t>Black/Cast Iron</t>
        </is>
      </c>
      <c r="AF513" s="4" t="inlineStr"/>
      <c r="AG513" s="4" t="inlineStr"/>
    </row>
    <row r="514" ht="47.25" customHeight="1">
      <c r="A514" s="18" t="inlineStr">
        <is>
          <t>197670757331</t>
        </is>
      </c>
      <c r="B514" s="19" t="inlineStr">
        <is>
          <t>https://www.amazon.com/dp/</t>
        </is>
      </c>
      <c r="C514" s="20" t="inlineStr">
        <is>
          <t>B0DJ64ZG3V</t>
        </is>
      </c>
      <c r="D514" s="44" t="n"/>
      <c r="E514" s="23" t="inlineStr">
        <is>
          <t>?th=1&amp;psc=1&amp;tag=sdcdeals03-20</t>
        </is>
      </c>
      <c r="F514" s="19">
        <f>HYPERLINK("https://redirect.sdcdeals.com/redirect?destination=https%3A%2F%2Fwww.amazon.com%2Fdp%2FB0DJ64ZG3V%3Fth%3D1%26psc%3D1%26tag%3Dsdcdeals03-20", "Amazon Link")</f>
        <v/>
      </c>
      <c r="G514" s="19" t="inlineStr">
        <is>
          <t>https://www.jcpenney.com/s?searchTerm={search_term}</t>
        </is>
      </c>
      <c r="H514" s="23" t="inlineStr">
        <is>
          <t>197670757331</t>
        </is>
      </c>
      <c r="I514" s="19">
        <f>HYPERLINK("https://www.jcpenney.com/s?searchTerm=197670757331", "Retail Link")</f>
        <v/>
      </c>
      <c r="J514" s="23" t="inlineStr">
        <is>
          <t>n/a</t>
        </is>
      </c>
      <c r="K514" s="21" t="inlineStr">
        <is>
          <t>Puma - Womens Carina 2.0 Sd Shoes, Color Black/Cast Iron, Size: 6.5 M US</t>
        </is>
      </c>
      <c r="L514" s="24" t="n">
        <v>66.5</v>
      </c>
      <c r="M514" s="24" t="n">
        <v>74.98999999999999</v>
      </c>
      <c r="N514" s="24" t="n"/>
      <c r="O514" s="24">
        <f>V514-M514</f>
        <v/>
      </c>
      <c r="P514" s="25">
        <f>N514/L514</f>
        <v/>
      </c>
      <c r="Q514" s="23" t="n"/>
      <c r="R514" s="23" t="n"/>
      <c r="S514" s="26" t="n"/>
      <c r="T514" s="24" t="n">
        <v>70</v>
      </c>
      <c r="U514" s="24" t="n">
        <v>74.98999999999999</v>
      </c>
      <c r="V514" s="24" t="n">
        <v>74.98999999999999</v>
      </c>
      <c r="W514" s="26" t="inlineStr">
        <is>
          <t>PUMA Carina 2.0 Sd Womens Sneakers</t>
        </is>
      </c>
      <c r="X514" s="23" t="n">
        <v>1</v>
      </c>
      <c r="Y514" s="18">
        <f>AC514-AB514</f>
        <v/>
      </c>
      <c r="Z514" s="27" t="n">
        <v>-1</v>
      </c>
      <c r="AA514" s="27" t="n">
        <v>-1</v>
      </c>
      <c r="AB514" s="27" t="n"/>
      <c r="AC514" s="27" t="n"/>
      <c r="AD514" s="1" t="inlineStr"/>
      <c r="AE514" s="1" t="inlineStr">
        <is>
          <t>Black/Cast Iron</t>
        </is>
      </c>
      <c r="AF514" s="4" t="inlineStr"/>
      <c r="AG514" s="4" t="inlineStr"/>
    </row>
    <row r="515" ht="47.25" customHeight="1">
      <c r="A515" s="18" t="inlineStr">
        <is>
          <t>197670757348</t>
        </is>
      </c>
      <c r="B515" s="19" t="inlineStr">
        <is>
          <t>https://www.amazon.com/dp/</t>
        </is>
      </c>
      <c r="C515" s="20" t="inlineStr">
        <is>
          <t>B0DJ656N2K</t>
        </is>
      </c>
      <c r="D515" s="44" t="n"/>
      <c r="E515" s="23" t="inlineStr">
        <is>
          <t>?th=1&amp;psc=1&amp;tag=sdcdeals03-20</t>
        </is>
      </c>
      <c r="F515" s="19">
        <f>HYPERLINK("https://redirect.sdcdeals.com/redirect?destination=https%3A%2F%2Fwww.amazon.com%2Fdp%2FB0DJ656N2K%3Fth%3D1%26psc%3D1%26tag%3Dsdcdeals03-20", "Amazon Link")</f>
        <v/>
      </c>
      <c r="G515" s="19" t="inlineStr">
        <is>
          <t>https://www.jcpenney.com/s?searchTerm={search_term}</t>
        </is>
      </c>
      <c r="H515" s="23" t="inlineStr">
        <is>
          <t>197670757348</t>
        </is>
      </c>
      <c r="I515" s="19">
        <f>HYPERLINK("https://www.jcpenney.com/s?searchTerm=197670757348", "Retail Link")</f>
        <v/>
      </c>
      <c r="J515" s="23" t="inlineStr">
        <is>
          <t>n/a</t>
        </is>
      </c>
      <c r="K515" s="21" t="inlineStr">
        <is>
          <t>Puma - Womens Carina 2.0 Sd Shoes, Color Black/Cast Iron, Size: 7 M US</t>
        </is>
      </c>
      <c r="L515" s="24" t="n">
        <v>66.5</v>
      </c>
      <c r="M515" s="24" t="n">
        <v>74.98999999999999</v>
      </c>
      <c r="N515" s="24" t="n"/>
      <c r="O515" s="24">
        <f>V515-M515</f>
        <v/>
      </c>
      <c r="P515" s="25">
        <f>N515/L515</f>
        <v/>
      </c>
      <c r="Q515" s="23" t="n"/>
      <c r="R515" s="23" t="n"/>
      <c r="S515" s="26" t="n"/>
      <c r="T515" s="24" t="n">
        <v>70</v>
      </c>
      <c r="U515" s="24" t="n">
        <v>74.98999999999999</v>
      </c>
      <c r="V515" s="24" t="n">
        <v>74.98999999999999</v>
      </c>
      <c r="W515" s="26" t="inlineStr">
        <is>
          <t>PUMA Carina 2.0 Sd Womens Sneakers</t>
        </is>
      </c>
      <c r="X515" s="23" t="n">
        <v>1</v>
      </c>
      <c r="Y515" s="18">
        <f>AC515-AB515</f>
        <v/>
      </c>
      <c r="Z515" s="27" t="n">
        <v>-1</v>
      </c>
      <c r="AA515" s="27" t="n">
        <v>-1</v>
      </c>
      <c r="AB515" s="27" t="n"/>
      <c r="AC515" s="27" t="n"/>
      <c r="AD515" s="1" t="inlineStr"/>
      <c r="AE515" s="1" t="inlineStr">
        <is>
          <t>Black/Cast Iron</t>
        </is>
      </c>
      <c r="AF515" s="4" t="inlineStr"/>
      <c r="AG515" s="4" t="inlineStr"/>
    </row>
    <row r="516" ht="47.25" customHeight="1">
      <c r="A516" s="18" t="inlineStr">
        <is>
          <t>197670757355</t>
        </is>
      </c>
      <c r="B516" s="19" t="inlineStr">
        <is>
          <t>https://www.amazon.com/dp/</t>
        </is>
      </c>
      <c r="C516" s="20" t="inlineStr">
        <is>
          <t>B0DJ64WGNL</t>
        </is>
      </c>
      <c r="D516" s="44" t="n"/>
      <c r="E516" s="23" t="inlineStr">
        <is>
          <t>?th=1&amp;psc=1&amp;tag=sdcdeals03-20</t>
        </is>
      </c>
      <c r="F516" s="19">
        <f>HYPERLINK("https://redirect.sdcdeals.com/redirect?destination=https%3A%2F%2Fwww.amazon.com%2Fdp%2FB0DJ64WGNL%3Fth%3D1%26psc%3D1%26tag%3Dsdcdeals03-20", "Amazon Link")</f>
        <v/>
      </c>
      <c r="G516" s="19" t="inlineStr">
        <is>
          <t>https://www.jcpenney.com/s?searchTerm={search_term}</t>
        </is>
      </c>
      <c r="H516" s="23" t="inlineStr">
        <is>
          <t>197670757355</t>
        </is>
      </c>
      <c r="I516" s="19">
        <f>HYPERLINK("https://www.jcpenney.com/s?searchTerm=197670757355", "Retail Link")</f>
        <v/>
      </c>
      <c r="J516" s="23" t="inlineStr">
        <is>
          <t>n/a</t>
        </is>
      </c>
      <c r="K516" s="21" t="inlineStr">
        <is>
          <t>Puma - Womens Carina 2.0 Sd Shoes, Color Black/Cast Iron, Size: 7.5 M US</t>
        </is>
      </c>
      <c r="L516" s="24" t="n">
        <v>66.5</v>
      </c>
      <c r="M516" s="24" t="n">
        <v>74.98999999999999</v>
      </c>
      <c r="N516" s="24" t="n"/>
      <c r="O516" s="24">
        <f>V516-M516</f>
        <v/>
      </c>
      <c r="P516" s="25">
        <f>N516/L516</f>
        <v/>
      </c>
      <c r="Q516" s="23" t="n"/>
      <c r="R516" s="23" t="n"/>
      <c r="S516" s="26" t="n"/>
      <c r="T516" s="24" t="n">
        <v>70</v>
      </c>
      <c r="U516" s="24" t="n">
        <v>74.98999999999999</v>
      </c>
      <c r="V516" s="24" t="n">
        <v>74.98999999999999</v>
      </c>
      <c r="W516" s="26" t="inlineStr">
        <is>
          <t>PUMA Carina 2.0 Sd Womens Sneakers</t>
        </is>
      </c>
      <c r="X516" s="23" t="n">
        <v>1</v>
      </c>
      <c r="Y516" s="18">
        <f>AC516-AB516</f>
        <v/>
      </c>
      <c r="Z516" s="27" t="n">
        <v>-1</v>
      </c>
      <c r="AA516" s="27" t="n">
        <v>-1</v>
      </c>
      <c r="AB516" s="27" t="n"/>
      <c r="AC516" s="27" t="n"/>
      <c r="AD516" s="1" t="inlineStr"/>
      <c r="AE516" s="1" t="inlineStr">
        <is>
          <t>Black/Cast Iron</t>
        </is>
      </c>
      <c r="AF516" s="4" t="inlineStr"/>
      <c r="AG516" s="4" t="inlineStr"/>
    </row>
    <row r="517" ht="47.25" customHeight="1">
      <c r="A517" s="18" t="inlineStr">
        <is>
          <t>197670757362</t>
        </is>
      </c>
      <c r="B517" s="19" t="inlineStr">
        <is>
          <t>https://www.amazon.com/dp/</t>
        </is>
      </c>
      <c r="C517" s="20" t="inlineStr">
        <is>
          <t>B0DJ64V2C8</t>
        </is>
      </c>
      <c r="D517" s="44" t="n"/>
      <c r="E517" s="23" t="inlineStr">
        <is>
          <t>?th=1&amp;psc=1&amp;tag=sdcdeals03-20</t>
        </is>
      </c>
      <c r="F517" s="19">
        <f>HYPERLINK("https://redirect.sdcdeals.com/redirect?destination=https%3A%2F%2Fwww.amazon.com%2Fdp%2FB0DJ64V2C8%3Fth%3D1%26psc%3D1%26tag%3Dsdcdeals03-20", "Amazon Link")</f>
        <v/>
      </c>
      <c r="G517" s="19" t="inlineStr">
        <is>
          <t>https://www.jcpenney.com/s?searchTerm={search_term}</t>
        </is>
      </c>
      <c r="H517" s="23" t="inlineStr">
        <is>
          <t>197670757362</t>
        </is>
      </c>
      <c r="I517" s="19">
        <f>HYPERLINK("https://www.jcpenney.com/s?searchTerm=197670757362", "Retail Link")</f>
        <v/>
      </c>
      <c r="J517" s="23" t="inlineStr">
        <is>
          <t>n/a</t>
        </is>
      </c>
      <c r="K517" s="21" t="inlineStr">
        <is>
          <t>Puma - Womens Carina 2.0 Sd Shoes, Color Black/Cast Iron, Size: 8 M US</t>
        </is>
      </c>
      <c r="L517" s="24" t="n">
        <v>66.5</v>
      </c>
      <c r="M517" s="24" t="n">
        <v>74.98999999999999</v>
      </c>
      <c r="N517" s="24" t="n"/>
      <c r="O517" s="24">
        <f>V517-M517</f>
        <v/>
      </c>
      <c r="P517" s="25">
        <f>N517/L517</f>
        <v/>
      </c>
      <c r="Q517" s="23" t="n"/>
      <c r="R517" s="23" t="n"/>
      <c r="S517" s="26" t="n"/>
      <c r="T517" s="24" t="inlineStr"/>
      <c r="U517" s="24" t="n">
        <v>74.98999999999999</v>
      </c>
      <c r="V517" s="24" t="n">
        <v>74.98999999999999</v>
      </c>
      <c r="W517" s="26" t="inlineStr">
        <is>
          <t>PUMA Carina 2.0 Sd Womens Sneakers</t>
        </is>
      </c>
      <c r="X517" s="23" t="n">
        <v>1</v>
      </c>
      <c r="Y517" s="18">
        <f>AC517-AB517</f>
        <v/>
      </c>
      <c r="Z517" s="27" t="n">
        <v>-1</v>
      </c>
      <c r="AA517" s="27" t="n">
        <v>-1</v>
      </c>
      <c r="AB517" s="27" t="n"/>
      <c r="AC517" s="27" t="n"/>
      <c r="AD517" s="1" t="inlineStr"/>
      <c r="AE517" s="1" t="inlineStr">
        <is>
          <t>Black/Cast Iron</t>
        </is>
      </c>
      <c r="AF517" s="4" t="inlineStr"/>
      <c r="AG517" s="4" t="inlineStr"/>
    </row>
    <row r="518" ht="47.25" customHeight="1">
      <c r="A518" s="18" t="inlineStr">
        <is>
          <t>197670757379</t>
        </is>
      </c>
      <c r="B518" s="19" t="inlineStr">
        <is>
          <t>https://www.amazon.com/dp/</t>
        </is>
      </c>
      <c r="C518" s="20" t="inlineStr">
        <is>
          <t>B0DJ658DJB</t>
        </is>
      </c>
      <c r="D518" s="44" t="n"/>
      <c r="E518" s="23" t="inlineStr">
        <is>
          <t>?th=1&amp;psc=1&amp;tag=sdcdeals03-20</t>
        </is>
      </c>
      <c r="F518" s="19">
        <f>HYPERLINK("https://redirect.sdcdeals.com/redirect?destination=https%3A%2F%2Fwww.amazon.com%2Fdp%2FB0DJ658DJB%3Fth%3D1%26psc%3D1%26tag%3Dsdcdeals03-20", "Amazon Link")</f>
        <v/>
      </c>
      <c r="G518" s="19" t="inlineStr">
        <is>
          <t>https://www.jcpenney.com/s?searchTerm={search_term}</t>
        </is>
      </c>
      <c r="H518" s="23" t="inlineStr">
        <is>
          <t>197670757379</t>
        </is>
      </c>
      <c r="I518" s="19">
        <f>HYPERLINK("https://www.jcpenney.com/s?searchTerm=197670757379", "Retail Link")</f>
        <v/>
      </c>
      <c r="J518" s="23" t="inlineStr">
        <is>
          <t>n/a</t>
        </is>
      </c>
      <c r="K518" s="21" t="inlineStr">
        <is>
          <t>Puma - Womens Carina 2.0 Sd Shoes, Color Black/Cast Iron, Size: 8.5 M US</t>
        </is>
      </c>
      <c r="L518" s="24" t="n">
        <v>66.5</v>
      </c>
      <c r="M518" s="24" t="n">
        <v>74.98999999999999</v>
      </c>
      <c r="N518" s="24" t="n"/>
      <c r="O518" s="24">
        <f>V518-M518</f>
        <v/>
      </c>
      <c r="P518" s="25">
        <f>N518/L518</f>
        <v/>
      </c>
      <c r="Q518" s="23" t="n"/>
      <c r="R518" s="23" t="n"/>
      <c r="S518" s="26" t="n"/>
      <c r="T518" s="24" t="inlineStr"/>
      <c r="U518" s="24" t="n">
        <v>74.98999999999999</v>
      </c>
      <c r="V518" s="24" t="n">
        <v>74.98999999999999</v>
      </c>
      <c r="W518" s="26" t="inlineStr">
        <is>
          <t>PUMA Carina 2.0 Sd Womens Sneakers</t>
        </is>
      </c>
      <c r="X518" s="23" t="n">
        <v>1</v>
      </c>
      <c r="Y518" s="18">
        <f>AC518-AB518</f>
        <v/>
      </c>
      <c r="Z518" s="27" t="n">
        <v>-1</v>
      </c>
      <c r="AA518" s="27" t="n">
        <v>-1</v>
      </c>
      <c r="AB518" s="27" t="n"/>
      <c r="AC518" s="27" t="n"/>
      <c r="AD518" s="1" t="inlineStr"/>
      <c r="AE518" s="1" t="inlineStr">
        <is>
          <t>Black/Cast Iron</t>
        </is>
      </c>
      <c r="AF518" s="4" t="inlineStr"/>
      <c r="AG518" s="4" t="inlineStr"/>
    </row>
    <row r="519" ht="47.25" customHeight="1">
      <c r="A519" s="18" t="inlineStr">
        <is>
          <t>197670757386</t>
        </is>
      </c>
      <c r="B519" s="19" t="inlineStr">
        <is>
          <t>https://www.amazon.com/dp/</t>
        </is>
      </c>
      <c r="C519" s="20" t="inlineStr">
        <is>
          <t>B0DJ64C2N5</t>
        </is>
      </c>
      <c r="D519" s="44" t="n"/>
      <c r="E519" s="23" t="inlineStr">
        <is>
          <t>?th=1&amp;psc=1&amp;tag=sdcdeals03-20</t>
        </is>
      </c>
      <c r="F519" s="19">
        <f>HYPERLINK("https://redirect.sdcdeals.com/redirect?destination=https%3A%2F%2Fwww.amazon.com%2Fdp%2FB0DJ64C2N5%3Fth%3D1%26psc%3D1%26tag%3Dsdcdeals03-20", "Amazon Link")</f>
        <v/>
      </c>
      <c r="G519" s="19" t="inlineStr">
        <is>
          <t>https://www.jcpenney.com/s?searchTerm={search_term}</t>
        </is>
      </c>
      <c r="H519" s="23" t="inlineStr">
        <is>
          <t>197670757386</t>
        </is>
      </c>
      <c r="I519" s="19">
        <f>HYPERLINK("https://www.jcpenney.com/s?searchTerm=197670757386", "Retail Link")</f>
        <v/>
      </c>
      <c r="J519" s="23" t="inlineStr">
        <is>
          <t>n/a</t>
        </is>
      </c>
      <c r="K519" s="21" t="inlineStr">
        <is>
          <t>Puma - Womens Carina 2.0 Sd Shoes, Color Black/Cast Iron, Size: 9 M US</t>
        </is>
      </c>
      <c r="L519" s="24" t="n">
        <v>66.5</v>
      </c>
      <c r="M519" s="24" t="inlineStr"/>
      <c r="N519" s="24" t="n"/>
      <c r="O519" s="24">
        <f>V519-M519</f>
        <v/>
      </c>
      <c r="P519" s="25">
        <f>N519/L519</f>
        <v/>
      </c>
      <c r="Q519" s="23" t="n"/>
      <c r="R519" s="23" t="n"/>
      <c r="S519" s="26" t="n"/>
      <c r="T519" s="24" t="inlineStr"/>
      <c r="U519" s="24" t="inlineStr"/>
      <c r="V519" s="24" t="inlineStr"/>
      <c r="W519" s="26" t="inlineStr">
        <is>
          <t>PUMA Carina 2.0 Sd Womens Sneakers</t>
        </is>
      </c>
      <c r="X519" s="23" t="n"/>
      <c r="Y519" s="18">
        <f>AC519-AB519</f>
        <v/>
      </c>
      <c r="Z519" s="27" t="n">
        <v>-1</v>
      </c>
      <c r="AA519" s="27" t="n">
        <v>-1</v>
      </c>
      <c r="AB519" s="27" t="n"/>
      <c r="AC519" s="27" t="n"/>
      <c r="AD519" s="1" t="inlineStr"/>
      <c r="AE519" s="1" t="inlineStr">
        <is>
          <t>Black/Cast Iron</t>
        </is>
      </c>
      <c r="AF519" s="4" t="inlineStr"/>
      <c r="AG519" s="4" t="inlineStr"/>
    </row>
    <row r="520" ht="47.25" customHeight="1">
      <c r="A520" s="18" t="inlineStr">
        <is>
          <t>197670757393</t>
        </is>
      </c>
      <c r="B520" s="19" t="inlineStr">
        <is>
          <t>https://www.amazon.com/dp/</t>
        </is>
      </c>
      <c r="C520" s="20" t="inlineStr">
        <is>
          <t>B0DJ64RR16</t>
        </is>
      </c>
      <c r="D520" s="44" t="n"/>
      <c r="E520" s="23" t="inlineStr">
        <is>
          <t>?th=1&amp;psc=1&amp;tag=sdcdeals03-20</t>
        </is>
      </c>
      <c r="F520" s="19">
        <f>HYPERLINK("https://redirect.sdcdeals.com/redirect?destination=https%3A%2F%2Fwww.amazon.com%2Fdp%2FB0DJ64RR16%3Fth%3D1%26psc%3D1%26tag%3Dsdcdeals03-20", "Amazon Link")</f>
        <v/>
      </c>
      <c r="G520" s="19" t="inlineStr">
        <is>
          <t>https://www.jcpenney.com/s?searchTerm={search_term}</t>
        </is>
      </c>
      <c r="H520" s="23" t="inlineStr">
        <is>
          <t>197670757393</t>
        </is>
      </c>
      <c r="I520" s="19">
        <f>HYPERLINK("https://www.jcpenney.com/s?searchTerm=197670757393", "Retail Link")</f>
        <v/>
      </c>
      <c r="J520" s="23" t="inlineStr">
        <is>
          <t>n/a</t>
        </is>
      </c>
      <c r="K520" s="21" t="inlineStr">
        <is>
          <t>Puma - Womens Carina 2.0 Sd Shoes, Color Black/Cast Iron, Size: 9.5 M US</t>
        </is>
      </c>
      <c r="L520" s="24" t="n">
        <v>66.5</v>
      </c>
      <c r="M520" s="24" t="inlineStr"/>
      <c r="N520" s="24" t="n"/>
      <c r="O520" s="24">
        <f>V520-M520</f>
        <v/>
      </c>
      <c r="P520" s="25">
        <f>N520/L520</f>
        <v/>
      </c>
      <c r="Q520" s="23" t="n"/>
      <c r="R520" s="23" t="n"/>
      <c r="S520" s="26" t="n"/>
      <c r="T520" s="24" t="inlineStr"/>
      <c r="U520" s="24" t="inlineStr"/>
      <c r="V520" s="24" t="inlineStr"/>
      <c r="W520" s="26" t="inlineStr">
        <is>
          <t>PUMA Carina 2.0 Sd Womens Sneakers</t>
        </is>
      </c>
      <c r="X520" s="23" t="n"/>
      <c r="Y520" s="18">
        <f>AC520-AB520</f>
        <v/>
      </c>
      <c r="Z520" s="27" t="n">
        <v>-1</v>
      </c>
      <c r="AA520" s="27" t="n">
        <v>-1</v>
      </c>
      <c r="AB520" s="27" t="n"/>
      <c r="AC520" s="27" t="n"/>
      <c r="AD520" s="1" t="inlineStr"/>
      <c r="AE520" s="1" t="inlineStr">
        <is>
          <t>Black/Cast Iron</t>
        </is>
      </c>
      <c r="AF520" s="4" t="inlineStr"/>
      <c r="AG520" s="4" t="inlineStr"/>
    </row>
    <row r="521" ht="47.25" customHeight="1">
      <c r="A521" s="18" t="inlineStr">
        <is>
          <t>197670757409</t>
        </is>
      </c>
      <c r="B521" s="19" t="inlineStr">
        <is>
          <t>https://www.amazon.com/dp/</t>
        </is>
      </c>
      <c r="C521" s="20" t="inlineStr">
        <is>
          <t>B0DJ64XBVV</t>
        </is>
      </c>
      <c r="D521" s="44" t="n"/>
      <c r="E521" s="23" t="inlineStr">
        <is>
          <t>?th=1&amp;psc=1&amp;tag=sdcdeals03-20</t>
        </is>
      </c>
      <c r="F521" s="19">
        <f>HYPERLINK("https://redirect.sdcdeals.com/redirect?destination=https%3A%2F%2Fwww.amazon.com%2Fdp%2FB0DJ64XBVV%3Fth%3D1%26psc%3D1%26tag%3Dsdcdeals03-20", "Amazon Link")</f>
        <v/>
      </c>
      <c r="G521" s="19" t="inlineStr">
        <is>
          <t>https://www.jcpenney.com/s?searchTerm={search_term}</t>
        </is>
      </c>
      <c r="H521" s="23" t="inlineStr">
        <is>
          <t>197670757409</t>
        </is>
      </c>
      <c r="I521" s="19">
        <f>HYPERLINK("https://www.jcpenney.com/s?searchTerm=197670757409", "Retail Link")</f>
        <v/>
      </c>
      <c r="J521" s="23" t="inlineStr">
        <is>
          <t>n/a</t>
        </is>
      </c>
      <c r="K521" s="21" t="inlineStr">
        <is>
          <t>Puma - Womens Carina 2.0 Sd Shoes, Color Black/Cast Iron, Size: 10 M US</t>
        </is>
      </c>
      <c r="L521" s="24" t="n">
        <v>66.5</v>
      </c>
      <c r="M521" s="24" t="inlineStr"/>
      <c r="N521" s="24" t="n"/>
      <c r="O521" s="24">
        <f>V521-M521</f>
        <v/>
      </c>
      <c r="P521" s="25">
        <f>N521/L521</f>
        <v/>
      </c>
      <c r="Q521" s="23" t="n"/>
      <c r="R521" s="23" t="n"/>
      <c r="S521" s="26" t="n"/>
      <c r="T521" s="24" t="inlineStr"/>
      <c r="U521" s="24" t="inlineStr"/>
      <c r="V521" s="24" t="inlineStr"/>
      <c r="W521" s="26" t="inlineStr">
        <is>
          <t>PUMA Carina 2.0 Sd Womens Sneakers</t>
        </is>
      </c>
      <c r="X521" s="23" t="n"/>
      <c r="Y521" s="18">
        <f>AC521-AB521</f>
        <v/>
      </c>
      <c r="Z521" s="27" t="n">
        <v>-1</v>
      </c>
      <c r="AA521" s="27" t="n">
        <v>-1</v>
      </c>
      <c r="AB521" s="27" t="n"/>
      <c r="AC521" s="27" t="n"/>
      <c r="AD521" s="1" t="inlineStr"/>
      <c r="AE521" s="1" t="inlineStr">
        <is>
          <t>Black/Cast Iron</t>
        </is>
      </c>
      <c r="AF521" s="4" t="inlineStr"/>
      <c r="AG521" s="4" t="inlineStr"/>
    </row>
    <row r="522" ht="47.25" customHeight="1">
      <c r="A522" s="18" t="inlineStr">
        <is>
          <t>197670757423</t>
        </is>
      </c>
      <c r="B522" s="19" t="inlineStr">
        <is>
          <t>https://www.amazon.com/dp/</t>
        </is>
      </c>
      <c r="C522" s="20" t="inlineStr">
        <is>
          <t>B0DJ63DF24</t>
        </is>
      </c>
      <c r="D522" s="44" t="n"/>
      <c r="E522" s="23" t="inlineStr">
        <is>
          <t>?th=1&amp;psc=1&amp;tag=sdcdeals03-20</t>
        </is>
      </c>
      <c r="F522" s="19">
        <f>HYPERLINK("https://redirect.sdcdeals.com/redirect?destination=https%3A%2F%2Fwww.amazon.com%2Fdp%2FB0DJ63DF24%3Fth%3D1%26psc%3D1%26tag%3Dsdcdeals03-20", "Amazon Link")</f>
        <v/>
      </c>
      <c r="G522" s="19" t="inlineStr">
        <is>
          <t>https://www.jcpenney.com/s?searchTerm={search_term}</t>
        </is>
      </c>
      <c r="H522" s="23" t="inlineStr">
        <is>
          <t>197670757423</t>
        </is>
      </c>
      <c r="I522" s="19">
        <f>HYPERLINK("https://www.jcpenney.com/s?searchTerm=197670757423", "Retail Link")</f>
        <v/>
      </c>
      <c r="J522" s="23" t="inlineStr">
        <is>
          <t>n/a</t>
        </is>
      </c>
      <c r="K522" s="21" t="inlineStr">
        <is>
          <t>Puma - Womens Carina 2.0 Sd Shoes, Color Black/Cast Iron, Size: 11 M US</t>
        </is>
      </c>
      <c r="L522" s="24" t="n">
        <v>66.5</v>
      </c>
      <c r="M522" s="24" t="inlineStr"/>
      <c r="N522" s="24" t="n"/>
      <c r="O522" s="24">
        <f>V522-M522</f>
        <v/>
      </c>
      <c r="P522" s="25">
        <f>N522/L522</f>
        <v/>
      </c>
      <c r="Q522" s="23" t="n"/>
      <c r="R522" s="23" t="n"/>
      <c r="S522" s="26" t="n"/>
      <c r="T522" s="24" t="inlineStr"/>
      <c r="U522" s="24" t="inlineStr"/>
      <c r="V522" s="24" t="inlineStr"/>
      <c r="W522" s="26" t="inlineStr">
        <is>
          <t>PUMA Carina 2.0 Sd Womens Sneakers</t>
        </is>
      </c>
      <c r="X522" s="23" t="n"/>
      <c r="Y522" s="18">
        <f>AC522-AB522</f>
        <v/>
      </c>
      <c r="Z522" s="27" t="n">
        <v>-1</v>
      </c>
      <c r="AA522" s="27" t="n">
        <v>-1</v>
      </c>
      <c r="AB522" s="27" t="n"/>
      <c r="AC522" s="27" t="n"/>
      <c r="AD522" s="1" t="inlineStr"/>
      <c r="AE522" s="1" t="inlineStr">
        <is>
          <t>Black/Cast Iron</t>
        </is>
      </c>
      <c r="AF522" s="4" t="inlineStr"/>
      <c r="AG522" s="4" t="inlineStr"/>
    </row>
    <row r="523" ht="47.25" customHeight="1">
      <c r="A523" s="18" t="inlineStr">
        <is>
          <t>197646316449</t>
        </is>
      </c>
      <c r="B523" s="19" t="inlineStr">
        <is>
          <t>https://www.amazon.com/dp/</t>
        </is>
      </c>
      <c r="C523" s="20" t="inlineStr">
        <is>
          <t>B0CLPZZBH2</t>
        </is>
      </c>
      <c r="D523" s="44" t="n"/>
      <c r="E523" s="23" t="inlineStr">
        <is>
          <t>?th=1&amp;psc=1&amp;tag=sdcdeals03-20</t>
        </is>
      </c>
      <c r="F523" s="19">
        <f>HYPERLINK("https://redirect.sdcdeals.com/redirect?destination=https%3A%2F%2Fwww.amazon.com%2Fdp%2FB0CLPZZBH2%3Fth%3D1%26psc%3D1%26tag%3Dsdcdeals03-20", "Amazon Link")</f>
        <v/>
      </c>
      <c r="G523" s="19" t="inlineStr">
        <is>
          <t>https://www.jcpenney.com/s?searchTerm={search_term}</t>
        </is>
      </c>
      <c r="H523" s="23" t="inlineStr">
        <is>
          <t>197646316449</t>
        </is>
      </c>
      <c r="I523" s="19">
        <f>HYPERLINK("https://www.jcpenney.com/s?searchTerm=197646316449", "Retail Link")</f>
        <v/>
      </c>
      <c r="J523" s="23" t="inlineStr">
        <is>
          <t>n/a</t>
        </is>
      </c>
      <c r="K523" s="21" t="inlineStr">
        <is>
          <t>PUMA Womens Voltaic Evo Cross Trainer, PUMA Womens White-Blue Skies, 5.5</t>
        </is>
      </c>
      <c r="L523" s="24" t="n">
        <v>76</v>
      </c>
      <c r="M523" s="24" t="n">
        <v>76.72</v>
      </c>
      <c r="N523" s="24" t="n">
        <v>-17.398</v>
      </c>
      <c r="O523" s="24">
        <f>V523-M523</f>
        <v/>
      </c>
      <c r="P523" s="25">
        <f>N523/L523</f>
        <v/>
      </c>
      <c r="Q523" s="23" t="n">
        <v>62151</v>
      </c>
      <c r="R523" s="23" t="n"/>
      <c r="S523" s="26" t="n">
        <v>1.59394026</v>
      </c>
      <c r="T523" s="24" t="inlineStr"/>
      <c r="U523" s="24" t="n">
        <v>76.72</v>
      </c>
      <c r="V523" s="24" t="n">
        <v>75.67</v>
      </c>
      <c r="W523" s="26" t="inlineStr">
        <is>
          <t>PUMA Voltaic Evo Womens Running Shoes</t>
        </is>
      </c>
      <c r="X523" s="23" t="n">
        <v>2</v>
      </c>
      <c r="Y523" s="18">
        <f>AC523-AB523</f>
        <v/>
      </c>
      <c r="Z523" s="27" t="n">
        <v>24</v>
      </c>
      <c r="AA523" s="27" t="n">
        <v>78</v>
      </c>
      <c r="AB523" s="27" t="n">
        <v>1</v>
      </c>
      <c r="AC523" s="27" t="n">
        <v>127</v>
      </c>
      <c r="AD523" s="1" t="inlineStr">
        <is>
          <t>30972006</t>
        </is>
      </c>
      <c r="AE523" s="1" t="inlineStr">
        <is>
          <t>Puma White-blue Skies</t>
        </is>
      </c>
      <c r="AF523" s="4" t="inlineStr"/>
      <c r="AG523" s="4" t="n">
        <v>6.61</v>
      </c>
    </row>
    <row r="524" ht="47.25" customHeight="1">
      <c r="A524" s="18" t="inlineStr">
        <is>
          <t>197646316456</t>
        </is>
      </c>
      <c r="B524" s="19" t="inlineStr">
        <is>
          <t>https://www.amazon.com/dp/</t>
        </is>
      </c>
      <c r="C524" s="20" t="inlineStr">
        <is>
          <t>B0CLPWZZHT</t>
        </is>
      </c>
      <c r="D524" s="44" t="n"/>
      <c r="E524" s="23" t="inlineStr">
        <is>
          <t>?th=1&amp;psc=1&amp;tag=sdcdeals03-20</t>
        </is>
      </c>
      <c r="F524" s="19">
        <f>HYPERLINK("https://redirect.sdcdeals.com/redirect?destination=https%3A%2F%2Fwww.amazon.com%2Fdp%2FB0CLPWZZHT%3Fth%3D1%26psc%3D1%26tag%3Dsdcdeals03-20", "Amazon Link")</f>
        <v/>
      </c>
      <c r="G524" s="19" t="inlineStr">
        <is>
          <t>https://www.jcpenney.com/s?searchTerm={search_term}</t>
        </is>
      </c>
      <c r="H524" s="23" t="inlineStr">
        <is>
          <t>197646316456</t>
        </is>
      </c>
      <c r="I524" s="19">
        <f>HYPERLINK("https://www.jcpenney.com/s?searchTerm=197646316456", "Retail Link")</f>
        <v/>
      </c>
      <c r="J524" s="23" t="inlineStr">
        <is>
          <t>n/a</t>
        </is>
      </c>
      <c r="K524" s="21" t="inlineStr">
        <is>
          <t>PUMA Women's Voltaic EVO Sneaker, White-Blue Skies, 6</t>
        </is>
      </c>
      <c r="L524" s="24" t="n">
        <v>76</v>
      </c>
      <c r="M524" s="24" t="n">
        <v>69.53</v>
      </c>
      <c r="N524" s="24" t="n">
        <v>-23.9295</v>
      </c>
      <c r="O524" s="24">
        <f>V524-M524</f>
        <v/>
      </c>
      <c r="P524" s="25">
        <f>N524/L524</f>
        <v/>
      </c>
      <c r="Q524" s="23" t="n">
        <v>62151</v>
      </c>
      <c r="R524" s="23" t="n"/>
      <c r="S524" s="26" t="n">
        <v>1.55866634</v>
      </c>
      <c r="T524" s="24" t="n">
        <v>69.53</v>
      </c>
      <c r="U524" s="24" t="n">
        <v>71.81999999999999</v>
      </c>
      <c r="V524" s="24" t="n">
        <v>70.54000000000001</v>
      </c>
      <c r="W524" s="26" t="inlineStr">
        <is>
          <t>PUMA Voltaic Evo Womens Running Shoes</t>
        </is>
      </c>
      <c r="X524" s="23" t="n">
        <v>6</v>
      </c>
      <c r="Y524" s="18">
        <f>AC524-AB524</f>
        <v/>
      </c>
      <c r="Z524" s="27" t="n">
        <v>23</v>
      </c>
      <c r="AA524" s="27" t="n">
        <v>76</v>
      </c>
      <c r="AB524" s="27" t="n">
        <v>1</v>
      </c>
      <c r="AC524" s="27" t="n">
        <v>125</v>
      </c>
      <c r="AD524" s="1" t="inlineStr">
        <is>
          <t>30972006</t>
        </is>
      </c>
      <c r="AE524" s="1" t="inlineStr">
        <is>
          <t>Puma White-blue Skies</t>
        </is>
      </c>
      <c r="AF524" s="4" t="n">
        <v>10.43</v>
      </c>
      <c r="AG524" s="4" t="n">
        <v>7.03</v>
      </c>
    </row>
    <row r="525" ht="47.25" customHeight="1">
      <c r="A525" s="18" t="inlineStr">
        <is>
          <t>197646316463</t>
        </is>
      </c>
      <c r="B525" s="19" t="inlineStr">
        <is>
          <t>https://www.amazon.com/dp/</t>
        </is>
      </c>
      <c r="C525" s="20" t="inlineStr">
        <is>
          <t>B0CLPZZBH6</t>
        </is>
      </c>
      <c r="D525" s="44" t="n"/>
      <c r="E525" s="23" t="inlineStr">
        <is>
          <t>?th=1&amp;psc=1&amp;tag=sdcdeals03-20</t>
        </is>
      </c>
      <c r="F525" s="19">
        <f>HYPERLINK("https://redirect.sdcdeals.com/redirect?destination=https%3A%2F%2Fwww.amazon.com%2Fdp%2FB0CLPZZBH6%3Fth%3D1%26psc%3D1%26tag%3Dsdcdeals03-20", "Amazon Link")</f>
        <v/>
      </c>
      <c r="G525" s="19" t="inlineStr">
        <is>
          <t>https://www.jcpenney.com/s?searchTerm={search_term}</t>
        </is>
      </c>
      <c r="H525" s="23" t="inlineStr">
        <is>
          <t>197646316463</t>
        </is>
      </c>
      <c r="I525" s="19">
        <f>HYPERLINK("https://www.jcpenney.com/s?searchTerm=197646316463", "Retail Link")</f>
        <v/>
      </c>
      <c r="J525" s="23" t="inlineStr">
        <is>
          <t>n/a</t>
        </is>
      </c>
      <c r="K525" s="21" t="inlineStr">
        <is>
          <t>PUMA Women's Voltaic EVO Sneaker, White-Blue Skies, 6.5</t>
        </is>
      </c>
      <c r="L525" s="24" t="n">
        <v>76</v>
      </c>
      <c r="M525" s="24" t="n">
        <v>69.53</v>
      </c>
      <c r="N525" s="24" t="n">
        <v>-23.5095</v>
      </c>
      <c r="O525" s="24">
        <f>V525-M525</f>
        <v/>
      </c>
      <c r="P525" s="25">
        <f>N525/L525</f>
        <v/>
      </c>
      <c r="Q525" s="23" t="n">
        <v>63092</v>
      </c>
      <c r="R525" s="23" t="n"/>
      <c r="S525" s="26" t="n">
        <v>1.6755112</v>
      </c>
      <c r="T525" s="24" t="n">
        <v>69.53</v>
      </c>
      <c r="U525" s="24" t="n">
        <v>75.09</v>
      </c>
      <c r="V525" s="24" t="n">
        <v>73.88</v>
      </c>
      <c r="W525" s="26" t="inlineStr">
        <is>
          <t>PUMA Voltaic Evo Womens Running Shoes</t>
        </is>
      </c>
      <c r="X525" s="23" t="n">
        <v>7</v>
      </c>
      <c r="Y525" s="18">
        <f>AC525-AB525</f>
        <v/>
      </c>
      <c r="Z525" s="27" t="n">
        <v>22</v>
      </c>
      <c r="AA525" s="27" t="n">
        <v>62</v>
      </c>
      <c r="AB525" s="27" t="n">
        <v>5</v>
      </c>
      <c r="AC525" s="27" t="n">
        <v>127</v>
      </c>
      <c r="AD525" s="1" t="inlineStr">
        <is>
          <t>30972006</t>
        </is>
      </c>
      <c r="AE525" s="1" t="inlineStr">
        <is>
          <t>Puma White-blue Skies</t>
        </is>
      </c>
      <c r="AF525" s="4" t="n">
        <v>10.43</v>
      </c>
      <c r="AG525" s="4" t="n">
        <v>6.61</v>
      </c>
    </row>
    <row r="526" ht="47.25" customHeight="1">
      <c r="A526" s="18" t="inlineStr">
        <is>
          <t>197646316470</t>
        </is>
      </c>
      <c r="B526" s="19" t="inlineStr">
        <is>
          <t>https://www.amazon.com/dp/</t>
        </is>
      </c>
      <c r="C526" s="20" t="inlineStr">
        <is>
          <t>B0CLQ4V1W5</t>
        </is>
      </c>
      <c r="D526" s="44" t="n"/>
      <c r="E526" s="23" t="inlineStr">
        <is>
          <t>?th=1&amp;psc=1&amp;tag=sdcdeals03-20</t>
        </is>
      </c>
      <c r="F526" s="19">
        <f>HYPERLINK("https://redirect.sdcdeals.com/redirect?destination=https%3A%2F%2Fwww.amazon.com%2Fdp%2FB0CLQ4V1W5%3Fth%3D1%26psc%3D1%26tag%3Dsdcdeals03-20", "Amazon Link")</f>
        <v/>
      </c>
      <c r="G526" s="19" t="inlineStr">
        <is>
          <t>https://www.jcpenney.com/s?searchTerm={search_term}</t>
        </is>
      </c>
      <c r="H526" s="23" t="inlineStr">
        <is>
          <t>197646316470</t>
        </is>
      </c>
      <c r="I526" s="19">
        <f>HYPERLINK("https://www.jcpenney.com/s?searchTerm=197646316470", "Retail Link")</f>
        <v/>
      </c>
      <c r="J526" s="23" t="inlineStr">
        <is>
          <t>n/a</t>
        </is>
      </c>
      <c r="K526" s="21" t="inlineStr">
        <is>
          <t>PUMA Women's Voltaic EVO Sneaker, White-Blue Skies, 7</t>
        </is>
      </c>
      <c r="L526" s="24" t="n">
        <v>76</v>
      </c>
      <c r="M526" s="24" t="n">
        <v>69.53</v>
      </c>
      <c r="N526" s="24" t="n">
        <v>-23.5095</v>
      </c>
      <c r="O526" s="24">
        <f>V526-M526</f>
        <v/>
      </c>
      <c r="P526" s="25">
        <f>N526/L526</f>
        <v/>
      </c>
      <c r="Q526" s="23" t="n">
        <v>62281</v>
      </c>
      <c r="R526" s="23" t="n"/>
      <c r="S526" s="26" t="n">
        <v>1.7085805</v>
      </c>
      <c r="T526" s="24" t="n">
        <v>69.53</v>
      </c>
      <c r="U526" s="24" t="n">
        <v>73.89</v>
      </c>
      <c r="V526" s="24" t="n">
        <v>74.05</v>
      </c>
      <c r="W526" s="26" t="inlineStr">
        <is>
          <t>PUMA Voltaic Evo Womens Running Shoes</t>
        </is>
      </c>
      <c r="X526" s="23" t="n">
        <v>7</v>
      </c>
      <c r="Y526" s="18">
        <f>AC526-AB526</f>
        <v/>
      </c>
      <c r="Z526" s="27" t="n">
        <v>33</v>
      </c>
      <c r="AA526" s="27" t="n">
        <v>86</v>
      </c>
      <c r="AB526" s="27" t="n">
        <v>6</v>
      </c>
      <c r="AC526" s="27" t="n">
        <v>130</v>
      </c>
      <c r="AD526" s="1" t="inlineStr">
        <is>
          <t>30972006</t>
        </is>
      </c>
      <c r="AE526" s="1" t="inlineStr">
        <is>
          <t>Puma White-blue Skies</t>
        </is>
      </c>
      <c r="AF526" s="4" t="n">
        <v>10.43</v>
      </c>
      <c r="AG526" s="4" t="n">
        <v>6.61</v>
      </c>
    </row>
    <row r="527" ht="47.25" customHeight="1">
      <c r="A527" s="18" t="inlineStr">
        <is>
          <t>197646316487</t>
        </is>
      </c>
      <c r="B527" s="19" t="inlineStr">
        <is>
          <t>https://www.amazon.com/dp/</t>
        </is>
      </c>
      <c r="C527" s="20" t="inlineStr">
        <is>
          <t>B0CLQ4NSLZ</t>
        </is>
      </c>
      <c r="D527" s="44" t="n"/>
      <c r="E527" s="23" t="inlineStr">
        <is>
          <t>?th=1&amp;psc=1&amp;tag=sdcdeals03-20</t>
        </is>
      </c>
      <c r="F527" s="19">
        <f>HYPERLINK("https://redirect.sdcdeals.com/redirect?destination=https%3A%2F%2Fwww.amazon.com%2Fdp%2FB0CLQ4NSLZ%3Fth%3D1%26psc%3D1%26tag%3Dsdcdeals03-20", "Amazon Link")</f>
        <v/>
      </c>
      <c r="G527" s="19" t="inlineStr">
        <is>
          <t>https://www.jcpenney.com/s?searchTerm={search_term}</t>
        </is>
      </c>
      <c r="H527" s="23" t="inlineStr">
        <is>
          <t>197646316487</t>
        </is>
      </c>
      <c r="I527" s="19">
        <f>HYPERLINK("https://www.jcpenney.com/s?searchTerm=197646316487", "Retail Link")</f>
        <v/>
      </c>
      <c r="J527" s="23" t="inlineStr">
        <is>
          <t>n/a</t>
        </is>
      </c>
      <c r="K527" s="21" t="inlineStr">
        <is>
          <t>PUMA Women's Voltaic EVO Sneaker, White-Blue Skies, 7.5</t>
        </is>
      </c>
      <c r="L527" s="24" t="n">
        <v>76</v>
      </c>
      <c r="M527" s="24" t="n">
        <v>69.53</v>
      </c>
      <c r="N527" s="24" t="n">
        <v>-23.9295</v>
      </c>
      <c r="O527" s="24">
        <f>V527-M527</f>
        <v/>
      </c>
      <c r="P527" s="25">
        <f>N527/L527</f>
        <v/>
      </c>
      <c r="Q527" s="23" t="n">
        <v>62151</v>
      </c>
      <c r="R527" s="23" t="n"/>
      <c r="S527" s="26" t="n">
        <v>1.6865343</v>
      </c>
      <c r="T527" s="24" t="n">
        <v>69.53</v>
      </c>
      <c r="U527" s="24" t="n">
        <v>71.03</v>
      </c>
      <c r="V527" s="24" t="n">
        <v>73.56999999999999</v>
      </c>
      <c r="W527" s="26" t="inlineStr">
        <is>
          <t>PUMA Voltaic Evo Womens Running Shoes</t>
        </is>
      </c>
      <c r="X527" s="23" t="n">
        <v>6</v>
      </c>
      <c r="Y527" s="18">
        <f>AC527-AB527</f>
        <v/>
      </c>
      <c r="Z527" s="27" t="n">
        <v>61</v>
      </c>
      <c r="AA527" s="27" t="n">
        <v>153</v>
      </c>
      <c r="AB527" s="27" t="n">
        <v>4</v>
      </c>
      <c r="AC527" s="27" t="n">
        <v>132</v>
      </c>
      <c r="AD527" s="1" t="inlineStr">
        <is>
          <t>30972006</t>
        </is>
      </c>
      <c r="AE527" s="1" t="inlineStr">
        <is>
          <t>Puma White-blue Skies</t>
        </is>
      </c>
      <c r="AF527" s="4" t="n">
        <v>10.43</v>
      </c>
      <c r="AG527" s="4" t="n">
        <v>7.03</v>
      </c>
    </row>
    <row r="528" ht="47.25" customHeight="1">
      <c r="A528" s="18" t="inlineStr">
        <is>
          <t>197646316494</t>
        </is>
      </c>
      <c r="B528" s="19" t="inlineStr">
        <is>
          <t>https://www.amazon.com/dp/</t>
        </is>
      </c>
      <c r="C528" s="20" t="inlineStr">
        <is>
          <t>B0CLQ63L4Q</t>
        </is>
      </c>
      <c r="D528" s="44" t="n"/>
      <c r="E528" s="23" t="inlineStr">
        <is>
          <t>?th=1&amp;psc=1&amp;tag=sdcdeals03-20</t>
        </is>
      </c>
      <c r="F528" s="19">
        <f>HYPERLINK("https://redirect.sdcdeals.com/redirect?destination=https%3A%2F%2Fwww.amazon.com%2Fdp%2FB0CLQ63L4Q%3Fth%3D1%26psc%3D1%26tag%3Dsdcdeals03-20", "Amazon Link")</f>
        <v/>
      </c>
      <c r="G528" s="19" t="inlineStr">
        <is>
          <t>https://www.jcpenney.com/s?searchTerm={search_term}</t>
        </is>
      </c>
      <c r="H528" s="23" t="inlineStr">
        <is>
          <t>197646316494</t>
        </is>
      </c>
      <c r="I528" s="19">
        <f>HYPERLINK("https://www.jcpenney.com/s?searchTerm=197646316494", "Retail Link")</f>
        <v/>
      </c>
      <c r="J528" s="23" t="inlineStr">
        <is>
          <t>n/a</t>
        </is>
      </c>
      <c r="K528" s="21" t="inlineStr">
        <is>
          <t>PUMA Women's Voltaic EVO Sneaker, White-Blue Skies, 8</t>
        </is>
      </c>
      <c r="L528" s="24" t="n">
        <v>76</v>
      </c>
      <c r="M528" s="24" t="n">
        <v>69.53</v>
      </c>
      <c r="N528" s="24" t="n">
        <v>-24.4395</v>
      </c>
      <c r="O528" s="24">
        <f>V528-M528</f>
        <v/>
      </c>
      <c r="P528" s="25">
        <f>N528/L528</f>
        <v/>
      </c>
      <c r="Q528" s="23" t="n">
        <v>63092</v>
      </c>
      <c r="R528" s="23" t="n"/>
      <c r="S528" s="26" t="n">
        <v>1.7967653</v>
      </c>
      <c r="T528" s="24" t="n">
        <v>69.53</v>
      </c>
      <c r="U528" s="24" t="n">
        <v>75.17</v>
      </c>
      <c r="V528" s="24" t="n">
        <v>75.11</v>
      </c>
      <c r="W528" s="26" t="inlineStr">
        <is>
          <t>PUMA Voltaic Evo Womens Running Shoes</t>
        </is>
      </c>
      <c r="X528" s="23" t="n">
        <v>6</v>
      </c>
      <c r="Y528" s="18">
        <f>AC528-AB528</f>
        <v/>
      </c>
      <c r="Z528" s="27" t="n">
        <v>37</v>
      </c>
      <c r="AA528" s="27" t="n">
        <v>94</v>
      </c>
      <c r="AB528" s="27" t="n">
        <v>6</v>
      </c>
      <c r="AC528" s="27" t="n">
        <v>132</v>
      </c>
      <c r="AD528" s="1" t="inlineStr">
        <is>
          <t>30972006</t>
        </is>
      </c>
      <c r="AE528" s="1" t="inlineStr">
        <is>
          <t>Puma White-blue Skies</t>
        </is>
      </c>
      <c r="AF528" s="4" t="n">
        <v>10.43</v>
      </c>
      <c r="AG528" s="4" t="n">
        <v>7.54</v>
      </c>
    </row>
    <row r="529" ht="47.25" customHeight="1">
      <c r="A529" s="18" t="inlineStr">
        <is>
          <t>197646316500</t>
        </is>
      </c>
      <c r="B529" s="19" t="inlineStr">
        <is>
          <t>https://www.amazon.com/dp/</t>
        </is>
      </c>
      <c r="C529" s="20" t="inlineStr">
        <is>
          <t>B0CLQ6J85D</t>
        </is>
      </c>
      <c r="D529" s="44" t="n"/>
      <c r="E529" s="23" t="inlineStr">
        <is>
          <t>?th=1&amp;psc=1&amp;tag=sdcdeals03-20</t>
        </is>
      </c>
      <c r="F529" s="19">
        <f>HYPERLINK("https://redirect.sdcdeals.com/redirect?destination=https%3A%2F%2Fwww.amazon.com%2Fdp%2FB0CLQ6J85D%3Fth%3D1%26psc%3D1%26tag%3Dsdcdeals03-20", "Amazon Link")</f>
        <v/>
      </c>
      <c r="G529" s="19" t="inlineStr">
        <is>
          <t>https://www.jcpenney.com/s?searchTerm={search_term}</t>
        </is>
      </c>
      <c r="H529" s="23" t="inlineStr">
        <is>
          <t>197646316500</t>
        </is>
      </c>
      <c r="I529" s="19">
        <f>HYPERLINK("https://www.jcpenney.com/s?searchTerm=197646316500", "Retail Link")</f>
        <v/>
      </c>
      <c r="J529" s="23" t="inlineStr">
        <is>
          <t>n/a</t>
        </is>
      </c>
      <c r="K529" s="21" t="inlineStr">
        <is>
          <t>PUMA Women's Voltaic EVO Sneaker, White-Blue Skies, 8.5</t>
        </is>
      </c>
      <c r="L529" s="24" t="n">
        <v>76</v>
      </c>
      <c r="M529" s="24" t="n">
        <v>69.98999999999999</v>
      </c>
      <c r="N529" s="24" t="n">
        <v>-23.53850000000001</v>
      </c>
      <c r="O529" s="24">
        <f>V529-M529</f>
        <v/>
      </c>
      <c r="P529" s="25">
        <f>N529/L529</f>
        <v/>
      </c>
      <c r="Q529" s="23" t="n">
        <v>62281</v>
      </c>
      <c r="R529" s="23" t="n"/>
      <c r="S529" s="26" t="n">
        <v>1.8298346</v>
      </c>
      <c r="T529" s="24" t="n">
        <v>69.98999999999999</v>
      </c>
      <c r="U529" s="24" t="n">
        <v>72.22</v>
      </c>
      <c r="V529" s="24" t="n">
        <v>71.68000000000001</v>
      </c>
      <c r="W529" s="26" t="inlineStr">
        <is>
          <t>PUMA Voltaic Evo Womens Running Shoes</t>
        </is>
      </c>
      <c r="X529" s="23" t="n">
        <v>7</v>
      </c>
      <c r="Y529" s="18">
        <f>AC529-AB529</f>
        <v/>
      </c>
      <c r="Z529" s="27" t="n">
        <v>23</v>
      </c>
      <c r="AA529" s="27" t="n">
        <v>82</v>
      </c>
      <c r="AB529" s="27" t="n">
        <v>5</v>
      </c>
      <c r="AC529" s="27" t="n">
        <v>130</v>
      </c>
      <c r="AD529" s="1" t="inlineStr">
        <is>
          <t>30972006</t>
        </is>
      </c>
      <c r="AE529" s="1" t="inlineStr">
        <is>
          <t>Puma White-blue Skies</t>
        </is>
      </c>
      <c r="AF529" s="4" t="n">
        <v>10.5</v>
      </c>
      <c r="AG529" s="4" t="n">
        <v>7.03</v>
      </c>
    </row>
    <row r="530" ht="47.25" customHeight="1">
      <c r="A530" s="18" t="inlineStr">
        <is>
          <t>197646316517</t>
        </is>
      </c>
      <c r="B530" s="19" t="inlineStr">
        <is>
          <t>https://www.amazon.com/dp/</t>
        </is>
      </c>
      <c r="C530" s="20" t="inlineStr">
        <is>
          <t>B0CLPX1CC9</t>
        </is>
      </c>
      <c r="D530" s="44" t="n"/>
      <c r="E530" s="23" t="inlineStr">
        <is>
          <t>?th=1&amp;psc=1&amp;tag=sdcdeals03-20</t>
        </is>
      </c>
      <c r="F530" s="19">
        <f>HYPERLINK("https://redirect.sdcdeals.com/redirect?destination=https%3A%2F%2Fwww.amazon.com%2Fdp%2FB0CLPX1CC9%3Fth%3D1%26psc%3D1%26tag%3Dsdcdeals03-20", "Amazon Link")</f>
        <v/>
      </c>
      <c r="G530" s="19" t="inlineStr">
        <is>
          <t>https://www.jcpenney.com/s?searchTerm={search_term}</t>
        </is>
      </c>
      <c r="H530" s="23" t="inlineStr">
        <is>
          <t>197646316517</t>
        </is>
      </c>
      <c r="I530" s="19">
        <f>HYPERLINK("https://www.jcpenney.com/s?searchTerm=197646316517", "Retail Link")</f>
        <v/>
      </c>
      <c r="J530" s="23" t="inlineStr">
        <is>
          <t>n/a</t>
        </is>
      </c>
      <c r="K530" s="21" t="inlineStr">
        <is>
          <t>PUMA Women's Voltaic EVO Sneaker, White-Blue Skies, 9</t>
        </is>
      </c>
      <c r="L530" s="24" t="n">
        <v>76</v>
      </c>
      <c r="M530" s="24" t="n">
        <v>69.53</v>
      </c>
      <c r="N530" s="24" t="n">
        <v>-24.5195</v>
      </c>
      <c r="O530" s="24">
        <f>V530-M530</f>
        <v/>
      </c>
      <c r="P530" s="25">
        <f>N530/L530</f>
        <v/>
      </c>
      <c r="Q530" s="23" t="n">
        <v>62281</v>
      </c>
      <c r="R530" s="23" t="n"/>
      <c r="S530" s="26" t="n">
        <v>1.8408577</v>
      </c>
      <c r="T530" s="24" t="n">
        <v>69.53</v>
      </c>
      <c r="U530" s="24" t="n">
        <v>72.04000000000001</v>
      </c>
      <c r="V530" s="24" t="n">
        <v>71.08</v>
      </c>
      <c r="W530" s="26" t="inlineStr">
        <is>
          <t>PUMA Voltaic Evo Womens Running Shoes</t>
        </is>
      </c>
      <c r="X530" s="23" t="n">
        <v>6</v>
      </c>
      <c r="Y530" s="18">
        <f>AC530-AB530</f>
        <v/>
      </c>
      <c r="Z530" s="27" t="n">
        <v>29</v>
      </c>
      <c r="AA530" s="27" t="n">
        <v>86</v>
      </c>
      <c r="AB530" s="27" t="n">
        <v>7</v>
      </c>
      <c r="AC530" s="27" t="n">
        <v>132</v>
      </c>
      <c r="AD530" s="1" t="inlineStr">
        <is>
          <t>30972006</t>
        </is>
      </c>
      <c r="AE530" s="1" t="inlineStr">
        <is>
          <t>Puma White-blue Skies</t>
        </is>
      </c>
      <c r="AF530" s="4" t="n">
        <v>10.43</v>
      </c>
      <c r="AG530" s="4" t="n">
        <v>7.62</v>
      </c>
    </row>
    <row r="531" ht="47.25" customHeight="1">
      <c r="A531" s="18" t="inlineStr">
        <is>
          <t>197646316524</t>
        </is>
      </c>
      <c r="B531" s="19" t="inlineStr">
        <is>
          <t>https://www.amazon.com/dp/</t>
        </is>
      </c>
      <c r="C531" s="20" t="inlineStr">
        <is>
          <t>B0CLQ1M4TJ</t>
        </is>
      </c>
      <c r="D531" s="44" t="n"/>
      <c r="E531" s="23" t="inlineStr">
        <is>
          <t>?th=1&amp;psc=1&amp;tag=sdcdeals03-20</t>
        </is>
      </c>
      <c r="F531" s="19">
        <f>HYPERLINK("https://redirect.sdcdeals.com/redirect?destination=https%3A%2F%2Fwww.amazon.com%2Fdp%2FB0CLQ1M4TJ%3Fth%3D1%26psc%3D1%26tag%3Dsdcdeals03-20", "Amazon Link")</f>
        <v/>
      </c>
      <c r="G531" s="19" t="inlineStr">
        <is>
          <t>https://www.jcpenney.com/s?searchTerm={search_term}</t>
        </is>
      </c>
      <c r="H531" s="23" t="inlineStr">
        <is>
          <t>197646316524</t>
        </is>
      </c>
      <c r="I531" s="19">
        <f>HYPERLINK("https://www.jcpenney.com/s?searchTerm=197646316524", "Retail Link")</f>
        <v/>
      </c>
      <c r="J531" s="23" t="inlineStr">
        <is>
          <t>n/a</t>
        </is>
      </c>
      <c r="K531" s="21" t="inlineStr">
        <is>
          <t>PUMA Women's Voltaic EVO Sneaker, White-Blue Skies, 9.5</t>
        </is>
      </c>
      <c r="L531" s="24" t="n">
        <v>76</v>
      </c>
      <c r="M531" s="24" t="n">
        <v>69.53</v>
      </c>
      <c r="N531" s="24" t="n">
        <v>-24.5195</v>
      </c>
      <c r="O531" s="24">
        <f>V531-M531</f>
        <v/>
      </c>
      <c r="P531" s="25">
        <f>N531/L531</f>
        <v/>
      </c>
      <c r="Q531" s="23" t="n">
        <v>62151</v>
      </c>
      <c r="R531" s="23" t="n"/>
      <c r="S531" s="26" t="n">
        <v>1.89817782</v>
      </c>
      <c r="T531" s="24" t="n">
        <v>69.53</v>
      </c>
      <c r="U531" s="24" t="n">
        <v>70.34</v>
      </c>
      <c r="V531" s="24" t="n">
        <v>71.8</v>
      </c>
      <c r="W531" s="26" t="inlineStr">
        <is>
          <t>PUMA Voltaic Evo Womens Running Shoes</t>
        </is>
      </c>
      <c r="X531" s="23" t="n">
        <v>6</v>
      </c>
      <c r="Y531" s="18">
        <f>AC531-AB531</f>
        <v/>
      </c>
      <c r="Z531" s="27" t="n">
        <v>23</v>
      </c>
      <c r="AA531" s="27" t="n">
        <v>85</v>
      </c>
      <c r="AB531" s="27" t="n">
        <v>2</v>
      </c>
      <c r="AC531" s="27" t="n">
        <v>127</v>
      </c>
      <c r="AD531" s="1" t="inlineStr">
        <is>
          <t>30972006</t>
        </is>
      </c>
      <c r="AE531" s="1" t="inlineStr">
        <is>
          <t>Puma White-blue Skies</t>
        </is>
      </c>
      <c r="AF531" s="4" t="n">
        <v>10.43</v>
      </c>
      <c r="AG531" s="4" t="n">
        <v>7.62</v>
      </c>
    </row>
    <row r="532" ht="47.25" customHeight="1">
      <c r="A532" s="18" t="inlineStr">
        <is>
          <t>197646316531</t>
        </is>
      </c>
      <c r="B532" s="19" t="inlineStr">
        <is>
          <t>https://www.amazon.com/dp/</t>
        </is>
      </c>
      <c r="C532" s="20" t="inlineStr">
        <is>
          <t>B0CLQ2SXBD</t>
        </is>
      </c>
      <c r="D532" s="44" t="n"/>
      <c r="E532" s="23" t="inlineStr">
        <is>
          <t>?th=1&amp;psc=1&amp;tag=sdcdeals03-20</t>
        </is>
      </c>
      <c r="F532" s="19">
        <f>HYPERLINK("https://redirect.sdcdeals.com/redirect?destination=https%3A%2F%2Fwww.amazon.com%2Fdp%2FB0CLQ2SXBD%3Fth%3D1%26psc%3D1%26tag%3Dsdcdeals03-20", "Amazon Link")</f>
        <v/>
      </c>
      <c r="G532" s="19" t="inlineStr">
        <is>
          <t>https://www.jcpenney.com/s?searchTerm={search_term}</t>
        </is>
      </c>
      <c r="H532" s="23" t="inlineStr">
        <is>
          <t>197646316531</t>
        </is>
      </c>
      <c r="I532" s="19">
        <f>HYPERLINK("https://www.jcpenney.com/s?searchTerm=197646316531", "Retail Link")</f>
        <v/>
      </c>
      <c r="J532" s="23" t="inlineStr">
        <is>
          <t>n/a</t>
        </is>
      </c>
      <c r="K532" s="21" t="inlineStr">
        <is>
          <t>PUMA Women's Voltaic EVO Sneaker, White-Blue Skies, 10</t>
        </is>
      </c>
      <c r="L532" s="24" t="n">
        <v>76</v>
      </c>
      <c r="M532" s="24" t="n">
        <v>69.53</v>
      </c>
      <c r="N532" s="24" t="n">
        <v>-24.5195</v>
      </c>
      <c r="O532" s="24">
        <f>V532-M532</f>
        <v/>
      </c>
      <c r="P532" s="25">
        <f>N532/L532</f>
        <v/>
      </c>
      <c r="Q532" s="23" t="n">
        <v>62281</v>
      </c>
      <c r="R532" s="23" t="n"/>
      <c r="S532" s="26" t="n">
        <v>1.9621118</v>
      </c>
      <c r="T532" s="24" t="n">
        <v>69.53</v>
      </c>
      <c r="U532" s="24" t="n">
        <v>69.84999999999999</v>
      </c>
      <c r="V532" s="24" t="n">
        <v>72.55</v>
      </c>
      <c r="W532" s="26" t="inlineStr">
        <is>
          <t>PUMA Voltaic Evo Womens Running Shoes</t>
        </is>
      </c>
      <c r="X532" s="23" t="n">
        <v>8</v>
      </c>
      <c r="Y532" s="18">
        <f>AC532-AB532</f>
        <v/>
      </c>
      <c r="Z532" s="27" t="n">
        <v>25</v>
      </c>
      <c r="AA532" s="27" t="n">
        <v>70</v>
      </c>
      <c r="AB532" s="27" t="n">
        <v>3</v>
      </c>
      <c r="AC532" s="27" t="n">
        <v>127</v>
      </c>
      <c r="AD532" s="1" t="inlineStr">
        <is>
          <t>30972006</t>
        </is>
      </c>
      <c r="AE532" s="1" t="inlineStr">
        <is>
          <t>Puma White-blue Skies</t>
        </is>
      </c>
      <c r="AF532" s="4" t="n">
        <v>10.43</v>
      </c>
      <c r="AG532" s="4" t="n">
        <v>7.62</v>
      </c>
    </row>
    <row r="533" ht="47.25" customHeight="1">
      <c r="A533" s="18" t="inlineStr">
        <is>
          <t>197646316548</t>
        </is>
      </c>
      <c r="B533" s="19" t="inlineStr">
        <is>
          <t>https://www.amazon.com/dp/</t>
        </is>
      </c>
      <c r="C533" s="20" t="inlineStr">
        <is>
          <t>B0CLQFV4Q3</t>
        </is>
      </c>
      <c r="D533" s="44" t="n"/>
      <c r="E533" s="23" t="inlineStr">
        <is>
          <t>?th=1&amp;psc=1&amp;tag=sdcdeals03-20</t>
        </is>
      </c>
      <c r="F533" s="19">
        <f>HYPERLINK("https://redirect.sdcdeals.com/redirect?destination=https%3A%2F%2Fwww.amazon.com%2Fdp%2FB0CLQFV4Q3%3Fth%3D1%26psc%3D1%26tag%3Dsdcdeals03-20", "Amazon Link")</f>
        <v/>
      </c>
      <c r="G533" s="19" t="inlineStr">
        <is>
          <t>https://www.jcpenney.com/s?searchTerm={search_term}</t>
        </is>
      </c>
      <c r="H533" s="23" t="inlineStr">
        <is>
          <t>197646316548</t>
        </is>
      </c>
      <c r="I533" s="19">
        <f>HYPERLINK("https://www.jcpenney.com/s?searchTerm=197646316548", "Retail Link")</f>
        <v/>
      </c>
      <c r="J533" s="23" t="inlineStr">
        <is>
          <t>n/a</t>
        </is>
      </c>
      <c r="K533" s="21" t="inlineStr">
        <is>
          <t>PUMA Women's Voltaic EVO Sneaker, White-Blue Skies, 10.5</t>
        </is>
      </c>
      <c r="L533" s="24" t="n">
        <v>76</v>
      </c>
      <c r="M533" s="24" t="n">
        <v>69.53</v>
      </c>
      <c r="N533" s="24" t="n">
        <v>-24.5195</v>
      </c>
      <c r="O533" s="24">
        <f>V533-M533</f>
        <v/>
      </c>
      <c r="P533" s="25">
        <f>N533/L533</f>
        <v/>
      </c>
      <c r="Q533" s="23" t="n">
        <v>62151</v>
      </c>
      <c r="R533" s="23" t="n"/>
      <c r="S533" s="26" t="n">
        <v>1.95770256</v>
      </c>
      <c r="T533" s="24" t="n">
        <v>69.53</v>
      </c>
      <c r="U533" s="24" t="n">
        <v>74.98</v>
      </c>
      <c r="V533" s="24" t="n">
        <v>75.04000000000001</v>
      </c>
      <c r="W533" s="26" t="inlineStr">
        <is>
          <t>PUMA Voltaic Evo Womens Running Shoes</t>
        </is>
      </c>
      <c r="X533" s="23" t="n">
        <v>1</v>
      </c>
      <c r="Y533" s="18">
        <f>AC533-AB533</f>
        <v/>
      </c>
      <c r="Z533" s="27" t="n">
        <v>22</v>
      </c>
      <c r="AA533" s="27" t="n">
        <v>60</v>
      </c>
      <c r="AB533" s="27" t="n">
        <v>1</v>
      </c>
      <c r="AC533" s="27" t="n">
        <v>127</v>
      </c>
      <c r="AD533" s="1" t="inlineStr">
        <is>
          <t>30972006</t>
        </is>
      </c>
      <c r="AE533" s="1" t="inlineStr">
        <is>
          <t>Puma White-blue Skies</t>
        </is>
      </c>
      <c r="AF533" s="4" t="n">
        <v>10.43</v>
      </c>
      <c r="AG533" s="4" t="n">
        <v>7.62</v>
      </c>
    </row>
    <row r="534" ht="47.25" customHeight="1">
      <c r="A534" s="18" t="inlineStr">
        <is>
          <t>197646316555</t>
        </is>
      </c>
      <c r="B534" s="19" t="inlineStr">
        <is>
          <t>https://www.amazon.com/dp/</t>
        </is>
      </c>
      <c r="C534" s="20" t="inlineStr">
        <is>
          <t>B0CLQ634YD</t>
        </is>
      </c>
      <c r="D534" s="44" t="n"/>
      <c r="E534" s="23" t="inlineStr">
        <is>
          <t>?th=1&amp;psc=1&amp;tag=sdcdeals03-20</t>
        </is>
      </c>
      <c r="F534" s="19">
        <f>HYPERLINK("https://redirect.sdcdeals.com/redirect?destination=https%3A%2F%2Fwww.amazon.com%2Fdp%2FB0CLQ634YD%3Fth%3D1%26psc%3D1%26tag%3Dsdcdeals03-20", "Amazon Link")</f>
        <v/>
      </c>
      <c r="G534" s="19" t="inlineStr">
        <is>
          <t>https://www.jcpenney.com/s?searchTerm={search_term}</t>
        </is>
      </c>
      <c r="H534" s="23" t="inlineStr">
        <is>
          <t>197646316555</t>
        </is>
      </c>
      <c r="I534" s="19">
        <f>HYPERLINK("https://www.jcpenney.com/s?searchTerm=197646316555", "Retail Link")</f>
        <v/>
      </c>
      <c r="J534" s="23" t="inlineStr">
        <is>
          <t>n/a</t>
        </is>
      </c>
      <c r="K534" s="21" t="inlineStr">
        <is>
          <t>PUMA Women's Voltaic EVO Sneaker, White-Blue Skies, 11</t>
        </is>
      </c>
      <c r="L534" s="24" t="n">
        <v>76</v>
      </c>
      <c r="M534" s="24" t="n">
        <v>69.53</v>
      </c>
      <c r="N534" s="24" t="n">
        <v>-24.5195</v>
      </c>
      <c r="O534" s="24">
        <f>V534-M534</f>
        <v/>
      </c>
      <c r="P534" s="25">
        <f>N534/L534</f>
        <v/>
      </c>
      <c r="Q534" s="23" t="n">
        <v>62281</v>
      </c>
      <c r="R534" s="23" t="n"/>
      <c r="S534" s="26" t="n">
        <v>1.98856724</v>
      </c>
      <c r="T534" s="24" t="n">
        <v>69.53</v>
      </c>
      <c r="U534" s="24" t="n">
        <v>74.23</v>
      </c>
      <c r="V534" s="24" t="n">
        <v>72.79000000000001</v>
      </c>
      <c r="W534" s="26" t="inlineStr">
        <is>
          <t>PUMA Voltaic Evo Womens Running Shoes</t>
        </is>
      </c>
      <c r="X534" s="23" t="n">
        <v>3</v>
      </c>
      <c r="Y534" s="18">
        <f>AC534-AB534</f>
        <v/>
      </c>
      <c r="Z534" s="27" t="n">
        <v>30</v>
      </c>
      <c r="AA534" s="27" t="n">
        <v>67</v>
      </c>
      <c r="AB534" s="27" t="n">
        <v>0</v>
      </c>
      <c r="AC534" s="27" t="n">
        <v>127</v>
      </c>
      <c r="AD534" s="1" t="inlineStr">
        <is>
          <t>30972006</t>
        </is>
      </c>
      <c r="AE534" s="1" t="inlineStr">
        <is>
          <t>Puma White-blue Skies</t>
        </is>
      </c>
      <c r="AF534" s="4" t="n">
        <v>10.43</v>
      </c>
      <c r="AG534" s="4" t="n">
        <v>7.62</v>
      </c>
    </row>
    <row r="535" ht="47.25" customHeight="1">
      <c r="A535" s="18" t="inlineStr">
        <is>
          <t>195552521957</t>
        </is>
      </c>
      <c r="B535" s="19" t="inlineStr">
        <is>
          <t>https://www.amazon.com/dp/</t>
        </is>
      </c>
      <c r="C535" s="20" t="inlineStr">
        <is>
          <t>B0CVFL6XSK</t>
        </is>
      </c>
      <c r="D535" s="44" t="n"/>
      <c r="E535" s="23" t="inlineStr">
        <is>
          <t>?th=1&amp;psc=1&amp;tag=sdcdeals03-20</t>
        </is>
      </c>
      <c r="F535" s="19">
        <f>HYPERLINK("https://redirect.sdcdeals.com/redirect?destination=https%3A%2F%2Fwww.amazon.com%2Fdp%2FB0CVFL6XSK%3Fth%3D1%26psc%3D1%26tag%3Dsdcdeals03-20", "Amazon Link")</f>
        <v/>
      </c>
      <c r="G535" s="19" t="inlineStr">
        <is>
          <t>https://www.jcpenney.com/s?searchTerm={search_term}</t>
        </is>
      </c>
      <c r="H535" s="23" t="inlineStr">
        <is>
          <t>195552521957</t>
        </is>
      </c>
      <c r="I535" s="19">
        <f>HYPERLINK("https://www.jcpenney.com/s?searchTerm=195552521957", "Retail Link")</f>
        <v/>
      </c>
      <c r="J535" s="23" t="inlineStr">
        <is>
          <t>n/a</t>
        </is>
      </c>
      <c r="K535" s="21" t="inlineStr">
        <is>
          <t>PUMA Vikky v3 Leather Womens Sneaker 6 BM US WhiteRose DustGold</t>
        </is>
      </c>
      <c r="L535" s="24" t="n">
        <v>57</v>
      </c>
      <c r="M535" s="24" t="inlineStr"/>
      <c r="N535" s="24" t="n"/>
      <c r="O535" s="24">
        <f>V535-M535</f>
        <v/>
      </c>
      <c r="P535" s="25">
        <f>N535/L535</f>
        <v/>
      </c>
      <c r="Q535" s="23" t="n"/>
      <c r="R535" s="23" t="n"/>
      <c r="S535" s="26" t="n">
        <v>2.10100286</v>
      </c>
      <c r="T535" s="24" t="inlineStr"/>
      <c r="U535" s="24" t="inlineStr"/>
      <c r="V535" s="24" t="inlineStr"/>
      <c r="W535" s="26" t="inlineStr">
        <is>
          <t>PUMA Vikky V2 Leather Womens Sneakers</t>
        </is>
      </c>
      <c r="X535" s="23" t="n"/>
      <c r="Y535" s="18">
        <f>AC535-AB535</f>
        <v/>
      </c>
      <c r="Z535" s="27" t="n">
        <v>0</v>
      </c>
      <c r="AA535" s="27" t="n">
        <v>0</v>
      </c>
      <c r="AB535" s="27" t="n">
        <v>0</v>
      </c>
      <c r="AC535" s="27" t="n">
        <v>3</v>
      </c>
      <c r="AD535" s="1" t="inlineStr"/>
      <c r="AE535" s="1" t="inlineStr">
        <is>
          <t>White-rose Dust-gold</t>
        </is>
      </c>
      <c r="AF535" s="4" t="inlineStr"/>
      <c r="AG535" s="4" t="n">
        <v>7.78</v>
      </c>
    </row>
    <row r="536" ht="47.25" customHeight="1">
      <c r="A536" s="18" t="inlineStr">
        <is>
          <t>195552521964</t>
        </is>
      </c>
      <c r="B536" s="19" t="inlineStr">
        <is>
          <t>https://www.amazon.com/dp/</t>
        </is>
      </c>
      <c r="C536" s="20" t="inlineStr">
        <is>
          <t>B0CW8299Z6</t>
        </is>
      </c>
      <c r="D536" s="44" t="n"/>
      <c r="E536" s="23" t="inlineStr">
        <is>
          <t>?th=1&amp;psc=1&amp;tag=sdcdeals03-20</t>
        </is>
      </c>
      <c r="F536" s="19">
        <f>HYPERLINK("https://redirect.sdcdeals.com/redirect?destination=https%3A%2F%2Fwww.amazon.com%2Fdp%2FB0CW8299Z6%3Fth%3D1%26psc%3D1%26tag%3Dsdcdeals03-20", "Amazon Link")</f>
        <v/>
      </c>
      <c r="G536" s="19" t="inlineStr">
        <is>
          <t>https://www.jcpenney.com/s?searchTerm={search_term}</t>
        </is>
      </c>
      <c r="H536" s="23" t="inlineStr">
        <is>
          <t>195552521964</t>
        </is>
      </c>
      <c r="I536" s="19">
        <f>HYPERLINK("https://www.jcpenney.com/s?searchTerm=195552521964", "Retail Link")</f>
        <v/>
      </c>
      <c r="J536" s="23" t="inlineStr">
        <is>
          <t>n/a</t>
        </is>
      </c>
      <c r="K536" s="21" t="inlineStr">
        <is>
          <t>PUMA Vikky v3 Leather Womens Sneaker 65 BM US WhiteRose DustGold</t>
        </is>
      </c>
      <c r="L536" s="24" t="n">
        <v>57</v>
      </c>
      <c r="M536" s="24" t="n">
        <v>58.06</v>
      </c>
      <c r="N536" s="24" t="n">
        <v>-15.429</v>
      </c>
      <c r="O536" s="24">
        <f>V536-M536</f>
        <v/>
      </c>
      <c r="P536" s="25">
        <f>N536/L536</f>
        <v/>
      </c>
      <c r="Q536" s="23" t="n">
        <v>9431621</v>
      </c>
      <c r="R536" s="23" t="n"/>
      <c r="S536" s="26" t="n">
        <v>2.10100286</v>
      </c>
      <c r="T536" s="24" t="inlineStr"/>
      <c r="U536" s="24" t="inlineStr"/>
      <c r="V536" s="24" t="n">
        <v>58.06</v>
      </c>
      <c r="W536" s="26" t="inlineStr">
        <is>
          <t>PUMA Vikky V2 Leather Womens Sneakers</t>
        </is>
      </c>
      <c r="X536" s="23" t="n"/>
      <c r="Y536" s="18">
        <f>AC536-AB536</f>
        <v/>
      </c>
      <c r="Z536" s="27" t="n">
        <v>0</v>
      </c>
      <c r="AA536" s="27" t="n">
        <v>0</v>
      </c>
      <c r="AB536" s="27" t="n">
        <v>0</v>
      </c>
      <c r="AC536" s="27" t="n">
        <v>2</v>
      </c>
      <c r="AD536" s="1" t="inlineStr"/>
      <c r="AE536" s="1" t="inlineStr">
        <is>
          <t>White-rose Dust-gold</t>
        </is>
      </c>
      <c r="AF536" s="4" t="inlineStr"/>
      <c r="AG536" s="4" t="n">
        <v>7.78</v>
      </c>
    </row>
    <row r="537" ht="47.25" customHeight="1">
      <c r="A537" s="18" t="inlineStr">
        <is>
          <t>195552521971</t>
        </is>
      </c>
      <c r="B537" s="19" t="inlineStr">
        <is>
          <t>https://www.amazon.com/dp/</t>
        </is>
      </c>
      <c r="C537" s="20" t="inlineStr">
        <is>
          <t>B0CVW6PJ68</t>
        </is>
      </c>
      <c r="D537" s="44" t="n"/>
      <c r="E537" s="23" t="inlineStr">
        <is>
          <t>?th=1&amp;psc=1&amp;tag=sdcdeals03-20</t>
        </is>
      </c>
      <c r="F537" s="19">
        <f>HYPERLINK("https://redirect.sdcdeals.com/redirect?destination=https%3A%2F%2Fwww.amazon.com%2Fdp%2FB0CVW6PJ68%3Fth%3D1%26psc%3D1%26tag%3Dsdcdeals03-20", "Amazon Link")</f>
        <v/>
      </c>
      <c r="G537" s="19" t="inlineStr">
        <is>
          <t>https://www.jcpenney.com/s?searchTerm={search_term}</t>
        </is>
      </c>
      <c r="H537" s="23" t="inlineStr">
        <is>
          <t>195552521971</t>
        </is>
      </c>
      <c r="I537" s="19">
        <f>HYPERLINK("https://www.jcpenney.com/s?searchTerm=195552521971", "Retail Link")</f>
        <v/>
      </c>
      <c r="J537" s="23" t="inlineStr">
        <is>
          <t>n/a</t>
        </is>
      </c>
      <c r="K537" s="21" t="inlineStr">
        <is>
          <t>PUMA Vikky v3 Leather Womens Sneaker 7 BM US WhiteRose DustGold</t>
        </is>
      </c>
      <c r="L537" s="24" t="n">
        <v>57</v>
      </c>
      <c r="M537" s="24" t="n">
        <v>53.12</v>
      </c>
      <c r="N537" s="24" t="n">
        <v>-19.62800000000001</v>
      </c>
      <c r="O537" s="24">
        <f>V537-M537</f>
        <v/>
      </c>
      <c r="P537" s="25">
        <f>N537/L537</f>
        <v/>
      </c>
      <c r="Q537" s="23" t="n"/>
      <c r="R537" s="23" t="n"/>
      <c r="S537" s="26" t="n">
        <v>2.10100286</v>
      </c>
      <c r="T537" s="24" t="inlineStr"/>
      <c r="U537" s="24" t="inlineStr"/>
      <c r="V537" s="24" t="n">
        <v>53.12</v>
      </c>
      <c r="W537" s="26" t="inlineStr">
        <is>
          <t>PUMA Vikky V2 Leather Womens Sneakers</t>
        </is>
      </c>
      <c r="X537" s="23" t="n"/>
      <c r="Y537" s="18">
        <f>AC537-AB537</f>
        <v/>
      </c>
      <c r="Z537" s="27" t="n">
        <v>0</v>
      </c>
      <c r="AA537" s="27" t="n">
        <v>0</v>
      </c>
      <c r="AB537" s="27" t="n">
        <v>0</v>
      </c>
      <c r="AC537" s="27" t="n">
        <v>2</v>
      </c>
      <c r="AD537" s="1" t="inlineStr"/>
      <c r="AE537" s="1" t="inlineStr">
        <is>
          <t>White-rose Dust-gold</t>
        </is>
      </c>
      <c r="AF537" s="4" t="inlineStr"/>
      <c r="AG537" s="4" t="n">
        <v>7.78</v>
      </c>
    </row>
    <row r="538" ht="47.25" customHeight="1">
      <c r="A538" s="18" t="inlineStr">
        <is>
          <t>195552521988</t>
        </is>
      </c>
      <c r="B538" s="19" t="inlineStr">
        <is>
          <t>https://www.amazon.com/dp/</t>
        </is>
      </c>
      <c r="C538" s="20" t="inlineStr">
        <is>
          <t>B0CWC1KN3P</t>
        </is>
      </c>
      <c r="D538" s="44" t="n"/>
      <c r="E538" s="23" t="inlineStr">
        <is>
          <t>?th=1&amp;psc=1&amp;tag=sdcdeals03-20</t>
        </is>
      </c>
      <c r="F538" s="19">
        <f>HYPERLINK("https://redirect.sdcdeals.com/redirect?destination=https%3A%2F%2Fwww.amazon.com%2Fdp%2FB0CWC1KN3P%3Fth%3D1%26psc%3D1%26tag%3Dsdcdeals03-20", "Amazon Link")</f>
        <v/>
      </c>
      <c r="G538" s="19" t="inlineStr">
        <is>
          <t>https://www.jcpenney.com/s?searchTerm={search_term}</t>
        </is>
      </c>
      <c r="H538" s="23" t="inlineStr">
        <is>
          <t>195552521988</t>
        </is>
      </c>
      <c r="I538" s="19">
        <f>HYPERLINK("https://www.jcpenney.com/s?searchTerm=195552521988", "Retail Link")</f>
        <v/>
      </c>
      <c r="J538" s="23" t="inlineStr">
        <is>
          <t>n/a</t>
        </is>
      </c>
      <c r="K538" s="21" t="inlineStr">
        <is>
          <t>PUMA Vikky v3 Leather Womens Sneaker 75 BM US WhiteRose DustGold</t>
        </is>
      </c>
      <c r="L538" s="24" t="n">
        <v>57</v>
      </c>
      <c r="M538" s="24" t="n">
        <v>53.12</v>
      </c>
      <c r="N538" s="24" t="n">
        <v>-19.62800000000001</v>
      </c>
      <c r="O538" s="24">
        <f>V538-M538</f>
        <v/>
      </c>
      <c r="P538" s="25">
        <f>N538/L538</f>
        <v/>
      </c>
      <c r="Q538" s="23" t="n">
        <v>9286363</v>
      </c>
      <c r="R538" s="23" t="n"/>
      <c r="S538" s="26" t="n">
        <v>2.10100286</v>
      </c>
      <c r="T538" s="24" t="inlineStr"/>
      <c r="U538" s="24" t="n">
        <v>53.12</v>
      </c>
      <c r="V538" s="24" t="n">
        <v>53.12</v>
      </c>
      <c r="W538" s="26" t="inlineStr">
        <is>
          <t>PUMA Vikky V2 Leather Womens Sneakers</t>
        </is>
      </c>
      <c r="X538" s="23" t="n">
        <v>1</v>
      </c>
      <c r="Y538" s="18">
        <f>AC538-AB538</f>
        <v/>
      </c>
      <c r="Z538" s="27" t="n">
        <v>0</v>
      </c>
      <c r="AA538" s="27" t="n">
        <v>0</v>
      </c>
      <c r="AB538" s="27" t="n">
        <v>0</v>
      </c>
      <c r="AC538" s="27" t="n"/>
      <c r="AD538" s="1" t="inlineStr"/>
      <c r="AE538" s="1" t="inlineStr">
        <is>
          <t>White-rose Dust-gold</t>
        </is>
      </c>
      <c r="AF538" s="4" t="inlineStr"/>
      <c r="AG538" s="4" t="n">
        <v>7.78</v>
      </c>
    </row>
    <row r="539" ht="47.25" customHeight="1">
      <c r="A539" s="18" t="inlineStr">
        <is>
          <t>195552521995</t>
        </is>
      </c>
      <c r="B539" s="19" t="inlineStr">
        <is>
          <t>https://www.amazon.com/dp/</t>
        </is>
      </c>
      <c r="C539" s="20" t="inlineStr">
        <is>
          <t>B0CVSL4DH2</t>
        </is>
      </c>
      <c r="D539" s="44" t="n"/>
      <c r="E539" s="23" t="inlineStr">
        <is>
          <t>?th=1&amp;psc=1&amp;tag=sdcdeals03-20</t>
        </is>
      </c>
      <c r="F539" s="19">
        <f>HYPERLINK("https://redirect.sdcdeals.com/redirect?destination=https%3A%2F%2Fwww.amazon.com%2Fdp%2FB0CVSL4DH2%3Fth%3D1%26psc%3D1%26tag%3Dsdcdeals03-20", "Amazon Link")</f>
        <v/>
      </c>
      <c r="G539" s="19" t="inlineStr">
        <is>
          <t>https://www.jcpenney.com/s?searchTerm={search_term}</t>
        </is>
      </c>
      <c r="H539" s="23" t="inlineStr">
        <is>
          <t>195552521995</t>
        </is>
      </c>
      <c r="I539" s="19">
        <f>HYPERLINK("https://www.jcpenney.com/s?searchTerm=195552521995", "Retail Link")</f>
        <v/>
      </c>
      <c r="J539" s="23" t="inlineStr">
        <is>
          <t>n/a</t>
        </is>
      </c>
      <c r="K539" s="21" t="inlineStr">
        <is>
          <t>PUMA Vikky v3 Leather Womens Sneaker 8 BM US WhiteRose DustGold</t>
        </is>
      </c>
      <c r="L539" s="24" t="n">
        <v>57</v>
      </c>
      <c r="M539" s="24" t="inlineStr"/>
      <c r="N539" s="24" t="n"/>
      <c r="O539" s="24">
        <f>V539-M539</f>
        <v/>
      </c>
      <c r="P539" s="25">
        <f>N539/L539</f>
        <v/>
      </c>
      <c r="Q539" s="23" t="n">
        <v>9763927</v>
      </c>
      <c r="R539" s="23" t="n"/>
      <c r="S539" s="26" t="n">
        <v>2.10100286</v>
      </c>
      <c r="T539" s="24" t="inlineStr"/>
      <c r="U539" s="24" t="inlineStr"/>
      <c r="V539" s="24" t="inlineStr"/>
      <c r="W539" s="26" t="inlineStr">
        <is>
          <t>PUMA Vikky V2 Leather Womens Sneakers</t>
        </is>
      </c>
      <c r="X539" s="23" t="n"/>
      <c r="Y539" s="18">
        <f>AC539-AB539</f>
        <v/>
      </c>
      <c r="Z539" s="27" t="n">
        <v>0</v>
      </c>
      <c r="AA539" s="27" t="n">
        <v>0</v>
      </c>
      <c r="AB539" s="27" t="n">
        <v>0</v>
      </c>
      <c r="AC539" s="27" t="n">
        <v>2</v>
      </c>
      <c r="AD539" s="1" t="inlineStr"/>
      <c r="AE539" s="1" t="inlineStr">
        <is>
          <t>White-rose Dust-gold</t>
        </is>
      </c>
      <c r="AF539" s="4" t="inlineStr"/>
      <c r="AG539" s="4" t="n">
        <v>7.78</v>
      </c>
    </row>
    <row r="540" ht="47.25" customHeight="1">
      <c r="A540" s="18" t="inlineStr">
        <is>
          <t>195552522008</t>
        </is>
      </c>
      <c r="B540" s="19" t="inlineStr">
        <is>
          <t>https://www.amazon.com/dp/</t>
        </is>
      </c>
      <c r="C540" s="20" t="inlineStr">
        <is>
          <t>B0CTXR32N6</t>
        </is>
      </c>
      <c r="D540" s="44" t="n"/>
      <c r="E540" s="23" t="inlineStr">
        <is>
          <t>?th=1&amp;psc=1&amp;tag=sdcdeals03-20</t>
        </is>
      </c>
      <c r="F540" s="19">
        <f>HYPERLINK("https://redirect.sdcdeals.com/redirect?destination=https%3A%2F%2Fwww.amazon.com%2Fdp%2FB0CTXR32N6%3Fth%3D1%26psc%3D1%26tag%3Dsdcdeals03-20", "Amazon Link")</f>
        <v/>
      </c>
      <c r="G540" s="19" t="inlineStr">
        <is>
          <t>https://www.jcpenney.com/s?searchTerm={search_term}</t>
        </is>
      </c>
      <c r="H540" s="23" t="inlineStr">
        <is>
          <t>195552522008</t>
        </is>
      </c>
      <c r="I540" s="19">
        <f>HYPERLINK("https://www.jcpenney.com/s?searchTerm=195552522008", "Retail Link")</f>
        <v/>
      </c>
      <c r="J540" s="23" t="inlineStr">
        <is>
          <t>n/a</t>
        </is>
      </c>
      <c r="K540" s="21" t="inlineStr">
        <is>
          <t>PUMA Vikky v3 Leather Womens Sneaker 85 BM US WhiteRose DustGold</t>
        </is>
      </c>
      <c r="L540" s="24" t="n">
        <v>57</v>
      </c>
      <c r="M540" s="24" t="n">
        <v>53.38</v>
      </c>
      <c r="N540" s="24" t="n">
        <v>-19.407</v>
      </c>
      <c r="O540" s="24">
        <f>V540-M540</f>
        <v/>
      </c>
      <c r="P540" s="25">
        <f>N540/L540</f>
        <v/>
      </c>
      <c r="Q540" s="23" t="n">
        <v>7337277</v>
      </c>
      <c r="R540" s="23" t="n"/>
      <c r="S540" s="26" t="n">
        <v>2.10100286</v>
      </c>
      <c r="T540" s="24" t="n">
        <v>53.38</v>
      </c>
      <c r="U540" s="24" t="n">
        <v>53.55</v>
      </c>
      <c r="V540" s="24" t="n">
        <v>53.97</v>
      </c>
      <c r="W540" s="26" t="inlineStr">
        <is>
          <t>PUMA Vikky V2 Leather Womens Sneakers</t>
        </is>
      </c>
      <c r="X540" s="23" t="n">
        <v>1</v>
      </c>
      <c r="Y540" s="18">
        <f>AC540-AB540</f>
        <v/>
      </c>
      <c r="Z540" s="27" t="n">
        <v>0</v>
      </c>
      <c r="AA540" s="27" t="n">
        <v>1</v>
      </c>
      <c r="AB540" s="27" t="n">
        <v>0</v>
      </c>
      <c r="AC540" s="27" t="n"/>
      <c r="AD540" s="1" t="inlineStr"/>
      <c r="AE540" s="1" t="inlineStr">
        <is>
          <t>White-rose Dust-gold</t>
        </is>
      </c>
      <c r="AF540" s="4" t="n">
        <v>8.01</v>
      </c>
      <c r="AG540" s="4" t="n">
        <v>7.78</v>
      </c>
    </row>
    <row r="541" ht="47.25" customHeight="1">
      <c r="A541" s="18" t="inlineStr">
        <is>
          <t>195552522015</t>
        </is>
      </c>
      <c r="B541" s="19" t="inlineStr">
        <is>
          <t>https://www.amazon.com/dp/</t>
        </is>
      </c>
      <c r="C541" s="20" t="inlineStr">
        <is>
          <t>B0CW9KX77X</t>
        </is>
      </c>
      <c r="D541" s="44" t="n"/>
      <c r="E541" s="23" t="inlineStr">
        <is>
          <t>?th=1&amp;psc=1&amp;tag=sdcdeals03-20</t>
        </is>
      </c>
      <c r="F541" s="19">
        <f>HYPERLINK("https://redirect.sdcdeals.com/redirect?destination=https%3A%2F%2Fwww.amazon.com%2Fdp%2FB0CW9KX77X%3Fth%3D1%26psc%3D1%26tag%3Dsdcdeals03-20", "Amazon Link")</f>
        <v/>
      </c>
      <c r="G541" s="19" t="inlineStr">
        <is>
          <t>https://www.jcpenney.com/s?searchTerm={search_term}</t>
        </is>
      </c>
      <c r="H541" s="23" t="inlineStr">
        <is>
          <t>195552522015</t>
        </is>
      </c>
      <c r="I541" s="19">
        <f>HYPERLINK("https://www.jcpenney.com/s?searchTerm=195552522015", "Retail Link")</f>
        <v/>
      </c>
      <c r="J541" s="23" t="inlineStr">
        <is>
          <t>n/a</t>
        </is>
      </c>
      <c r="K541" s="21" t="inlineStr">
        <is>
          <t>PUMA Vikky v3 Leather Womens Sneaker 9 BM US WhiteRose DustGold</t>
        </is>
      </c>
      <c r="L541" s="24" t="n">
        <v>57</v>
      </c>
      <c r="M541" s="24" t="n">
        <v>54.88</v>
      </c>
      <c r="N541" s="24" t="n">
        <v>-18.132</v>
      </c>
      <c r="O541" s="24">
        <f>V541-M541</f>
        <v/>
      </c>
      <c r="P541" s="25">
        <f>N541/L541</f>
        <v/>
      </c>
      <c r="Q541" s="23" t="n">
        <v>7332067</v>
      </c>
      <c r="R541" s="23" t="n"/>
      <c r="S541" s="26" t="n">
        <v>2.10100286</v>
      </c>
      <c r="T541" s="24" t="inlineStr"/>
      <c r="U541" s="24" t="n">
        <v>54.88</v>
      </c>
      <c r="V541" s="24" t="n">
        <v>54.69</v>
      </c>
      <c r="W541" s="26" t="inlineStr">
        <is>
          <t>PUMA Vikky V2 Leather Womens Sneakers</t>
        </is>
      </c>
      <c r="X541" s="23" t="n">
        <v>1</v>
      </c>
      <c r="Y541" s="18">
        <f>AC541-AB541</f>
        <v/>
      </c>
      <c r="Z541" s="27" t="n">
        <v>0</v>
      </c>
      <c r="AA541" s="27" t="n">
        <v>1</v>
      </c>
      <c r="AB541" s="27" t="n">
        <v>0</v>
      </c>
      <c r="AC541" s="27" t="n"/>
      <c r="AD541" s="1" t="inlineStr"/>
      <c r="AE541" s="1" t="inlineStr">
        <is>
          <t>White-rose Dust-gold</t>
        </is>
      </c>
      <c r="AF541" s="4" t="inlineStr"/>
      <c r="AG541" s="4" t="n">
        <v>7.78</v>
      </c>
    </row>
    <row r="542" ht="47.25" customHeight="1">
      <c r="A542" s="18" t="inlineStr">
        <is>
          <t>195552522039</t>
        </is>
      </c>
      <c r="B542" s="19" t="inlineStr">
        <is>
          <t>https://www.amazon.com/dp/</t>
        </is>
      </c>
      <c r="C542" s="20" t="inlineStr">
        <is>
          <t>B0CTK8SSGG</t>
        </is>
      </c>
      <c r="D542" s="44" t="n"/>
      <c r="E542" s="23" t="inlineStr">
        <is>
          <t>?th=1&amp;psc=1&amp;tag=sdcdeals03-20</t>
        </is>
      </c>
      <c r="F542" s="19">
        <f>HYPERLINK("https://redirect.sdcdeals.com/redirect?destination=https%3A%2F%2Fwww.amazon.com%2Fdp%2FB0CTK8SSGG%3Fth%3D1%26psc%3D1%26tag%3Dsdcdeals03-20", "Amazon Link")</f>
        <v/>
      </c>
      <c r="G542" s="19" t="inlineStr">
        <is>
          <t>https://www.jcpenney.com/s?searchTerm={search_term}</t>
        </is>
      </c>
      <c r="H542" s="23" t="inlineStr">
        <is>
          <t>195552522039</t>
        </is>
      </c>
      <c r="I542" s="19">
        <f>HYPERLINK("https://www.jcpenney.com/s?searchTerm=195552522039", "Retail Link")</f>
        <v/>
      </c>
      <c r="J542" s="23" t="inlineStr">
        <is>
          <t>n/a</t>
        </is>
      </c>
      <c r="K542" s="21" t="inlineStr">
        <is>
          <t>PUMA Vikky v3 Leather Womens Sneaker 95 BM US WhiteRose DustGold</t>
        </is>
      </c>
      <c r="L542" s="24" t="n">
        <v>57</v>
      </c>
      <c r="M542" s="24" t="n">
        <v>53.12</v>
      </c>
      <c r="N542" s="24" t="n">
        <v>-19.62800000000001</v>
      </c>
      <c r="O542" s="24">
        <f>V542-M542</f>
        <v/>
      </c>
      <c r="P542" s="25">
        <f>N542/L542</f>
        <v/>
      </c>
      <c r="Q542" s="23" t="n">
        <v>9190004</v>
      </c>
      <c r="R542" s="23" t="n"/>
      <c r="S542" s="26" t="n">
        <v>2.10100286</v>
      </c>
      <c r="T542" s="24" t="inlineStr"/>
      <c r="U542" s="24" t="inlineStr"/>
      <c r="V542" s="24" t="n">
        <v>53.12</v>
      </c>
      <c r="W542" s="26" t="inlineStr">
        <is>
          <t>PUMA Vikky V2 Leather Womens Sneakers</t>
        </is>
      </c>
      <c r="X542" s="23" t="n"/>
      <c r="Y542" s="18">
        <f>AC542-AB542</f>
        <v/>
      </c>
      <c r="Z542" s="27" t="n">
        <v>0</v>
      </c>
      <c r="AA542" s="27" t="n">
        <v>0</v>
      </c>
      <c r="AB542" s="27" t="n">
        <v>0</v>
      </c>
      <c r="AC542" s="27" t="n"/>
      <c r="AD542" s="1" t="inlineStr"/>
      <c r="AE542" s="1" t="inlineStr">
        <is>
          <t>White-rose Dust-gold</t>
        </is>
      </c>
      <c r="AF542" s="4" t="inlineStr"/>
      <c r="AG542" s="4" t="n">
        <v>7.78</v>
      </c>
    </row>
    <row r="543" ht="47.25" customHeight="1">
      <c r="A543" s="18" t="inlineStr">
        <is>
          <t>195552522046</t>
        </is>
      </c>
      <c r="B543" s="19" t="inlineStr">
        <is>
          <t>https://www.amazon.com/dp/</t>
        </is>
      </c>
      <c r="C543" s="20" t="inlineStr">
        <is>
          <t>B0CTLNZVD7</t>
        </is>
      </c>
      <c r="D543" s="44" t="n"/>
      <c r="E543" s="23" t="inlineStr">
        <is>
          <t>?th=1&amp;psc=1&amp;tag=sdcdeals03-20</t>
        </is>
      </c>
      <c r="F543" s="19">
        <f>HYPERLINK("https://redirect.sdcdeals.com/redirect?destination=https%3A%2F%2Fwww.amazon.com%2Fdp%2FB0CTLNZVD7%3Fth%3D1%26psc%3D1%26tag%3Dsdcdeals03-20", "Amazon Link")</f>
        <v/>
      </c>
      <c r="G543" s="19" t="inlineStr">
        <is>
          <t>https://www.jcpenney.com/s?searchTerm={search_term}</t>
        </is>
      </c>
      <c r="H543" s="23" t="inlineStr">
        <is>
          <t>195552522046</t>
        </is>
      </c>
      <c r="I543" s="19">
        <f>HYPERLINK("https://www.jcpenney.com/s?searchTerm=195552522046", "Retail Link")</f>
        <v/>
      </c>
      <c r="J543" s="23" t="inlineStr">
        <is>
          <t>n/a</t>
        </is>
      </c>
      <c r="K543" s="21" t="inlineStr">
        <is>
          <t>PUMA Vikky v3 Leather Womens Sneaker 10 BM US WhiteRose DustGold</t>
        </is>
      </c>
      <c r="L543" s="24" t="n">
        <v>57</v>
      </c>
      <c r="M543" s="24" t="n">
        <v>57.46</v>
      </c>
      <c r="N543" s="24" t="n">
        <v>-15.939</v>
      </c>
      <c r="O543" s="24">
        <f>V543-M543</f>
        <v/>
      </c>
      <c r="P543" s="25">
        <f>N543/L543</f>
        <v/>
      </c>
      <c r="Q543" s="23" t="n">
        <v>11881267</v>
      </c>
      <c r="R543" s="23" t="n"/>
      <c r="S543" s="26" t="n">
        <v>2.10100286</v>
      </c>
      <c r="T543" s="24" t="inlineStr"/>
      <c r="U543" s="24" t="n">
        <v>57.46</v>
      </c>
      <c r="V543" s="24" t="n">
        <v>54.86</v>
      </c>
      <c r="W543" s="26" t="inlineStr">
        <is>
          <t>PUMA Vikky V2 Leather Womens Sneakers</t>
        </is>
      </c>
      <c r="X543" s="23" t="n">
        <v>1</v>
      </c>
      <c r="Y543" s="18">
        <f>AC543-AB543</f>
        <v/>
      </c>
      <c r="Z543" s="27" t="n">
        <v>0</v>
      </c>
      <c r="AA543" s="27" t="n">
        <v>0</v>
      </c>
      <c r="AB543" s="27" t="n">
        <v>0</v>
      </c>
      <c r="AC543" s="27" t="n"/>
      <c r="AD543" s="1" t="inlineStr"/>
      <c r="AE543" s="1" t="inlineStr">
        <is>
          <t>White-rose Dust-gold</t>
        </is>
      </c>
      <c r="AF543" s="4" t="inlineStr"/>
      <c r="AG543" s="4" t="n">
        <v>7.78</v>
      </c>
    </row>
    <row r="544" ht="47.25" customHeight="1">
      <c r="A544" s="18" t="inlineStr">
        <is>
          <t>195552522060</t>
        </is>
      </c>
      <c r="B544" s="19" t="inlineStr">
        <is>
          <t>https://www.amazon.com/dp/</t>
        </is>
      </c>
      <c r="C544" s="20" t="inlineStr">
        <is>
          <t>B0CWCN67KP</t>
        </is>
      </c>
      <c r="D544" s="44" t="n"/>
      <c r="E544" s="23" t="inlineStr">
        <is>
          <t>?th=1&amp;psc=1&amp;tag=sdcdeals03-20</t>
        </is>
      </c>
      <c r="F544" s="19">
        <f>HYPERLINK("https://redirect.sdcdeals.com/redirect?destination=https%3A%2F%2Fwww.amazon.com%2Fdp%2FB0CWCN67KP%3Fth%3D1%26psc%3D1%26tag%3Dsdcdeals03-20", "Amazon Link")</f>
        <v/>
      </c>
      <c r="G544" s="19" t="inlineStr">
        <is>
          <t>https://www.jcpenney.com/s?searchTerm={search_term}</t>
        </is>
      </c>
      <c r="H544" s="23" t="inlineStr">
        <is>
          <t>195552522060</t>
        </is>
      </c>
      <c r="I544" s="19">
        <f>HYPERLINK("https://www.jcpenney.com/s?searchTerm=195552522060", "Retail Link")</f>
        <v/>
      </c>
      <c r="J544" s="23" t="inlineStr">
        <is>
          <t>n/a</t>
        </is>
      </c>
      <c r="K544" s="21" t="inlineStr">
        <is>
          <t>PUMA Vikky v3 Leather Womens Sneaker 11 BM US WhiteRose DustGold</t>
        </is>
      </c>
      <c r="L544" s="24" t="n">
        <v>57</v>
      </c>
      <c r="M544" s="24" t="n">
        <v>53.12</v>
      </c>
      <c r="N544" s="24" t="n">
        <v>-19.62800000000001</v>
      </c>
      <c r="O544" s="24">
        <f>V544-M544</f>
        <v/>
      </c>
      <c r="P544" s="25">
        <f>N544/L544</f>
        <v/>
      </c>
      <c r="Q544" s="23" t="n"/>
      <c r="R544" s="23" t="n"/>
      <c r="S544" s="26" t="n">
        <v>2.10100286</v>
      </c>
      <c r="T544" s="24" t="n">
        <v>53.12</v>
      </c>
      <c r="U544" s="24" t="inlineStr"/>
      <c r="V544" s="24" t="inlineStr"/>
      <c r="W544" s="26" t="inlineStr">
        <is>
          <t>PUMA Vikky V2 Leather Womens Sneakers</t>
        </is>
      </c>
      <c r="X544" s="23" t="n">
        <v>1</v>
      </c>
      <c r="Y544" s="18">
        <f>AC544-AB544</f>
        <v/>
      </c>
      <c r="Z544" s="27" t="n">
        <v>0</v>
      </c>
      <c r="AA544" s="27" t="n">
        <v>0</v>
      </c>
      <c r="AB544" s="27" t="n">
        <v>0</v>
      </c>
      <c r="AC544" s="27" t="n"/>
      <c r="AD544" s="1" t="inlineStr"/>
      <c r="AE544" s="1" t="inlineStr">
        <is>
          <t>White-rose Dust-gold</t>
        </is>
      </c>
      <c r="AF544" s="4" t="inlineStr"/>
      <c r="AG544" s="4" t="n">
        <v>7.78</v>
      </c>
    </row>
    <row r="545" ht="47.25" customHeight="1">
      <c r="A545" s="18" t="inlineStr">
        <is>
          <t>197672666402</t>
        </is>
      </c>
      <c r="B545" s="19" t="inlineStr">
        <is>
          <t>https://www.amazon.com/dp/</t>
        </is>
      </c>
      <c r="C545" s="20" t="inlineStr">
        <is>
          <t>B0DJ65B2QZ</t>
        </is>
      </c>
      <c r="D545" s="44" t="n"/>
      <c r="E545" s="23" t="inlineStr">
        <is>
          <t>?th=1&amp;psc=1&amp;tag=sdcdeals03-20</t>
        </is>
      </c>
      <c r="F545" s="19">
        <f>HYPERLINK("https://redirect.sdcdeals.com/redirect?destination=https%3A%2F%2Fwww.amazon.com%2Fdp%2FB0DJ65B2QZ%3Fth%3D1%26psc%3D1%26tag%3Dsdcdeals03-20", "Amazon Link")</f>
        <v/>
      </c>
      <c r="G545" s="19" t="inlineStr">
        <is>
          <t>https://www.jcpenney.com/s?searchTerm={search_term}</t>
        </is>
      </c>
      <c r="H545" s="23" t="inlineStr">
        <is>
          <t>197672666402</t>
        </is>
      </c>
      <c r="I545" s="19">
        <f>HYPERLINK("https://www.jcpenney.com/s?searchTerm=197672666402", "Retail Link")</f>
        <v/>
      </c>
      <c r="J545" s="23" t="inlineStr">
        <is>
          <t>n/a</t>
        </is>
      </c>
      <c r="K545" s="21" t="inlineStr">
        <is>
          <t>Puma - Womens Club Pearl Sd Shoes, Color Dark Jasper/Dark Jasper/Gold, Size: 5.5 M US</t>
        </is>
      </c>
      <c r="L545" s="24" t="n">
        <v>66.5</v>
      </c>
      <c r="M545" s="24" t="n">
        <v>70</v>
      </c>
      <c r="N545" s="24" t="n"/>
      <c r="O545" s="24">
        <f>V545-M545</f>
        <v/>
      </c>
      <c r="P545" s="25">
        <f>N545/L545</f>
        <v/>
      </c>
      <c r="Q545" s="23" t="n"/>
      <c r="R545" s="23" t="n"/>
      <c r="S545" s="26" t="n"/>
      <c r="T545" s="24" t="n">
        <v>70</v>
      </c>
      <c r="U545" s="24" t="inlineStr"/>
      <c r="V545" s="24" t="inlineStr"/>
      <c r="W545" s="26" t="inlineStr">
        <is>
          <t>New!PUMA Club Pearl Sd Womens Sneakers</t>
        </is>
      </c>
      <c r="X545" s="23" t="n">
        <v>1</v>
      </c>
      <c r="Y545" s="18">
        <f>AC545-AB545</f>
        <v/>
      </c>
      <c r="Z545" s="27" t="n">
        <v>-1</v>
      </c>
      <c r="AA545" s="27" t="n">
        <v>-1</v>
      </c>
      <c r="AB545" s="27" t="n"/>
      <c r="AC545" s="27" t="n"/>
      <c r="AD545" s="1" t="inlineStr"/>
      <c r="AE545" s="1" t="inlineStr">
        <is>
          <t>Dark Jasper/Dark Jasper/Gold</t>
        </is>
      </c>
      <c r="AF545" s="4" t="inlineStr"/>
      <c r="AG545" s="4" t="inlineStr"/>
    </row>
    <row r="546" ht="47.25" customHeight="1">
      <c r="A546" s="18" t="inlineStr">
        <is>
          <t>197672666464</t>
        </is>
      </c>
      <c r="B546" s="19" t="inlineStr">
        <is>
          <t>https://www.amazon.com/dp/</t>
        </is>
      </c>
      <c r="C546" s="20" t="inlineStr">
        <is>
          <t>B0DJ656N35</t>
        </is>
      </c>
      <c r="D546" s="44" t="n"/>
      <c r="E546" s="23" t="inlineStr">
        <is>
          <t>?th=1&amp;psc=1&amp;tag=sdcdeals03-20</t>
        </is>
      </c>
      <c r="F546" s="19">
        <f>HYPERLINK("https://redirect.sdcdeals.com/redirect?destination=https%3A%2F%2Fwww.amazon.com%2Fdp%2FB0DJ656N35%3Fth%3D1%26psc%3D1%26tag%3Dsdcdeals03-20", "Amazon Link")</f>
        <v/>
      </c>
      <c r="G546" s="19" t="inlineStr">
        <is>
          <t>https://www.jcpenney.com/s?searchTerm={search_term}</t>
        </is>
      </c>
      <c r="H546" s="23" t="inlineStr">
        <is>
          <t>197672666464</t>
        </is>
      </c>
      <c r="I546" s="19">
        <f>HYPERLINK("https://www.jcpenney.com/s?searchTerm=197672666464", "Retail Link")</f>
        <v/>
      </c>
      <c r="J546" s="23" t="inlineStr">
        <is>
          <t>n/a</t>
        </is>
      </c>
      <c r="K546" s="21" t="inlineStr">
        <is>
          <t>Puma - Womens Club Pearl Sd Shoes, Color Dark Jasper/Dark Jasper/Gold, Size: 6 M US</t>
        </is>
      </c>
      <c r="L546" s="24" t="n">
        <v>66.5</v>
      </c>
      <c r="M546" s="24" t="n">
        <v>97.63</v>
      </c>
      <c r="N546" s="24" t="n"/>
      <c r="O546" s="24">
        <f>V546-M546</f>
        <v/>
      </c>
      <c r="P546" s="25">
        <f>N546/L546</f>
        <v/>
      </c>
      <c r="Q546" s="23" t="n"/>
      <c r="R546" s="23" t="n"/>
      <c r="S546" s="26" t="n"/>
      <c r="T546" s="24" t="n">
        <v>82.68000000000001</v>
      </c>
      <c r="U546" s="24" t="n">
        <v>98.58</v>
      </c>
      <c r="V546" s="24" t="n">
        <v>98.58</v>
      </c>
      <c r="W546" s="26" t="inlineStr">
        <is>
          <t>New!PUMA Club Pearl Sd Womens Sneakers</t>
        </is>
      </c>
      <c r="X546" s="23" t="n">
        <v>3</v>
      </c>
      <c r="Y546" s="18">
        <f>AC546-AB546</f>
        <v/>
      </c>
      <c r="Z546" s="27" t="n">
        <v>-1</v>
      </c>
      <c r="AA546" s="27" t="n">
        <v>-1</v>
      </c>
      <c r="AB546" s="27" t="n"/>
      <c r="AC546" s="27" t="n"/>
      <c r="AD546" s="1" t="inlineStr"/>
      <c r="AE546" s="1" t="inlineStr">
        <is>
          <t>Dark Jasper/Dark Jasper/Gold</t>
        </is>
      </c>
      <c r="AF546" s="4" t="inlineStr"/>
      <c r="AG546" s="4" t="inlineStr"/>
    </row>
    <row r="547" ht="47.25" customHeight="1">
      <c r="A547" s="18" t="inlineStr">
        <is>
          <t>197672666419</t>
        </is>
      </c>
      <c r="B547" s="19" t="inlineStr">
        <is>
          <t>https://www.amazon.com/dp/</t>
        </is>
      </c>
      <c r="C547" s="20" t="inlineStr">
        <is>
          <t>B0DJ64TJF2</t>
        </is>
      </c>
      <c r="D547" s="44" t="n"/>
      <c r="E547" s="23" t="inlineStr">
        <is>
          <t>?th=1&amp;psc=1&amp;tag=sdcdeals03-20</t>
        </is>
      </c>
      <c r="F547" s="19">
        <f>HYPERLINK("https://redirect.sdcdeals.com/redirect?destination=https%3A%2F%2Fwww.amazon.com%2Fdp%2FB0DJ64TJF2%3Fth%3D1%26psc%3D1%26tag%3Dsdcdeals03-20", "Amazon Link")</f>
        <v/>
      </c>
      <c r="G547" s="19" t="inlineStr">
        <is>
          <t>https://www.jcpenney.com/s?searchTerm={search_term}</t>
        </is>
      </c>
      <c r="H547" s="23" t="inlineStr">
        <is>
          <t>197672666419</t>
        </is>
      </c>
      <c r="I547" s="19">
        <f>HYPERLINK("https://www.jcpenney.com/s?searchTerm=197672666419", "Retail Link")</f>
        <v/>
      </c>
      <c r="J547" s="23" t="inlineStr">
        <is>
          <t>n/a</t>
        </is>
      </c>
      <c r="K547" s="21" t="inlineStr">
        <is>
          <t>Puma - Womens Club Pearl Sd Shoes, Color Dark Jasper/Dark Jasper/Gold, Size: 6.5 M US</t>
        </is>
      </c>
      <c r="L547" s="24" t="n">
        <v>66.5</v>
      </c>
      <c r="M547" s="24" t="n">
        <v>97.63</v>
      </c>
      <c r="N547" s="24" t="n"/>
      <c r="O547" s="24">
        <f>V547-M547</f>
        <v/>
      </c>
      <c r="P547" s="25">
        <f>N547/L547</f>
        <v/>
      </c>
      <c r="Q547" s="23" t="n"/>
      <c r="R547" s="23" t="n"/>
      <c r="S547" s="26" t="n"/>
      <c r="T547" s="24" t="n">
        <v>82.68000000000001</v>
      </c>
      <c r="U547" s="24" t="n">
        <v>98.58</v>
      </c>
      <c r="V547" s="24" t="n">
        <v>98.58</v>
      </c>
      <c r="W547" s="26" t="inlineStr">
        <is>
          <t>New!PUMA Club Pearl Sd Womens Sneakers</t>
        </is>
      </c>
      <c r="X547" s="23" t="n">
        <v>3</v>
      </c>
      <c r="Y547" s="18">
        <f>AC547-AB547</f>
        <v/>
      </c>
      <c r="Z547" s="27" t="n">
        <v>-1</v>
      </c>
      <c r="AA547" s="27" t="n">
        <v>-1</v>
      </c>
      <c r="AB547" s="27" t="n"/>
      <c r="AC547" s="27" t="n"/>
      <c r="AD547" s="1" t="inlineStr"/>
      <c r="AE547" s="1" t="inlineStr">
        <is>
          <t>Dark Jasper/Dark Jasper/Gold</t>
        </is>
      </c>
      <c r="AF547" s="4" t="inlineStr"/>
      <c r="AG547" s="4" t="inlineStr"/>
    </row>
    <row r="548" ht="47.25" customHeight="1">
      <c r="A548" s="18" t="inlineStr">
        <is>
          <t>197672666471</t>
        </is>
      </c>
      <c r="B548" s="19" t="inlineStr">
        <is>
          <t>https://www.amazon.com/dp/</t>
        </is>
      </c>
      <c r="C548" s="20" t="inlineStr">
        <is>
          <t>B0DJ64ZKF8</t>
        </is>
      </c>
      <c r="D548" s="44" t="n"/>
      <c r="E548" s="23" t="inlineStr">
        <is>
          <t>?th=1&amp;psc=1&amp;tag=sdcdeals03-20</t>
        </is>
      </c>
      <c r="F548" s="19">
        <f>HYPERLINK("https://redirect.sdcdeals.com/redirect?destination=https%3A%2F%2Fwww.amazon.com%2Fdp%2FB0DJ64ZKF8%3Fth%3D1%26psc%3D1%26tag%3Dsdcdeals03-20", "Amazon Link")</f>
        <v/>
      </c>
      <c r="G548" s="19" t="inlineStr">
        <is>
          <t>https://www.jcpenney.com/s?searchTerm={search_term}</t>
        </is>
      </c>
      <c r="H548" s="23" t="inlineStr">
        <is>
          <t>197672666471</t>
        </is>
      </c>
      <c r="I548" s="19">
        <f>HYPERLINK("https://www.jcpenney.com/s?searchTerm=197672666471", "Retail Link")</f>
        <v/>
      </c>
      <c r="J548" s="23" t="inlineStr">
        <is>
          <t>n/a</t>
        </is>
      </c>
      <c r="K548" s="21" t="inlineStr">
        <is>
          <t>Puma - Womens Club Pearl Sd Shoes, Color Dark Jasper/Dark Jasper/Gold, Size: 7 M US</t>
        </is>
      </c>
      <c r="L548" s="24" t="n">
        <v>66.5</v>
      </c>
      <c r="M548" s="24" t="n">
        <v>97.63</v>
      </c>
      <c r="N548" s="24" t="n"/>
      <c r="O548" s="24">
        <f>V548-M548</f>
        <v/>
      </c>
      <c r="P548" s="25">
        <f>N548/L548</f>
        <v/>
      </c>
      <c r="Q548" s="23" t="n"/>
      <c r="R548" s="23" t="n"/>
      <c r="S548" s="26" t="n"/>
      <c r="T548" s="24" t="n">
        <v>82.68000000000001</v>
      </c>
      <c r="U548" s="24" t="n">
        <v>98.58</v>
      </c>
      <c r="V548" s="24" t="n">
        <v>98.58</v>
      </c>
      <c r="W548" s="26" t="inlineStr">
        <is>
          <t>New!PUMA Club Pearl Sd Womens Sneakers</t>
        </is>
      </c>
      <c r="X548" s="23" t="n">
        <v>3</v>
      </c>
      <c r="Y548" s="18">
        <f>AC548-AB548</f>
        <v/>
      </c>
      <c r="Z548" s="27" t="n">
        <v>-1</v>
      </c>
      <c r="AA548" s="27" t="n">
        <v>-1</v>
      </c>
      <c r="AB548" s="27" t="n"/>
      <c r="AC548" s="27" t="n"/>
      <c r="AD548" s="1" t="inlineStr"/>
      <c r="AE548" s="1" t="inlineStr">
        <is>
          <t>Dark Jasper/Dark Jasper/Gold</t>
        </is>
      </c>
      <c r="AF548" s="4" t="inlineStr"/>
      <c r="AG548" s="4" t="inlineStr"/>
    </row>
    <row r="549" ht="47.25" customHeight="1">
      <c r="A549" s="18" t="inlineStr">
        <is>
          <t>197672666426</t>
        </is>
      </c>
      <c r="B549" s="19" t="inlineStr">
        <is>
          <t>https://www.amazon.com/dp/</t>
        </is>
      </c>
      <c r="C549" s="20" t="inlineStr">
        <is>
          <t>B0DJ64L4R9</t>
        </is>
      </c>
      <c r="D549" s="44" t="n"/>
      <c r="E549" s="23" t="inlineStr">
        <is>
          <t>?th=1&amp;psc=1&amp;tag=sdcdeals03-20</t>
        </is>
      </c>
      <c r="F549" s="19">
        <f>HYPERLINK("https://redirect.sdcdeals.com/redirect?destination=https%3A%2F%2Fwww.amazon.com%2Fdp%2FB0DJ64L4R9%3Fth%3D1%26psc%3D1%26tag%3Dsdcdeals03-20", "Amazon Link")</f>
        <v/>
      </c>
      <c r="G549" s="19" t="inlineStr">
        <is>
          <t>https://www.jcpenney.com/s?searchTerm={search_term}</t>
        </is>
      </c>
      <c r="H549" s="23" t="inlineStr">
        <is>
          <t>197672666426</t>
        </is>
      </c>
      <c r="I549" s="19">
        <f>HYPERLINK("https://www.jcpenney.com/s?searchTerm=197672666426", "Retail Link")</f>
        <v/>
      </c>
      <c r="J549" s="23" t="inlineStr">
        <is>
          <t>n/a</t>
        </is>
      </c>
      <c r="K549" s="21" t="inlineStr">
        <is>
          <t>Puma - Womens Club Pearl Sd Shoes, Color Dark Jasper/Dark Jasper/Gold, Size: 7.5 M US</t>
        </is>
      </c>
      <c r="L549" s="24" t="n">
        <v>66.5</v>
      </c>
      <c r="M549" s="24" t="n">
        <v>97.63</v>
      </c>
      <c r="N549" s="24" t="n"/>
      <c r="O549" s="24">
        <f>V549-M549</f>
        <v/>
      </c>
      <c r="P549" s="25">
        <f>N549/L549</f>
        <v/>
      </c>
      <c r="Q549" s="23" t="n"/>
      <c r="R549" s="23" t="n"/>
      <c r="S549" s="26" t="n"/>
      <c r="T549" s="24" t="n">
        <v>82.68000000000001</v>
      </c>
      <c r="U549" s="24" t="n">
        <v>97.72</v>
      </c>
      <c r="V549" s="24" t="n">
        <v>97.72</v>
      </c>
      <c r="W549" s="26" t="inlineStr">
        <is>
          <t>New!PUMA Club Pearl Sd Womens Sneakers</t>
        </is>
      </c>
      <c r="X549" s="23" t="n">
        <v>3</v>
      </c>
      <c r="Y549" s="18">
        <f>AC549-AB549</f>
        <v/>
      </c>
      <c r="Z549" s="27" t="n">
        <v>-1</v>
      </c>
      <c r="AA549" s="27" t="n">
        <v>-1</v>
      </c>
      <c r="AB549" s="27" t="n"/>
      <c r="AC549" s="27" t="n"/>
      <c r="AD549" s="1" t="inlineStr"/>
      <c r="AE549" s="1" t="inlineStr">
        <is>
          <t>Dark Jasper/Dark Jasper/Gold</t>
        </is>
      </c>
      <c r="AF549" s="4" t="inlineStr"/>
      <c r="AG549" s="4" t="inlineStr"/>
    </row>
    <row r="550" ht="47.25" customHeight="1">
      <c r="A550" s="18" t="inlineStr">
        <is>
          <t>197672666488</t>
        </is>
      </c>
      <c r="B550" s="19" t="inlineStr">
        <is>
          <t>https://www.amazon.com/dp/</t>
        </is>
      </c>
      <c r="C550" s="20" t="inlineStr">
        <is>
          <t>B0DJ64YD6F</t>
        </is>
      </c>
      <c r="D550" s="44" t="n"/>
      <c r="E550" s="23" t="inlineStr">
        <is>
          <t>?th=1&amp;psc=1&amp;tag=sdcdeals03-20</t>
        </is>
      </c>
      <c r="F550" s="19">
        <f>HYPERLINK("https://redirect.sdcdeals.com/redirect?destination=https%3A%2F%2Fwww.amazon.com%2Fdp%2FB0DJ64YD6F%3Fth%3D1%26psc%3D1%26tag%3Dsdcdeals03-20", "Amazon Link")</f>
        <v/>
      </c>
      <c r="G550" s="19" t="inlineStr">
        <is>
          <t>https://www.jcpenney.com/s?searchTerm={search_term}</t>
        </is>
      </c>
      <c r="H550" s="23" t="inlineStr">
        <is>
          <t>197672666488</t>
        </is>
      </c>
      <c r="I550" s="19">
        <f>HYPERLINK("https://www.jcpenney.com/s?searchTerm=197672666488", "Retail Link")</f>
        <v/>
      </c>
      <c r="J550" s="23" t="inlineStr">
        <is>
          <t>n/a</t>
        </is>
      </c>
      <c r="K550" s="21" t="inlineStr">
        <is>
          <t>Puma - Womens Club Pearl Sd Shoes, Color Dark Jasper/Dark Jasper/Gold, Size: 8 M US</t>
        </is>
      </c>
      <c r="L550" s="24" t="n">
        <v>66.5</v>
      </c>
      <c r="M550" s="24" t="n">
        <v>97.63</v>
      </c>
      <c r="N550" s="24" t="n"/>
      <c r="O550" s="24">
        <f>V550-M550</f>
        <v/>
      </c>
      <c r="P550" s="25">
        <f>N550/L550</f>
        <v/>
      </c>
      <c r="Q550" s="23" t="n"/>
      <c r="R550" s="23" t="n"/>
      <c r="S550" s="26" t="n"/>
      <c r="T550" s="24" t="n">
        <v>82.68000000000001</v>
      </c>
      <c r="U550" s="24" t="n">
        <v>98.58</v>
      </c>
      <c r="V550" s="24" t="n">
        <v>98.58</v>
      </c>
      <c r="W550" s="26" t="inlineStr">
        <is>
          <t>New!PUMA Club Pearl Sd Womens Sneakers</t>
        </is>
      </c>
      <c r="X550" s="23" t="n">
        <v>3</v>
      </c>
      <c r="Y550" s="18">
        <f>AC550-AB550</f>
        <v/>
      </c>
      <c r="Z550" s="27" t="n">
        <v>-1</v>
      </c>
      <c r="AA550" s="27" t="n">
        <v>-1</v>
      </c>
      <c r="AB550" s="27" t="n"/>
      <c r="AC550" s="27" t="n"/>
      <c r="AD550" s="1" t="inlineStr"/>
      <c r="AE550" s="1" t="inlineStr">
        <is>
          <t>Dark Jasper/Dark Jasper/Gold</t>
        </is>
      </c>
      <c r="AF550" s="4" t="inlineStr"/>
      <c r="AG550" s="4" t="inlineStr"/>
    </row>
    <row r="551" ht="47.25" customHeight="1">
      <c r="A551" s="18" t="inlineStr">
        <is>
          <t>197672666433</t>
        </is>
      </c>
      <c r="B551" s="19" t="inlineStr">
        <is>
          <t>https://www.amazon.com/dp/</t>
        </is>
      </c>
      <c r="C551" s="20" t="inlineStr">
        <is>
          <t>B0DJ658BJ4</t>
        </is>
      </c>
      <c r="D551" s="44" t="n"/>
      <c r="E551" s="23" t="inlineStr">
        <is>
          <t>?th=1&amp;psc=1&amp;tag=sdcdeals03-20</t>
        </is>
      </c>
      <c r="F551" s="19">
        <f>HYPERLINK("https://redirect.sdcdeals.com/redirect?destination=https%3A%2F%2Fwww.amazon.com%2Fdp%2FB0DJ658BJ4%3Fth%3D1%26psc%3D1%26tag%3Dsdcdeals03-20", "Amazon Link")</f>
        <v/>
      </c>
      <c r="G551" s="19" t="inlineStr">
        <is>
          <t>https://www.jcpenney.com/s?searchTerm={search_term}</t>
        </is>
      </c>
      <c r="H551" s="23" t="inlineStr">
        <is>
          <t>197672666433</t>
        </is>
      </c>
      <c r="I551" s="19">
        <f>HYPERLINK("https://www.jcpenney.com/s?searchTerm=197672666433", "Retail Link")</f>
        <v/>
      </c>
      <c r="J551" s="23" t="inlineStr">
        <is>
          <t>n/a</t>
        </is>
      </c>
      <c r="K551" s="21" t="inlineStr">
        <is>
          <t>Puma - Womens Club Pearl Sd Shoes, Color Dark Jasper/Dark Jasper/Gold, Size: 8.5 M US</t>
        </is>
      </c>
      <c r="L551" s="24" t="n">
        <v>66.5</v>
      </c>
      <c r="M551" s="24" t="n">
        <v>97.63</v>
      </c>
      <c r="N551" s="24" t="n"/>
      <c r="O551" s="24">
        <f>V551-M551</f>
        <v/>
      </c>
      <c r="P551" s="25">
        <f>N551/L551</f>
        <v/>
      </c>
      <c r="Q551" s="23" t="n"/>
      <c r="R551" s="23" t="n"/>
      <c r="S551" s="26" t="n"/>
      <c r="T551" s="24" t="n">
        <v>82.68000000000001</v>
      </c>
      <c r="U551" s="24" t="n">
        <v>98.58</v>
      </c>
      <c r="V551" s="24" t="n">
        <v>98.58</v>
      </c>
      <c r="W551" s="26" t="inlineStr">
        <is>
          <t>New!PUMA Club Pearl Sd Womens Sneakers</t>
        </is>
      </c>
      <c r="X551" s="23" t="n">
        <v>3</v>
      </c>
      <c r="Y551" s="18">
        <f>AC551-AB551</f>
        <v/>
      </c>
      <c r="Z551" s="27" t="n">
        <v>-1</v>
      </c>
      <c r="AA551" s="27" t="n">
        <v>-1</v>
      </c>
      <c r="AB551" s="27" t="n"/>
      <c r="AC551" s="27" t="n"/>
      <c r="AD551" s="1" t="inlineStr"/>
      <c r="AE551" s="1" t="inlineStr">
        <is>
          <t>Dark Jasper/Dark Jasper/Gold</t>
        </is>
      </c>
      <c r="AF551" s="4" t="inlineStr"/>
      <c r="AG551" s="4" t="inlineStr"/>
    </row>
    <row r="552" ht="47.25" customHeight="1">
      <c r="A552" s="18" t="inlineStr">
        <is>
          <t>197672666495</t>
        </is>
      </c>
      <c r="B552" s="19" t="inlineStr">
        <is>
          <t>https://www.amazon.com/dp/</t>
        </is>
      </c>
      <c r="C552" s="20" t="inlineStr">
        <is>
          <t>B0DJ64PFFC</t>
        </is>
      </c>
      <c r="D552" s="44" t="n"/>
      <c r="E552" s="23" t="inlineStr">
        <is>
          <t>?th=1&amp;psc=1&amp;tag=sdcdeals03-20</t>
        </is>
      </c>
      <c r="F552" s="19">
        <f>HYPERLINK("https://redirect.sdcdeals.com/redirect?destination=https%3A%2F%2Fwww.amazon.com%2Fdp%2FB0DJ64PFFC%3Fth%3D1%26psc%3D1%26tag%3Dsdcdeals03-20", "Amazon Link")</f>
        <v/>
      </c>
      <c r="G552" s="19" t="inlineStr">
        <is>
          <t>https://www.jcpenney.com/s?searchTerm={search_term}</t>
        </is>
      </c>
      <c r="H552" s="23" t="inlineStr">
        <is>
          <t>197672666495</t>
        </is>
      </c>
      <c r="I552" s="19">
        <f>HYPERLINK("https://www.jcpenney.com/s?searchTerm=197672666495", "Retail Link")</f>
        <v/>
      </c>
      <c r="J552" s="23" t="inlineStr">
        <is>
          <t>n/a</t>
        </is>
      </c>
      <c r="K552" s="21" t="inlineStr">
        <is>
          <t>Puma - Womens Club Pearl Sd Shoes, Color Dark Jasper/Dark Jasper/Gold, Size: 9 M US</t>
        </is>
      </c>
      <c r="L552" s="24" t="n">
        <v>66.5</v>
      </c>
      <c r="M552" s="24" t="n">
        <v>97.63</v>
      </c>
      <c r="N552" s="24" t="n"/>
      <c r="O552" s="24">
        <f>V552-M552</f>
        <v/>
      </c>
      <c r="P552" s="25">
        <f>N552/L552</f>
        <v/>
      </c>
      <c r="Q552" s="23" t="n"/>
      <c r="R552" s="23" t="n"/>
      <c r="S552" s="26" t="n"/>
      <c r="T552" s="24" t="n">
        <v>82.68000000000001</v>
      </c>
      <c r="U552" s="24" t="n">
        <v>98.58</v>
      </c>
      <c r="V552" s="24" t="n">
        <v>98.58</v>
      </c>
      <c r="W552" s="26" t="inlineStr">
        <is>
          <t>New!PUMA Club Pearl Sd Womens Sneakers</t>
        </is>
      </c>
      <c r="X552" s="23" t="n">
        <v>3</v>
      </c>
      <c r="Y552" s="18">
        <f>AC552-AB552</f>
        <v/>
      </c>
      <c r="Z552" s="27" t="n">
        <v>-1</v>
      </c>
      <c r="AA552" s="27" t="n">
        <v>-1</v>
      </c>
      <c r="AB552" s="27" t="n"/>
      <c r="AC552" s="27" t="n"/>
      <c r="AD552" s="1" t="inlineStr"/>
      <c r="AE552" s="1" t="inlineStr">
        <is>
          <t>Dark Jasper/Dark Jasper/Gold</t>
        </is>
      </c>
      <c r="AF552" s="4" t="inlineStr"/>
      <c r="AG552" s="4" t="inlineStr"/>
    </row>
    <row r="553" ht="47.25" customHeight="1">
      <c r="A553" s="18" t="inlineStr">
        <is>
          <t>197672666440</t>
        </is>
      </c>
      <c r="B553" s="19" t="inlineStr">
        <is>
          <t>https://www.amazon.com/dp/</t>
        </is>
      </c>
      <c r="C553" s="20" t="inlineStr">
        <is>
          <t>B0DJ64JL65</t>
        </is>
      </c>
      <c r="D553" s="44" t="n"/>
      <c r="E553" s="23" t="inlineStr">
        <is>
          <t>?th=1&amp;psc=1&amp;tag=sdcdeals03-20</t>
        </is>
      </c>
      <c r="F553" s="19">
        <f>HYPERLINK("https://redirect.sdcdeals.com/redirect?destination=https%3A%2F%2Fwww.amazon.com%2Fdp%2FB0DJ64JL65%3Fth%3D1%26psc%3D1%26tag%3Dsdcdeals03-20", "Amazon Link")</f>
        <v/>
      </c>
      <c r="G553" s="19" t="inlineStr">
        <is>
          <t>https://www.jcpenney.com/s?searchTerm={search_term}</t>
        </is>
      </c>
      <c r="H553" s="23" t="inlineStr">
        <is>
          <t>197672666440</t>
        </is>
      </c>
      <c r="I553" s="19">
        <f>HYPERLINK("https://www.jcpenney.com/s?searchTerm=197672666440", "Retail Link")</f>
        <v/>
      </c>
      <c r="J553" s="23" t="inlineStr">
        <is>
          <t>n/a</t>
        </is>
      </c>
      <c r="K553" s="21" t="inlineStr">
        <is>
          <t>Puma - Womens Club Pearl Sd Shoes, Color Dark Jasper/Dark Jasper/Gold, Size: 9.5 M US</t>
        </is>
      </c>
      <c r="L553" s="24" t="n">
        <v>66.5</v>
      </c>
      <c r="M553" s="24" t="n">
        <v>97.63</v>
      </c>
      <c r="N553" s="24" t="n"/>
      <c r="O553" s="24">
        <f>V553-M553</f>
        <v/>
      </c>
      <c r="P553" s="25">
        <f>N553/L553</f>
        <v/>
      </c>
      <c r="Q553" s="23" t="n"/>
      <c r="R553" s="23" t="n"/>
      <c r="S553" s="26" t="n"/>
      <c r="T553" s="24" t="n">
        <v>82.68000000000001</v>
      </c>
      <c r="U553" s="24" t="n">
        <v>98.58</v>
      </c>
      <c r="V553" s="24" t="n">
        <v>98.58</v>
      </c>
      <c r="W553" s="26" t="inlineStr">
        <is>
          <t>New!PUMA Club Pearl Sd Womens Sneakers</t>
        </is>
      </c>
      <c r="X553" s="23" t="n">
        <v>3</v>
      </c>
      <c r="Y553" s="18">
        <f>AC553-AB553</f>
        <v/>
      </c>
      <c r="Z553" s="27" t="n">
        <v>-1</v>
      </c>
      <c r="AA553" s="27" t="n">
        <v>-1</v>
      </c>
      <c r="AB553" s="27" t="n"/>
      <c r="AC553" s="27" t="n"/>
      <c r="AD553" s="1" t="inlineStr"/>
      <c r="AE553" s="1" t="inlineStr">
        <is>
          <t>Dark Jasper/Dark Jasper/Gold</t>
        </is>
      </c>
      <c r="AF553" s="4" t="inlineStr"/>
      <c r="AG553" s="4" t="inlineStr"/>
    </row>
    <row r="554" ht="47.25" customHeight="1">
      <c r="A554" s="18" t="inlineStr">
        <is>
          <t>197672666501</t>
        </is>
      </c>
      <c r="B554" s="19" t="inlineStr">
        <is>
          <t>https://www.amazon.com/dp/</t>
        </is>
      </c>
      <c r="C554" s="20" t="inlineStr">
        <is>
          <t>B0DJ64BHGB</t>
        </is>
      </c>
      <c r="D554" s="44" t="n"/>
      <c r="E554" s="23" t="inlineStr">
        <is>
          <t>?th=1&amp;psc=1&amp;tag=sdcdeals03-20</t>
        </is>
      </c>
      <c r="F554" s="19">
        <f>HYPERLINK("https://redirect.sdcdeals.com/redirect?destination=https%3A%2F%2Fwww.amazon.com%2Fdp%2FB0DJ64BHGB%3Fth%3D1%26psc%3D1%26tag%3Dsdcdeals03-20", "Amazon Link")</f>
        <v/>
      </c>
      <c r="G554" s="19" t="inlineStr">
        <is>
          <t>https://www.jcpenney.com/s?searchTerm={search_term}</t>
        </is>
      </c>
      <c r="H554" s="23" t="inlineStr">
        <is>
          <t>197672666501</t>
        </is>
      </c>
      <c r="I554" s="19">
        <f>HYPERLINK("https://www.jcpenney.com/s?searchTerm=197672666501", "Retail Link")</f>
        <v/>
      </c>
      <c r="J554" s="23" t="inlineStr">
        <is>
          <t>n/a</t>
        </is>
      </c>
      <c r="K554" s="21" t="inlineStr">
        <is>
          <t>Puma - Womens Club Pearl Sd Shoes, Color Dark Jasper/Dark Jasper/Gold, Size: 10 M US</t>
        </is>
      </c>
      <c r="L554" s="24" t="n">
        <v>66.5</v>
      </c>
      <c r="M554" s="24" t="n">
        <v>97.63</v>
      </c>
      <c r="N554" s="24" t="n"/>
      <c r="O554" s="24">
        <f>V554-M554</f>
        <v/>
      </c>
      <c r="P554" s="25">
        <f>N554/L554</f>
        <v/>
      </c>
      <c r="Q554" s="23" t="n"/>
      <c r="R554" s="23" t="n"/>
      <c r="S554" s="26" t="n"/>
      <c r="T554" s="24" t="n">
        <v>82.68000000000001</v>
      </c>
      <c r="U554" s="24" t="n">
        <v>97.56</v>
      </c>
      <c r="V554" s="24" t="n">
        <v>97.56</v>
      </c>
      <c r="W554" s="26" t="inlineStr">
        <is>
          <t>New!PUMA Club Pearl Sd Womens Sneakers</t>
        </is>
      </c>
      <c r="X554" s="23" t="n">
        <v>3</v>
      </c>
      <c r="Y554" s="18">
        <f>AC554-AB554</f>
        <v/>
      </c>
      <c r="Z554" s="27" t="n">
        <v>-1</v>
      </c>
      <c r="AA554" s="27" t="n">
        <v>-1</v>
      </c>
      <c r="AB554" s="27" t="n"/>
      <c r="AC554" s="27" t="n"/>
      <c r="AD554" s="1" t="inlineStr"/>
      <c r="AE554" s="1" t="inlineStr">
        <is>
          <t>Dark Jasper/Dark Jasper/Gold</t>
        </is>
      </c>
      <c r="AF554" s="4" t="inlineStr"/>
      <c r="AG554" s="4" t="inlineStr"/>
    </row>
    <row r="555" ht="47.25" customHeight="1">
      <c r="A555" s="18" t="inlineStr">
        <is>
          <t>197672666518</t>
        </is>
      </c>
      <c r="B555" s="19" t="inlineStr">
        <is>
          <t>https://www.amazon.com/dp/</t>
        </is>
      </c>
      <c r="C555" s="20" t="inlineStr">
        <is>
          <t>B0DJ64BBJZ</t>
        </is>
      </c>
      <c r="D555" s="44" t="n"/>
      <c r="E555" s="23" t="inlineStr">
        <is>
          <t>?th=1&amp;psc=1&amp;tag=sdcdeals03-20</t>
        </is>
      </c>
      <c r="F555" s="19">
        <f>HYPERLINK("https://redirect.sdcdeals.com/redirect?destination=https%3A%2F%2Fwww.amazon.com%2Fdp%2FB0DJ64BBJZ%3Fth%3D1%26psc%3D1%26tag%3Dsdcdeals03-20", "Amazon Link")</f>
        <v/>
      </c>
      <c r="G555" s="19" t="inlineStr">
        <is>
          <t>https://www.jcpenney.com/s?searchTerm={search_term}</t>
        </is>
      </c>
      <c r="H555" s="23" t="inlineStr">
        <is>
          <t>197672666518</t>
        </is>
      </c>
      <c r="I555" s="19">
        <f>HYPERLINK("https://www.jcpenney.com/s?searchTerm=197672666518", "Retail Link")</f>
        <v/>
      </c>
      <c r="J555" s="23" t="inlineStr">
        <is>
          <t>n/a</t>
        </is>
      </c>
      <c r="K555" s="21" t="inlineStr">
        <is>
          <t>Puma - Womens Club Pearl Sd Shoes, Color Dark Jasper/Dark Jasper/Gold, Size: 11 M US</t>
        </is>
      </c>
      <c r="L555" s="24" t="n">
        <v>66.5</v>
      </c>
      <c r="M555" s="24" t="n">
        <v>100</v>
      </c>
      <c r="N555" s="24" t="n"/>
      <c r="O555" s="24">
        <f>V555-M555</f>
        <v/>
      </c>
      <c r="P555" s="25">
        <f>N555/L555</f>
        <v/>
      </c>
      <c r="Q555" s="23" t="n"/>
      <c r="R555" s="23" t="n"/>
      <c r="S555" s="26" t="n"/>
      <c r="T555" s="24" t="n">
        <v>93.89</v>
      </c>
      <c r="U555" s="24" t="n">
        <v>100</v>
      </c>
      <c r="V555" s="24" t="n">
        <v>100</v>
      </c>
      <c r="W555" s="26" t="inlineStr">
        <is>
          <t>New!PUMA Club Pearl Sd Womens Sneakers</t>
        </is>
      </c>
      <c r="X555" s="23" t="n">
        <v>2</v>
      </c>
      <c r="Y555" s="18">
        <f>AC555-AB555</f>
        <v/>
      </c>
      <c r="Z555" s="27" t="n">
        <v>-1</v>
      </c>
      <c r="AA555" s="27" t="n">
        <v>-1</v>
      </c>
      <c r="AB555" s="27" t="n"/>
      <c r="AC555" s="27" t="n"/>
      <c r="AD555" s="1" t="inlineStr"/>
      <c r="AE555" s="1" t="inlineStr">
        <is>
          <t>Dark Jasper/Dark Jasper/Gold</t>
        </is>
      </c>
      <c r="AF555" s="4" t="inlineStr"/>
      <c r="AG555" s="4" t="inlineStr"/>
    </row>
    <row r="556" ht="47.25" customHeight="1">
      <c r="A556" s="18" t="inlineStr">
        <is>
          <t>197672666587</t>
        </is>
      </c>
      <c r="B556" s="19" t="inlineStr">
        <is>
          <t>https://www.amazon.com/dp/</t>
        </is>
      </c>
      <c r="C556" s="20" t="inlineStr">
        <is>
          <t>B0DK8332HF</t>
        </is>
      </c>
      <c r="D556" s="44" t="n"/>
      <c r="E556" s="23" t="inlineStr">
        <is>
          <t>?th=1&amp;psc=1&amp;tag=sdcdeals03-20</t>
        </is>
      </c>
      <c r="F556" s="19">
        <f>HYPERLINK("https://redirect.sdcdeals.com/redirect?destination=https%3A%2F%2Fwww.amazon.com%2Fdp%2FB0DK8332HF%3Fth%3D1%26psc%3D1%26tag%3Dsdcdeals03-20", "Amazon Link")</f>
        <v/>
      </c>
      <c r="G556" s="19" t="inlineStr">
        <is>
          <t>https://www.jcpenney.com/s?searchTerm={search_term}</t>
        </is>
      </c>
      <c r="H556" s="23" t="inlineStr">
        <is>
          <t>197672666587</t>
        </is>
      </c>
      <c r="I556" s="19">
        <f>HYPERLINK("https://www.jcpenney.com/s?searchTerm=197672666587", "Retail Link")</f>
        <v/>
      </c>
      <c r="J556" s="23" t="inlineStr">
        <is>
          <t>n/a</t>
        </is>
      </c>
      <c r="K556" s="21" t="inlineStr">
        <is>
          <t>Women's Puma Club Pearl SD Puma Black-Puma Black-White (401820 03) - 6</t>
        </is>
      </c>
      <c r="L556" s="24" t="n">
        <v>66.5</v>
      </c>
      <c r="M556" s="24" t="n">
        <v>74.95</v>
      </c>
      <c r="N556" s="24" t="n"/>
      <c r="O556" s="24">
        <f>V556-M556</f>
        <v/>
      </c>
      <c r="P556" s="25">
        <f>N556/L556</f>
        <v/>
      </c>
      <c r="Q556" s="23" t="n"/>
      <c r="R556" s="23" t="n"/>
      <c r="S556" s="26" t="n"/>
      <c r="T556" s="24" t="n">
        <v>74.95</v>
      </c>
      <c r="U556" s="24" t="n">
        <v>74.95</v>
      </c>
      <c r="V556" s="24" t="n">
        <v>74.95</v>
      </c>
      <c r="W556" s="26" t="inlineStr">
        <is>
          <t>New!PUMA Club Pearl Sd Womens Sneakers</t>
        </is>
      </c>
      <c r="X556" s="23" t="n">
        <v>1</v>
      </c>
      <c r="Y556" s="18">
        <f>AC556-AB556</f>
        <v/>
      </c>
      <c r="Z556" s="27" t="n">
        <v>-1</v>
      </c>
      <c r="AA556" s="27" t="n">
        <v>-1</v>
      </c>
      <c r="AB556" s="27" t="n"/>
      <c r="AC556" s="27" t="n"/>
      <c r="AD556" s="1" t="inlineStr"/>
      <c r="AE556" s="1" t="inlineStr">
        <is>
          <t>Puma Black-puma Black-white</t>
        </is>
      </c>
      <c r="AF556" s="4" t="inlineStr"/>
      <c r="AG556" s="4" t="inlineStr"/>
    </row>
    <row r="557" ht="47.25" customHeight="1">
      <c r="A557" s="18" t="inlineStr">
        <is>
          <t>197672666532</t>
        </is>
      </c>
      <c r="B557" s="19" t="inlineStr">
        <is>
          <t>https://www.amazon.com/dp/</t>
        </is>
      </c>
      <c r="C557" s="20" t="inlineStr">
        <is>
          <t>B0DK823W9L</t>
        </is>
      </c>
      <c r="D557" s="44" t="n"/>
      <c r="E557" s="23" t="inlineStr">
        <is>
          <t>?th=1&amp;psc=1&amp;tag=sdcdeals03-20</t>
        </is>
      </c>
      <c r="F557" s="19">
        <f>HYPERLINK("https://redirect.sdcdeals.com/redirect?destination=https%3A%2F%2Fwww.amazon.com%2Fdp%2FB0DK823W9L%3Fth%3D1%26psc%3D1%26tag%3Dsdcdeals03-20", "Amazon Link")</f>
        <v/>
      </c>
      <c r="G557" s="19" t="inlineStr">
        <is>
          <t>https://www.jcpenney.com/s?searchTerm={search_term}</t>
        </is>
      </c>
      <c r="H557" s="23" t="inlineStr">
        <is>
          <t>197672666532</t>
        </is>
      </c>
      <c r="I557" s="19">
        <f>HYPERLINK("https://www.jcpenney.com/s?searchTerm=197672666532", "Retail Link")</f>
        <v/>
      </c>
      <c r="J557" s="23" t="inlineStr">
        <is>
          <t>n/a</t>
        </is>
      </c>
      <c r="K557" s="21" t="inlineStr">
        <is>
          <t>Women's Puma Club Pearl SD Puma Black-Puma Black-White (401820 03) - 6.5</t>
        </is>
      </c>
      <c r="L557" s="24" t="n">
        <v>66.5</v>
      </c>
      <c r="M557" s="24" t="n">
        <v>74.95</v>
      </c>
      <c r="N557" s="24" t="n"/>
      <c r="O557" s="24">
        <f>V557-M557</f>
        <v/>
      </c>
      <c r="P557" s="25">
        <f>N557/L557</f>
        <v/>
      </c>
      <c r="Q557" s="23" t="n"/>
      <c r="R557" s="23" t="n"/>
      <c r="S557" s="26" t="n"/>
      <c r="T557" s="24" t="n">
        <v>74.95</v>
      </c>
      <c r="U557" s="24" t="n">
        <v>74.95</v>
      </c>
      <c r="V557" s="24" t="n">
        <v>74.95</v>
      </c>
      <c r="W557" s="26" t="inlineStr">
        <is>
          <t>New!PUMA Club Pearl Sd Womens Sneakers</t>
        </is>
      </c>
      <c r="X557" s="23" t="n">
        <v>1</v>
      </c>
      <c r="Y557" s="18">
        <f>AC557-AB557</f>
        <v/>
      </c>
      <c r="Z557" s="27" t="n">
        <v>-1</v>
      </c>
      <c r="AA557" s="27" t="n">
        <v>-1</v>
      </c>
      <c r="AB557" s="27" t="n"/>
      <c r="AC557" s="27" t="n"/>
      <c r="AD557" s="1" t="inlineStr"/>
      <c r="AE557" s="1" t="inlineStr">
        <is>
          <t>Puma Black-puma Black-white</t>
        </is>
      </c>
      <c r="AF557" s="4" t="inlineStr"/>
      <c r="AG557" s="4" t="inlineStr"/>
    </row>
    <row r="558" ht="47.25" customHeight="1">
      <c r="A558" s="18" t="inlineStr">
        <is>
          <t>197672666594</t>
        </is>
      </c>
      <c r="B558" s="19" t="inlineStr">
        <is>
          <t>https://www.amazon.com/dp/</t>
        </is>
      </c>
      <c r="C558" s="20" t="inlineStr">
        <is>
          <t>B0DK823QJS</t>
        </is>
      </c>
      <c r="D558" s="44" t="n"/>
      <c r="E558" s="23" t="inlineStr">
        <is>
          <t>?th=1&amp;psc=1&amp;tag=sdcdeals03-20</t>
        </is>
      </c>
      <c r="F558" s="19">
        <f>HYPERLINK("https://redirect.sdcdeals.com/redirect?destination=https%3A%2F%2Fwww.amazon.com%2Fdp%2FB0DK823QJS%3Fth%3D1%26psc%3D1%26tag%3Dsdcdeals03-20", "Amazon Link")</f>
        <v/>
      </c>
      <c r="G558" s="19" t="inlineStr">
        <is>
          <t>https://www.jcpenney.com/s?searchTerm={search_term}</t>
        </is>
      </c>
      <c r="H558" s="23" t="inlineStr">
        <is>
          <t>197672666594</t>
        </is>
      </c>
      <c r="I558" s="19">
        <f>HYPERLINK("https://www.jcpenney.com/s?searchTerm=197672666594", "Retail Link")</f>
        <v/>
      </c>
      <c r="J558" s="23" t="inlineStr">
        <is>
          <t>n/a</t>
        </is>
      </c>
      <c r="K558" s="21" t="inlineStr">
        <is>
          <t>Women's Puma Club Pearl SD Puma Black-Puma Black-White (401820 03) - 7</t>
        </is>
      </c>
      <c r="L558" s="24" t="n">
        <v>66.5</v>
      </c>
      <c r="M558" s="24" t="n">
        <v>74.95</v>
      </c>
      <c r="N558" s="24" t="n"/>
      <c r="O558" s="24">
        <f>V558-M558</f>
        <v/>
      </c>
      <c r="P558" s="25">
        <f>N558/L558</f>
        <v/>
      </c>
      <c r="Q558" s="23" t="n"/>
      <c r="R558" s="23" t="n"/>
      <c r="S558" s="26" t="n"/>
      <c r="T558" s="24" t="n">
        <v>74.95</v>
      </c>
      <c r="U558" s="24" t="n">
        <v>74.95</v>
      </c>
      <c r="V558" s="24" t="n">
        <v>74.95</v>
      </c>
      <c r="W558" s="26" t="inlineStr">
        <is>
          <t>New!PUMA Club Pearl Sd Womens Sneakers</t>
        </is>
      </c>
      <c r="X558" s="23" t="n">
        <v>1</v>
      </c>
      <c r="Y558" s="18">
        <f>AC558-AB558</f>
        <v/>
      </c>
      <c r="Z558" s="27" t="n">
        <v>-1</v>
      </c>
      <c r="AA558" s="27" t="n">
        <v>-1</v>
      </c>
      <c r="AB558" s="27" t="n"/>
      <c r="AC558" s="27" t="n"/>
      <c r="AD558" s="1" t="inlineStr"/>
      <c r="AE558" s="1" t="inlineStr">
        <is>
          <t>Puma Black-puma Black-white</t>
        </is>
      </c>
      <c r="AF558" s="4" t="inlineStr"/>
      <c r="AG558" s="4" t="inlineStr"/>
    </row>
    <row r="559" ht="47.25" customHeight="1">
      <c r="A559" s="18" t="inlineStr">
        <is>
          <t>197672666549</t>
        </is>
      </c>
      <c r="B559" s="19" t="inlineStr">
        <is>
          <t>https://www.amazon.com/dp/</t>
        </is>
      </c>
      <c r="C559" s="20" t="inlineStr">
        <is>
          <t>B0DK82JPTV</t>
        </is>
      </c>
      <c r="D559" s="44" t="n"/>
      <c r="E559" s="23" t="inlineStr">
        <is>
          <t>?th=1&amp;psc=1&amp;tag=sdcdeals03-20</t>
        </is>
      </c>
      <c r="F559" s="19">
        <f>HYPERLINK("https://redirect.sdcdeals.com/redirect?destination=https%3A%2F%2Fwww.amazon.com%2Fdp%2FB0DK82JPTV%3Fth%3D1%26psc%3D1%26tag%3Dsdcdeals03-20", "Amazon Link")</f>
        <v/>
      </c>
      <c r="G559" s="19" t="inlineStr">
        <is>
          <t>https://www.jcpenney.com/s?searchTerm={search_term}</t>
        </is>
      </c>
      <c r="H559" s="23" t="inlineStr">
        <is>
          <t>197672666549</t>
        </is>
      </c>
      <c r="I559" s="19">
        <f>HYPERLINK("https://www.jcpenney.com/s?searchTerm=197672666549", "Retail Link")</f>
        <v/>
      </c>
      <c r="J559" s="23" t="inlineStr">
        <is>
          <t>n/a</t>
        </is>
      </c>
      <c r="K559" s="21" t="inlineStr">
        <is>
          <t>Women's Puma Club Pearl SD Puma Black-Puma Black-White (401820 03) - 7.5</t>
        </is>
      </c>
      <c r="L559" s="24" t="n">
        <v>66.5</v>
      </c>
      <c r="M559" s="24" t="n">
        <v>74.95</v>
      </c>
      <c r="N559" s="24" t="n"/>
      <c r="O559" s="24">
        <f>V559-M559</f>
        <v/>
      </c>
      <c r="P559" s="25">
        <f>N559/L559</f>
        <v/>
      </c>
      <c r="Q559" s="23" t="n"/>
      <c r="R559" s="23" t="n"/>
      <c r="S559" s="26" t="n"/>
      <c r="T559" s="24" t="n">
        <v>74.95</v>
      </c>
      <c r="U559" s="24" t="n">
        <v>74.95</v>
      </c>
      <c r="V559" s="24" t="n">
        <v>74.95</v>
      </c>
      <c r="W559" s="26" t="inlineStr">
        <is>
          <t>New!PUMA Club Pearl Sd Womens Sneakers</t>
        </is>
      </c>
      <c r="X559" s="23" t="n">
        <v>1</v>
      </c>
      <c r="Y559" s="18">
        <f>AC559-AB559</f>
        <v/>
      </c>
      <c r="Z559" s="27" t="n">
        <v>-1</v>
      </c>
      <c r="AA559" s="27" t="n">
        <v>-1</v>
      </c>
      <c r="AB559" s="27" t="n"/>
      <c r="AC559" s="27" t="n"/>
      <c r="AD559" s="1" t="inlineStr"/>
      <c r="AE559" s="1" t="inlineStr">
        <is>
          <t>Puma Black-puma Black-white</t>
        </is>
      </c>
      <c r="AF559" s="4" t="inlineStr"/>
      <c r="AG559" s="4" t="inlineStr"/>
    </row>
    <row r="560" ht="47.25" customHeight="1">
      <c r="A560" s="18" t="inlineStr">
        <is>
          <t>197672666600</t>
        </is>
      </c>
      <c r="B560" s="19" t="inlineStr">
        <is>
          <t>https://www.amazon.com/dp/</t>
        </is>
      </c>
      <c r="C560" s="20" t="inlineStr">
        <is>
          <t>B0DK7Z8LK8</t>
        </is>
      </c>
      <c r="D560" s="44" t="n"/>
      <c r="E560" s="23" t="inlineStr">
        <is>
          <t>?th=1&amp;psc=1&amp;tag=sdcdeals03-20</t>
        </is>
      </c>
      <c r="F560" s="19">
        <f>HYPERLINK("https://redirect.sdcdeals.com/redirect?destination=https%3A%2F%2Fwww.amazon.com%2Fdp%2FB0DK7Z8LK8%3Fth%3D1%26psc%3D1%26tag%3Dsdcdeals03-20", "Amazon Link")</f>
        <v/>
      </c>
      <c r="G560" s="19" t="inlineStr">
        <is>
          <t>https://www.jcpenney.com/s?searchTerm={search_term}</t>
        </is>
      </c>
      <c r="H560" s="23" t="inlineStr">
        <is>
          <t>197672666600</t>
        </is>
      </c>
      <c r="I560" s="19">
        <f>HYPERLINK("https://www.jcpenney.com/s?searchTerm=197672666600", "Retail Link")</f>
        <v/>
      </c>
      <c r="J560" s="23" t="inlineStr">
        <is>
          <t>n/a</t>
        </is>
      </c>
      <c r="K560" s="21" t="inlineStr">
        <is>
          <t>Women's Puma Club Pearl SD Puma Black-Puma Black-White (401820 03) - 8</t>
        </is>
      </c>
      <c r="L560" s="24" t="n">
        <v>66.5</v>
      </c>
      <c r="M560" s="24" t="n">
        <v>74.95</v>
      </c>
      <c r="N560" s="24" t="n"/>
      <c r="O560" s="24">
        <f>V560-M560</f>
        <v/>
      </c>
      <c r="P560" s="25">
        <f>N560/L560</f>
        <v/>
      </c>
      <c r="Q560" s="23" t="n"/>
      <c r="R560" s="23" t="n"/>
      <c r="S560" s="26" t="n"/>
      <c r="T560" s="24" t="n">
        <v>74.95</v>
      </c>
      <c r="U560" s="24" t="n">
        <v>74.95</v>
      </c>
      <c r="V560" s="24" t="n">
        <v>74.95</v>
      </c>
      <c r="W560" s="26" t="inlineStr">
        <is>
          <t>New!PUMA Club Pearl Sd Womens Sneakers</t>
        </is>
      </c>
      <c r="X560" s="23" t="n">
        <v>1</v>
      </c>
      <c r="Y560" s="18">
        <f>AC560-AB560</f>
        <v/>
      </c>
      <c r="Z560" s="27" t="n">
        <v>-1</v>
      </c>
      <c r="AA560" s="27" t="n">
        <v>-1</v>
      </c>
      <c r="AB560" s="27" t="n"/>
      <c r="AC560" s="27" t="n"/>
      <c r="AD560" s="1" t="inlineStr"/>
      <c r="AE560" s="1" t="inlineStr">
        <is>
          <t>Puma Black-puma Black-white</t>
        </is>
      </c>
      <c r="AF560" s="4" t="inlineStr"/>
      <c r="AG560" s="4" t="inlineStr"/>
    </row>
    <row r="561" ht="47.25" customHeight="1">
      <c r="A561" s="18" t="inlineStr">
        <is>
          <t>197672666556</t>
        </is>
      </c>
      <c r="B561" s="19" t="inlineStr">
        <is>
          <t>https://www.amazon.com/dp/</t>
        </is>
      </c>
      <c r="C561" s="20" t="inlineStr">
        <is>
          <t>B0DK82ZLY7</t>
        </is>
      </c>
      <c r="D561" s="44" t="n"/>
      <c r="E561" s="23" t="inlineStr">
        <is>
          <t>?th=1&amp;psc=1&amp;tag=sdcdeals03-20</t>
        </is>
      </c>
      <c r="F561" s="19">
        <f>HYPERLINK("https://redirect.sdcdeals.com/redirect?destination=https%3A%2F%2Fwww.amazon.com%2Fdp%2FB0DK82ZLY7%3Fth%3D1%26psc%3D1%26tag%3Dsdcdeals03-20", "Amazon Link")</f>
        <v/>
      </c>
      <c r="G561" s="19" t="inlineStr">
        <is>
          <t>https://www.jcpenney.com/s?searchTerm={search_term}</t>
        </is>
      </c>
      <c r="H561" s="23" t="inlineStr">
        <is>
          <t>197672666556</t>
        </is>
      </c>
      <c r="I561" s="19">
        <f>HYPERLINK("https://www.jcpenney.com/s?searchTerm=197672666556", "Retail Link")</f>
        <v/>
      </c>
      <c r="J561" s="23" t="inlineStr">
        <is>
          <t>n/a</t>
        </is>
      </c>
      <c r="K561" s="21" t="inlineStr">
        <is>
          <t>Women's Puma Club Pearl SD Puma Black-Puma Black-White (401820 03) - 8.5</t>
        </is>
      </c>
      <c r="L561" s="24" t="n">
        <v>66.5</v>
      </c>
      <c r="M561" s="24" t="n">
        <v>74.95</v>
      </c>
      <c r="N561" s="24" t="n"/>
      <c r="O561" s="24">
        <f>V561-M561</f>
        <v/>
      </c>
      <c r="P561" s="25">
        <f>N561/L561</f>
        <v/>
      </c>
      <c r="Q561" s="23" t="n"/>
      <c r="R561" s="23" t="n"/>
      <c r="S561" s="26" t="n"/>
      <c r="T561" s="24" t="n">
        <v>74.95</v>
      </c>
      <c r="U561" s="24" t="n">
        <v>74.95</v>
      </c>
      <c r="V561" s="24" t="n">
        <v>74.95</v>
      </c>
      <c r="W561" s="26" t="inlineStr">
        <is>
          <t>New!PUMA Club Pearl Sd Womens Sneakers</t>
        </is>
      </c>
      <c r="X561" s="23" t="n">
        <v>1</v>
      </c>
      <c r="Y561" s="18">
        <f>AC561-AB561</f>
        <v/>
      </c>
      <c r="Z561" s="27" t="n">
        <v>-1</v>
      </c>
      <c r="AA561" s="27" t="n">
        <v>-1</v>
      </c>
      <c r="AB561" s="27" t="n"/>
      <c r="AC561" s="27" t="n"/>
      <c r="AD561" s="1" t="inlineStr"/>
      <c r="AE561" s="1" t="inlineStr">
        <is>
          <t>Puma Black-puma Black-white</t>
        </is>
      </c>
      <c r="AF561" s="4" t="inlineStr"/>
      <c r="AG561" s="4" t="inlineStr"/>
    </row>
    <row r="562" ht="47.25" customHeight="1">
      <c r="A562" s="18" t="inlineStr">
        <is>
          <t>197672666617</t>
        </is>
      </c>
      <c r="B562" s="19" t="inlineStr">
        <is>
          <t>https://www.amazon.com/dp/</t>
        </is>
      </c>
      <c r="C562" s="20" t="inlineStr">
        <is>
          <t>B0DK82JMZR</t>
        </is>
      </c>
      <c r="D562" s="44" t="n"/>
      <c r="E562" s="23" t="inlineStr">
        <is>
          <t>?th=1&amp;psc=1&amp;tag=sdcdeals03-20</t>
        </is>
      </c>
      <c r="F562" s="19">
        <f>HYPERLINK("https://redirect.sdcdeals.com/redirect?destination=https%3A%2F%2Fwww.amazon.com%2Fdp%2FB0DK82JMZR%3Fth%3D1%26psc%3D1%26tag%3Dsdcdeals03-20", "Amazon Link")</f>
        <v/>
      </c>
      <c r="G562" s="19" t="inlineStr">
        <is>
          <t>https://www.jcpenney.com/s?searchTerm={search_term}</t>
        </is>
      </c>
      <c r="H562" s="23" t="inlineStr">
        <is>
          <t>197672666617</t>
        </is>
      </c>
      <c r="I562" s="19">
        <f>HYPERLINK("https://www.jcpenney.com/s?searchTerm=197672666617", "Retail Link")</f>
        <v/>
      </c>
      <c r="J562" s="23" t="inlineStr">
        <is>
          <t>n/a</t>
        </is>
      </c>
      <c r="K562" s="21" t="inlineStr">
        <is>
          <t>Women's Puma Club Pearl SD Puma Black-Puma Black-White (401820 03) - 9</t>
        </is>
      </c>
      <c r="L562" s="24" t="n">
        <v>66.5</v>
      </c>
      <c r="M562" s="24" t="n">
        <v>74.95</v>
      </c>
      <c r="N562" s="24" t="n"/>
      <c r="O562" s="24">
        <f>V562-M562</f>
        <v/>
      </c>
      <c r="P562" s="25">
        <f>N562/L562</f>
        <v/>
      </c>
      <c r="Q562" s="23" t="n"/>
      <c r="R562" s="23" t="n"/>
      <c r="S562" s="26" t="n"/>
      <c r="T562" s="24" t="n">
        <v>74.95</v>
      </c>
      <c r="U562" s="24" t="n">
        <v>74.95</v>
      </c>
      <c r="V562" s="24" t="n">
        <v>74.95</v>
      </c>
      <c r="W562" s="26" t="inlineStr">
        <is>
          <t>New!PUMA Club Pearl Sd Womens Sneakers</t>
        </is>
      </c>
      <c r="X562" s="23" t="n">
        <v>1</v>
      </c>
      <c r="Y562" s="18">
        <f>AC562-AB562</f>
        <v/>
      </c>
      <c r="Z562" s="27" t="n">
        <v>-1</v>
      </c>
      <c r="AA562" s="27" t="n">
        <v>-1</v>
      </c>
      <c r="AB562" s="27" t="n"/>
      <c r="AC562" s="27" t="n"/>
      <c r="AD562" s="1" t="inlineStr"/>
      <c r="AE562" s="1" t="inlineStr">
        <is>
          <t>Puma Black-puma Black-white</t>
        </is>
      </c>
      <c r="AF562" s="4" t="inlineStr"/>
      <c r="AG562" s="4" t="inlineStr"/>
    </row>
    <row r="563" ht="47.25" customHeight="1">
      <c r="A563" s="18" t="inlineStr">
        <is>
          <t>197672666624</t>
        </is>
      </c>
      <c r="B563" s="19" t="inlineStr">
        <is>
          <t>https://www.amazon.com/dp/</t>
        </is>
      </c>
      <c r="C563" s="20" t="inlineStr">
        <is>
          <t>B0DK8221K8</t>
        </is>
      </c>
      <c r="D563" s="44" t="n"/>
      <c r="E563" s="23" t="inlineStr">
        <is>
          <t>?th=1&amp;psc=1&amp;tag=sdcdeals03-20</t>
        </is>
      </c>
      <c r="F563" s="19">
        <f>HYPERLINK("https://redirect.sdcdeals.com/redirect?destination=https%3A%2F%2Fwww.amazon.com%2Fdp%2FB0DK8221K8%3Fth%3D1%26psc%3D1%26tag%3Dsdcdeals03-20", "Amazon Link")</f>
        <v/>
      </c>
      <c r="G563" s="19" t="inlineStr">
        <is>
          <t>https://www.jcpenney.com/s?searchTerm={search_term}</t>
        </is>
      </c>
      <c r="H563" s="23" t="inlineStr">
        <is>
          <t>197672666624</t>
        </is>
      </c>
      <c r="I563" s="19">
        <f>HYPERLINK("https://www.jcpenney.com/s?searchTerm=197672666624", "Retail Link")</f>
        <v/>
      </c>
      <c r="J563" s="23" t="inlineStr">
        <is>
          <t>n/a</t>
        </is>
      </c>
      <c r="K563" s="21" t="inlineStr">
        <is>
          <t>Women's Puma Club Pearl SD Puma Black-Puma Black-White (401820 03) - 10</t>
        </is>
      </c>
      <c r="L563" s="24" t="n">
        <v>66.5</v>
      </c>
      <c r="M563" s="24" t="n">
        <v>74.95</v>
      </c>
      <c r="N563" s="24" t="n"/>
      <c r="O563" s="24">
        <f>V563-M563</f>
        <v/>
      </c>
      <c r="P563" s="25">
        <f>N563/L563</f>
        <v/>
      </c>
      <c r="Q563" s="23" t="n"/>
      <c r="R563" s="23" t="n"/>
      <c r="S563" s="26" t="n"/>
      <c r="T563" s="24" t="n">
        <v>74.95</v>
      </c>
      <c r="U563" s="24" t="inlineStr"/>
      <c r="V563" s="24" t="inlineStr"/>
      <c r="W563" s="26" t="inlineStr">
        <is>
          <t>New!PUMA Club Pearl Sd Womens Sneakers</t>
        </is>
      </c>
      <c r="X563" s="23" t="n">
        <v>1</v>
      </c>
      <c r="Y563" s="18">
        <f>AC563-AB563</f>
        <v/>
      </c>
      <c r="Z563" s="27" t="n">
        <v>-1</v>
      </c>
      <c r="AA563" s="27" t="n">
        <v>-1</v>
      </c>
      <c r="AB563" s="27" t="n"/>
      <c r="AC563" s="27" t="n"/>
      <c r="AD563" s="1" t="inlineStr"/>
      <c r="AE563" s="1" t="inlineStr">
        <is>
          <t>Puma Black-puma Black-white</t>
        </is>
      </c>
      <c r="AF563" s="4" t="inlineStr"/>
      <c r="AG563" s="4" t="inlineStr"/>
    </row>
    <row r="564" ht="47.25" customHeight="1">
      <c r="A564" s="18" t="inlineStr">
        <is>
          <t>197672666631</t>
        </is>
      </c>
      <c r="B564" s="19" t="inlineStr">
        <is>
          <t>https://www.amazon.com/dp/</t>
        </is>
      </c>
      <c r="C564" s="20" t="inlineStr">
        <is>
          <t>B0DK83B84X</t>
        </is>
      </c>
      <c r="D564" s="44" t="n"/>
      <c r="E564" s="23" t="inlineStr">
        <is>
          <t>?th=1&amp;psc=1&amp;tag=sdcdeals03-20</t>
        </is>
      </c>
      <c r="F564" s="19">
        <f>HYPERLINK("https://redirect.sdcdeals.com/redirect?destination=https%3A%2F%2Fwww.amazon.com%2Fdp%2FB0DK83B84X%3Fth%3D1%26psc%3D1%26tag%3Dsdcdeals03-20", "Amazon Link")</f>
        <v/>
      </c>
      <c r="G564" s="19" t="inlineStr">
        <is>
          <t>https://www.jcpenney.com/s?searchTerm={search_term}</t>
        </is>
      </c>
      <c r="H564" s="23" t="inlineStr">
        <is>
          <t>197672666631</t>
        </is>
      </c>
      <c r="I564" s="19">
        <f>HYPERLINK("https://www.jcpenney.com/s?searchTerm=197672666631", "Retail Link")</f>
        <v/>
      </c>
      <c r="J564" s="23" t="inlineStr">
        <is>
          <t>n/a</t>
        </is>
      </c>
      <c r="K564" s="21" t="inlineStr">
        <is>
          <t>Women's Puma Club Pearl SD Puma Black-Puma Black-White (401820 03) - 11</t>
        </is>
      </c>
      <c r="L564" s="24" t="n">
        <v>66.5</v>
      </c>
      <c r="M564" s="24" t="n">
        <v>74.95</v>
      </c>
      <c r="N564" s="24" t="n"/>
      <c r="O564" s="24">
        <f>V564-M564</f>
        <v/>
      </c>
      <c r="P564" s="25">
        <f>N564/L564</f>
        <v/>
      </c>
      <c r="Q564" s="23" t="n"/>
      <c r="R564" s="23" t="n"/>
      <c r="S564" s="26" t="n"/>
      <c r="T564" s="24" t="n">
        <v>74.95</v>
      </c>
      <c r="U564" s="24" t="n">
        <v>74.95</v>
      </c>
      <c r="V564" s="24" t="n">
        <v>74.95</v>
      </c>
      <c r="W564" s="26" t="inlineStr">
        <is>
          <t>New!PUMA Club Pearl Sd Womens Sneakers</t>
        </is>
      </c>
      <c r="X564" s="23" t="n">
        <v>1</v>
      </c>
      <c r="Y564" s="18">
        <f>AC564-AB564</f>
        <v/>
      </c>
      <c r="Z564" s="27" t="n">
        <v>-1</v>
      </c>
      <c r="AA564" s="27" t="n">
        <v>-1</v>
      </c>
      <c r="AB564" s="27" t="n"/>
      <c r="AC564" s="27" t="n"/>
      <c r="AD564" s="1" t="inlineStr"/>
      <c r="AE564" s="1" t="inlineStr">
        <is>
          <t>Puma Black-puma Black-white</t>
        </is>
      </c>
      <c r="AF564" s="4" t="inlineStr"/>
      <c r="AG564" s="4" t="inlineStr"/>
    </row>
    <row r="565" ht="47.25" customHeight="1">
      <c r="A565" s="18" t="inlineStr">
        <is>
          <t>195739840369</t>
        </is>
      </c>
      <c r="B565" s="19" t="inlineStr">
        <is>
          <t>https://www.amazon.com/dp/</t>
        </is>
      </c>
      <c r="C565" s="20" t="inlineStr">
        <is>
          <t>B09KMJV1HW</t>
        </is>
      </c>
      <c r="D565" s="44" t="n"/>
      <c r="E565" s="23" t="inlineStr">
        <is>
          <t>?th=1&amp;psc=1&amp;tag=sdcdeals03-20</t>
        </is>
      </c>
      <c r="F565" s="19">
        <f>HYPERLINK("https://redirect.sdcdeals.com/redirect?destination=https%3A%2F%2Fwww.amazon.com%2Fdp%2FB09KMJV1HW%3Fth%3D1%26psc%3D1%26tag%3Dsdcdeals03-20", "Amazon Link")</f>
        <v/>
      </c>
      <c r="G565" s="19" t="inlineStr">
        <is>
          <t>https://www.jcpenney.com/s?searchTerm={search_term}</t>
        </is>
      </c>
      <c r="H565" s="23" t="inlineStr">
        <is>
          <t>195739840369</t>
        </is>
      </c>
      <c r="I565" s="19">
        <f>HYPERLINK("https://www.jcpenney.com/s?searchTerm=195739840369", "Retail Link")</f>
        <v/>
      </c>
      <c r="J565" s="23" t="inlineStr">
        <is>
          <t>n/a</t>
        </is>
      </c>
      <c r="K565" s="21" t="inlineStr">
        <is>
          <t>adidas Women's Grand Court 2.0 Tennis Shoe</t>
        </is>
      </c>
      <c r="L565" s="24" t="n"/>
      <c r="M565" s="24" t="n">
        <v>69.95</v>
      </c>
      <c r="N565" s="24" t="n"/>
      <c r="O565" s="24">
        <f>V565-M565</f>
        <v/>
      </c>
      <c r="P565" s="25">
        <f>N565/L565</f>
        <v/>
      </c>
      <c r="Q565" s="23" t="n">
        <v>3965</v>
      </c>
      <c r="R565" s="23" t="n"/>
      <c r="S565" s="26" t="n">
        <v>1.7085805</v>
      </c>
      <c r="T565" s="24" t="n">
        <v>69.95</v>
      </c>
      <c r="U565" s="24" t="n">
        <v>62.7</v>
      </c>
      <c r="V565" s="24" t="n">
        <v>65.70999999999999</v>
      </c>
      <c r="W565" s="26" t="inlineStr">
        <is>
          <t>adidas Grand Court 2.0 Womens Sneakers</t>
        </is>
      </c>
      <c r="X565" s="23" t="n">
        <v>5</v>
      </c>
      <c r="Y565" s="18">
        <f>AC565-AB565</f>
        <v/>
      </c>
      <c r="Z565" s="27" t="n">
        <v>49</v>
      </c>
      <c r="AA565" s="27" t="n">
        <v>140</v>
      </c>
      <c r="AB565" s="27" t="n">
        <v>3</v>
      </c>
      <c r="AC565" s="27" t="n">
        <v>2738</v>
      </c>
      <c r="AD565" s="1" t="inlineStr">
        <is>
          <t>LIT87</t>
        </is>
      </c>
      <c r="AE565" s="1" t="inlineStr">
        <is>
          <t>White/White/Gold Metallic</t>
        </is>
      </c>
      <c r="AF565" s="4" t="n">
        <v>10.49</v>
      </c>
      <c r="AG565" s="4" t="n">
        <v>7.03</v>
      </c>
    </row>
    <row r="566" ht="47.25" customHeight="1">
      <c r="A566" s="18" t="inlineStr">
        <is>
          <t>195739844725</t>
        </is>
      </c>
      <c r="B566" s="19" t="inlineStr">
        <is>
          <t>https://www.amazon.com/dp/</t>
        </is>
      </c>
      <c r="C566" s="20" t="inlineStr">
        <is>
          <t>B09KMJ5LDJ</t>
        </is>
      </c>
      <c r="D566" s="44" t="n"/>
      <c r="E566" s="23" t="inlineStr">
        <is>
          <t>?th=1&amp;psc=1&amp;tag=sdcdeals03-20</t>
        </is>
      </c>
      <c r="F566" s="19">
        <f>HYPERLINK("https://redirect.sdcdeals.com/redirect?destination=https%3A%2F%2Fwww.amazon.com%2Fdp%2FB09KMJ5LDJ%3Fth%3D1%26psc%3D1%26tag%3Dsdcdeals03-20", "Amazon Link")</f>
        <v/>
      </c>
      <c r="G566" s="19" t="inlineStr">
        <is>
          <t>https://www.jcpenney.com/s?searchTerm={search_term}</t>
        </is>
      </c>
      <c r="H566" s="23" t="inlineStr">
        <is>
          <t>195739844725</t>
        </is>
      </c>
      <c r="I566" s="19">
        <f>HYPERLINK("https://www.jcpenney.com/s?searchTerm=195739844725", "Retail Link")</f>
        <v/>
      </c>
      <c r="J566" s="23" t="inlineStr">
        <is>
          <t>n/a</t>
        </is>
      </c>
      <c r="K566" s="21" t="inlineStr">
        <is>
          <t>adidas Women's Grand Court 2.0 Tennis Shoe</t>
        </is>
      </c>
      <c r="L566" s="24" t="n"/>
      <c r="M566" s="24" t="n">
        <v>66.94</v>
      </c>
      <c r="N566" s="24" t="n"/>
      <c r="O566" s="24">
        <f>V566-M566</f>
        <v/>
      </c>
      <c r="P566" s="25">
        <f>N566/L566</f>
        <v/>
      </c>
      <c r="Q566" s="23" t="n">
        <v>8133</v>
      </c>
      <c r="R566" s="23" t="n">
        <v>50</v>
      </c>
      <c r="S566" s="26" t="n">
        <v>1.6093726</v>
      </c>
      <c r="T566" s="24" t="n">
        <v>66.94</v>
      </c>
      <c r="U566" s="24" t="n">
        <v>62.95</v>
      </c>
      <c r="V566" s="24" t="n">
        <v>63.62</v>
      </c>
      <c r="W566" s="26" t="inlineStr">
        <is>
          <t>adidas Grand Court 2.0 Womens Sneakers</t>
        </is>
      </c>
      <c r="X566" s="23" t="n">
        <v>5</v>
      </c>
      <c r="Y566" s="18">
        <f>AC566-AB566</f>
        <v/>
      </c>
      <c r="Z566" s="27" t="n">
        <v>74</v>
      </c>
      <c r="AA566" s="27" t="n">
        <v>171</v>
      </c>
      <c r="AB566" s="27" t="n">
        <v>11</v>
      </c>
      <c r="AC566" s="27" t="n">
        <v>3634</v>
      </c>
      <c r="AD566" s="1" t="inlineStr">
        <is>
          <t>LIT87</t>
        </is>
      </c>
      <c r="AE566" s="1" t="inlineStr">
        <is>
          <t>White/White/Gold Metallic</t>
        </is>
      </c>
      <c r="AF566" s="4" t="n">
        <v>10.04</v>
      </c>
      <c r="AG566" s="4" t="n">
        <v>7.03</v>
      </c>
    </row>
    <row r="567" ht="47.25" customHeight="1">
      <c r="A567" s="18" t="inlineStr">
        <is>
          <t>195739844756</t>
        </is>
      </c>
      <c r="B567" s="19" t="inlineStr">
        <is>
          <t>https://www.amazon.com/dp/</t>
        </is>
      </c>
      <c r="C567" s="20" t="inlineStr">
        <is>
          <t>B09KMJJYHW</t>
        </is>
      </c>
      <c r="D567" s="44" t="n"/>
      <c r="E567" s="23" t="inlineStr">
        <is>
          <t>?th=1&amp;psc=1&amp;tag=sdcdeals03-20</t>
        </is>
      </c>
      <c r="F567" s="19">
        <f>HYPERLINK("https://redirect.sdcdeals.com/redirect?destination=https%3A%2F%2Fwww.amazon.com%2Fdp%2FB09KMJJYHW%3Fth%3D1%26psc%3D1%26tag%3Dsdcdeals03-20", "Amazon Link")</f>
        <v/>
      </c>
      <c r="G567" s="19" t="inlineStr">
        <is>
          <t>https://www.jcpenney.com/s?searchTerm={search_term}</t>
        </is>
      </c>
      <c r="H567" s="23" t="inlineStr">
        <is>
          <t>195739844756</t>
        </is>
      </c>
      <c r="I567" s="19">
        <f>HYPERLINK("https://www.jcpenney.com/s?searchTerm=195739844756", "Retail Link")</f>
        <v/>
      </c>
      <c r="J567" s="23" t="inlineStr">
        <is>
          <t>n/a</t>
        </is>
      </c>
      <c r="K567" s="21" t="inlineStr">
        <is>
          <t>adidas Women's Grand Court 2.0 Tennis Shoe</t>
        </is>
      </c>
      <c r="L567" s="24" t="n"/>
      <c r="M567" s="24" t="n">
        <v>69.98999999999999</v>
      </c>
      <c r="N567" s="24" t="n"/>
      <c r="O567" s="24">
        <f>V567-M567</f>
        <v/>
      </c>
      <c r="P567" s="25">
        <f>N567/L567</f>
        <v/>
      </c>
      <c r="Q567" s="23" t="n">
        <v>3965</v>
      </c>
      <c r="R567" s="23" t="n">
        <v>50</v>
      </c>
      <c r="S567" s="26" t="n">
        <v>1.79015144</v>
      </c>
      <c r="T567" s="24" t="n">
        <v>69.84999999999999</v>
      </c>
      <c r="U567" s="24" t="n">
        <v>60.2</v>
      </c>
      <c r="V567" s="24" t="n">
        <v>60.84</v>
      </c>
      <c r="W567" s="26" t="inlineStr">
        <is>
          <t>adidas Grand Court 2.0 Womens Sneakers</t>
        </is>
      </c>
      <c r="X567" s="23" t="n">
        <v>9</v>
      </c>
      <c r="Y567" s="18">
        <f>AC567-AB567</f>
        <v/>
      </c>
      <c r="Z567" s="27" t="n">
        <v>109</v>
      </c>
      <c r="AA567" s="27" t="n">
        <v>266</v>
      </c>
      <c r="AB567" s="27" t="n">
        <v>35</v>
      </c>
      <c r="AC567" s="27" t="n">
        <v>2740</v>
      </c>
      <c r="AD567" s="1" t="inlineStr">
        <is>
          <t>LIT87</t>
        </is>
      </c>
      <c r="AE567" s="1" t="inlineStr">
        <is>
          <t>White/White/Gold Metallic</t>
        </is>
      </c>
      <c r="AF567" s="4" t="n">
        <v>10.5</v>
      </c>
      <c r="AG567" s="4" t="n">
        <v>6.61</v>
      </c>
    </row>
    <row r="568" ht="47.25" customHeight="1">
      <c r="A568" s="18" t="inlineStr">
        <is>
          <t>195739840352</t>
        </is>
      </c>
      <c r="B568" s="19" t="inlineStr">
        <is>
          <t>https://www.amazon.com/dp/</t>
        </is>
      </c>
      <c r="C568" s="20" t="inlineStr">
        <is>
          <t>B09KMHYNP1</t>
        </is>
      </c>
      <c r="D568" s="44" t="n"/>
      <c r="E568" s="23" t="inlineStr">
        <is>
          <t>?th=1&amp;psc=1&amp;tag=sdcdeals03-20</t>
        </is>
      </c>
      <c r="F568" s="19">
        <f>HYPERLINK("https://redirect.sdcdeals.com/redirect?destination=https%3A%2F%2Fwww.amazon.com%2Fdp%2FB09KMHYNP1%3Fth%3D1%26psc%3D1%26tag%3Dsdcdeals03-20", "Amazon Link")</f>
        <v/>
      </c>
      <c r="G568" s="19" t="inlineStr">
        <is>
          <t>https://www.jcpenney.com/s?searchTerm={search_term}</t>
        </is>
      </c>
      <c r="H568" s="23" t="inlineStr">
        <is>
          <t>195739840352</t>
        </is>
      </c>
      <c r="I568" s="19">
        <f>HYPERLINK("https://www.jcpenney.com/s?searchTerm=195739840352", "Retail Link")</f>
        <v/>
      </c>
      <c r="J568" s="23" t="inlineStr">
        <is>
          <t>n/a</t>
        </is>
      </c>
      <c r="K568" s="21" t="inlineStr">
        <is>
          <t>adidas Women's Grand Court 2.0 Tennis Shoe</t>
        </is>
      </c>
      <c r="L568" s="24" t="n"/>
      <c r="M568" s="24" t="n">
        <v>69.95</v>
      </c>
      <c r="N568" s="24" t="n"/>
      <c r="O568" s="24">
        <f>V568-M568</f>
        <v/>
      </c>
      <c r="P568" s="25">
        <f>N568/L568</f>
        <v/>
      </c>
      <c r="Q568" s="23" t="n">
        <v>8133</v>
      </c>
      <c r="R568" s="23" t="n">
        <v>100</v>
      </c>
      <c r="S568" s="26" t="n">
        <v>1.73944518</v>
      </c>
      <c r="T568" s="24" t="n">
        <v>69.84999999999999</v>
      </c>
      <c r="U568" s="24" t="n">
        <v>58.24</v>
      </c>
      <c r="V568" s="24" t="n">
        <v>58.74</v>
      </c>
      <c r="W568" s="26" t="inlineStr">
        <is>
          <t>adidas Grand Court 2.0 Womens Sneakers</t>
        </is>
      </c>
      <c r="X568" s="23" t="n">
        <v>11</v>
      </c>
      <c r="Y568" s="18">
        <f>AC568-AB568</f>
        <v/>
      </c>
      <c r="Z568" s="27" t="n">
        <v>77</v>
      </c>
      <c r="AA568" s="27" t="n">
        <v>179</v>
      </c>
      <c r="AB568" s="27" t="n">
        <v>53</v>
      </c>
      <c r="AC568" s="27" t="n">
        <v>3635</v>
      </c>
      <c r="AD568" s="1" t="inlineStr">
        <is>
          <t>LIT87</t>
        </is>
      </c>
      <c r="AE568" s="1" t="inlineStr">
        <is>
          <t>White/White/Gold Metallic</t>
        </is>
      </c>
      <c r="AF568" s="4" t="n">
        <v>10.49</v>
      </c>
      <c r="AG568" s="4" t="n">
        <v>7.7</v>
      </c>
    </row>
    <row r="569" ht="47.25" customHeight="1">
      <c r="A569" s="18" t="inlineStr">
        <is>
          <t>195739844794</t>
        </is>
      </c>
      <c r="B569" s="19" t="inlineStr">
        <is>
          <t>https://www.amazon.com/dp/</t>
        </is>
      </c>
      <c r="C569" s="20" t="inlineStr">
        <is>
          <t>B09KMGGZQJ</t>
        </is>
      </c>
      <c r="D569" s="44" t="n"/>
      <c r="E569" s="23" t="inlineStr">
        <is>
          <t>?th=1&amp;psc=1&amp;tag=sdcdeals03-20</t>
        </is>
      </c>
      <c r="F569" s="19">
        <f>HYPERLINK("https://redirect.sdcdeals.com/redirect?destination=https%3A%2F%2Fwww.amazon.com%2Fdp%2FB09KMGGZQJ%3Fth%3D1%26psc%3D1%26tag%3Dsdcdeals03-20", "Amazon Link")</f>
        <v/>
      </c>
      <c r="G569" s="19" t="inlineStr">
        <is>
          <t>https://www.jcpenney.com/s?searchTerm={search_term}</t>
        </is>
      </c>
      <c r="H569" s="23" t="inlineStr">
        <is>
          <t>195739844794</t>
        </is>
      </c>
      <c r="I569" s="19">
        <f>HYPERLINK("https://www.jcpenney.com/s?searchTerm=195739844794", "Retail Link")</f>
        <v/>
      </c>
      <c r="J569" s="23" t="inlineStr">
        <is>
          <t>n/a</t>
        </is>
      </c>
      <c r="K569" s="21" t="inlineStr">
        <is>
          <t>adidas Women's Grand Court 2.0 Tennis Shoe</t>
        </is>
      </c>
      <c r="L569" s="24" t="n"/>
      <c r="M569" s="24" t="n">
        <v>67.98999999999999</v>
      </c>
      <c r="N569" s="24" t="n"/>
      <c r="O569" s="24">
        <f>V569-M569</f>
        <v/>
      </c>
      <c r="P569" s="25">
        <f>N569/L569</f>
        <v/>
      </c>
      <c r="Q569" s="23" t="n">
        <v>8133</v>
      </c>
      <c r="R569" s="23" t="n">
        <v>100</v>
      </c>
      <c r="S569" s="26" t="n">
        <v>1.89376858</v>
      </c>
      <c r="T569" s="24" t="n">
        <v>67.98999999999999</v>
      </c>
      <c r="U569" s="24" t="n">
        <v>60.88</v>
      </c>
      <c r="V569" s="24" t="n">
        <v>60.16</v>
      </c>
      <c r="W569" s="26" t="inlineStr">
        <is>
          <t>adidas Grand Court 2.0 Womens Sneakers</t>
        </is>
      </c>
      <c r="X569" s="23" t="n">
        <v>12</v>
      </c>
      <c r="Y569" s="18">
        <f>AC569-AB569</f>
        <v/>
      </c>
      <c r="Z569" s="27" t="n">
        <v>83</v>
      </c>
      <c r="AA569" s="27" t="n">
        <v>182</v>
      </c>
      <c r="AB569" s="27" t="n">
        <v>70</v>
      </c>
      <c r="AC569" s="27" t="n">
        <v>3633</v>
      </c>
      <c r="AD569" s="1" t="inlineStr">
        <is>
          <t>LIT87</t>
        </is>
      </c>
      <c r="AE569" s="1" t="inlineStr">
        <is>
          <t>White/White/Gold Metallic</t>
        </is>
      </c>
      <c r="AF569" s="4" t="n">
        <v>10.2</v>
      </c>
      <c r="AG569" s="4" t="n">
        <v>7.7</v>
      </c>
    </row>
    <row r="570" ht="47.25" customHeight="1">
      <c r="A570" s="18" t="inlineStr">
        <is>
          <t>195739844732</t>
        </is>
      </c>
      <c r="B570" s="19" t="inlineStr">
        <is>
          <t>https://www.amazon.com/dp/</t>
        </is>
      </c>
      <c r="C570" s="20" t="inlineStr">
        <is>
          <t>B09KMGPHYJ</t>
        </is>
      </c>
      <c r="D570" s="44" t="n"/>
      <c r="E570" s="23" t="inlineStr">
        <is>
          <t>?th=1&amp;psc=1&amp;tag=sdcdeals03-20</t>
        </is>
      </c>
      <c r="F570" s="19">
        <f>HYPERLINK("https://redirect.sdcdeals.com/redirect?destination=https%3A%2F%2Fwww.amazon.com%2Fdp%2FB09KMGPHYJ%3Fth%3D1%26psc%3D1%26tag%3Dsdcdeals03-20", "Amazon Link")</f>
        <v/>
      </c>
      <c r="G570" s="19" t="inlineStr">
        <is>
          <t>https://www.jcpenney.com/s?searchTerm={search_term}</t>
        </is>
      </c>
      <c r="H570" s="23" t="inlineStr">
        <is>
          <t>195739844732</t>
        </is>
      </c>
      <c r="I570" s="19">
        <f>HYPERLINK("https://www.jcpenney.com/s?searchTerm=195739844732", "Retail Link")</f>
        <v/>
      </c>
      <c r="J570" s="23" t="inlineStr">
        <is>
          <t>n/a</t>
        </is>
      </c>
      <c r="K570" s="21" t="inlineStr">
        <is>
          <t>adidas Women's Grand Court 2.0 Tennis Shoe</t>
        </is>
      </c>
      <c r="L570" s="24" t="n"/>
      <c r="M570" s="24" t="n">
        <v>69.95</v>
      </c>
      <c r="N570" s="24" t="n"/>
      <c r="O570" s="24">
        <f>V570-M570</f>
        <v/>
      </c>
      <c r="P570" s="25">
        <f>N570/L570</f>
        <v/>
      </c>
      <c r="Q570" s="23" t="n">
        <v>3965</v>
      </c>
      <c r="R570" s="23" t="n">
        <v>200</v>
      </c>
      <c r="S570" s="26" t="n">
        <v>1.86951776</v>
      </c>
      <c r="T570" s="24" t="n">
        <v>69.94</v>
      </c>
      <c r="U570" s="24" t="n">
        <v>57.45</v>
      </c>
      <c r="V570" s="24" t="n">
        <v>58.26</v>
      </c>
      <c r="W570" s="26" t="inlineStr">
        <is>
          <t>adidas Grand Court 2.0 Womens Sneakers</t>
        </is>
      </c>
      <c r="X570" s="23" t="n">
        <v>12</v>
      </c>
      <c r="Y570" s="18">
        <f>AC570-AB570</f>
        <v/>
      </c>
      <c r="Z570" s="27" t="n">
        <v>67</v>
      </c>
      <c r="AA570" s="27" t="n">
        <v>166</v>
      </c>
      <c r="AB570" s="27" t="n">
        <v>110</v>
      </c>
      <c r="AC570" s="27" t="n">
        <v>2738</v>
      </c>
      <c r="AD570" s="1" t="inlineStr">
        <is>
          <t>LIT87</t>
        </is>
      </c>
      <c r="AE570" s="1" t="inlineStr">
        <is>
          <t>White/White/Gold Metallic</t>
        </is>
      </c>
      <c r="AF570" s="4" t="n">
        <v>10.49</v>
      </c>
      <c r="AG570" s="4" t="n">
        <v>7.7</v>
      </c>
    </row>
    <row r="571" ht="47.25" customHeight="1">
      <c r="A571" s="18" t="inlineStr">
        <is>
          <t>195739844770</t>
        </is>
      </c>
      <c r="B571" s="19" t="inlineStr">
        <is>
          <t>https://www.amazon.com/dp/</t>
        </is>
      </c>
      <c r="C571" s="20" t="inlineStr">
        <is>
          <t>B09KMLH81B</t>
        </is>
      </c>
      <c r="D571" s="44" t="n"/>
      <c r="E571" s="23" t="inlineStr">
        <is>
          <t>?th=1&amp;psc=1&amp;tag=sdcdeals03-20</t>
        </is>
      </c>
      <c r="F571" s="19">
        <f>HYPERLINK("https://redirect.sdcdeals.com/redirect?destination=https%3A%2F%2Fwww.amazon.com%2Fdp%2FB09KMLH81B%3Fth%3D1%26psc%3D1%26tag%3Dsdcdeals03-20", "Amazon Link")</f>
        <v/>
      </c>
      <c r="G571" s="19" t="inlineStr">
        <is>
          <t>https://www.jcpenney.com/s?searchTerm={search_term}</t>
        </is>
      </c>
      <c r="H571" s="23" t="inlineStr">
        <is>
          <t>195739844770</t>
        </is>
      </c>
      <c r="I571" s="19">
        <f>HYPERLINK("https://www.jcpenney.com/s?searchTerm=195739844770", "Retail Link")</f>
        <v/>
      </c>
      <c r="J571" s="23" t="inlineStr">
        <is>
          <t>n/a</t>
        </is>
      </c>
      <c r="K571" s="21" t="inlineStr">
        <is>
          <t>adidas Women's Grand Court 2.0 Tennis Shoe</t>
        </is>
      </c>
      <c r="L571" s="24" t="n"/>
      <c r="M571" s="24" t="n">
        <v>69.95</v>
      </c>
      <c r="N571" s="24" t="n"/>
      <c r="O571" s="24">
        <f>V571-M571</f>
        <v/>
      </c>
      <c r="P571" s="25">
        <f>N571/L571</f>
        <v/>
      </c>
      <c r="Q571" s="23" t="n">
        <v>8133</v>
      </c>
      <c r="R571" s="23" t="n">
        <v>300</v>
      </c>
      <c r="S571" s="26" t="n">
        <v>1.95990718</v>
      </c>
      <c r="T571" s="24" t="n">
        <v>69.95</v>
      </c>
      <c r="U571" s="24" t="n">
        <v>59.99</v>
      </c>
      <c r="V571" s="24" t="n">
        <v>61.6</v>
      </c>
      <c r="W571" s="26" t="inlineStr">
        <is>
          <t>adidas Grand Court 2.0 Womens Sneakers</t>
        </is>
      </c>
      <c r="X571" s="23" t="n">
        <v>16</v>
      </c>
      <c r="Y571" s="18">
        <f>AC571-AB571</f>
        <v/>
      </c>
      <c r="Z571" s="27" t="n">
        <v>74</v>
      </c>
      <c r="AA571" s="27" t="n">
        <v>207</v>
      </c>
      <c r="AB571" s="27" t="n">
        <v>113</v>
      </c>
      <c r="AC571" s="27" t="n">
        <v>3635</v>
      </c>
      <c r="AD571" s="1" t="inlineStr">
        <is>
          <t>LIT87</t>
        </is>
      </c>
      <c r="AE571" s="1" t="inlineStr">
        <is>
          <t>White/White/Gold Metallic</t>
        </is>
      </c>
      <c r="AF571" s="4" t="n">
        <v>10.49</v>
      </c>
      <c r="AG571" s="4" t="n">
        <v>7.78</v>
      </c>
    </row>
    <row r="572" ht="47.25" customHeight="1">
      <c r="A572" s="18" t="inlineStr">
        <is>
          <t>195739844787</t>
        </is>
      </c>
      <c r="B572" s="19" t="inlineStr">
        <is>
          <t>https://www.amazon.com/dp/</t>
        </is>
      </c>
      <c r="C572" s="20" t="inlineStr">
        <is>
          <t>B09KMJ39CR</t>
        </is>
      </c>
      <c r="D572" s="44" t="n"/>
      <c r="E572" s="23" t="inlineStr">
        <is>
          <t>?th=1&amp;psc=1&amp;tag=sdcdeals03-20</t>
        </is>
      </c>
      <c r="F572" s="19">
        <f>HYPERLINK("https://redirect.sdcdeals.com/redirect?destination=https%3A%2F%2Fwww.amazon.com%2Fdp%2FB09KMJ39CR%3Fth%3D1%26psc%3D1%26tag%3Dsdcdeals03-20", "Amazon Link")</f>
        <v/>
      </c>
      <c r="G572" s="19" t="inlineStr">
        <is>
          <t>https://www.jcpenney.com/s?searchTerm={search_term}</t>
        </is>
      </c>
      <c r="H572" s="23" t="inlineStr">
        <is>
          <t>195739844787</t>
        </is>
      </c>
      <c r="I572" s="19">
        <f>HYPERLINK("https://www.jcpenney.com/s?searchTerm=195739844787", "Retail Link")</f>
        <v/>
      </c>
      <c r="J572" s="23" t="inlineStr">
        <is>
          <t>n/a</t>
        </is>
      </c>
      <c r="K572" s="21" t="inlineStr">
        <is>
          <t>adidas Women's Grand Court 2.0 Tennis Shoe</t>
        </is>
      </c>
      <c r="L572" s="24" t="n"/>
      <c r="M572" s="24" t="n">
        <v>69.87</v>
      </c>
      <c r="N572" s="24" t="n"/>
      <c r="O572" s="24">
        <f>V572-M572</f>
        <v/>
      </c>
      <c r="P572" s="25">
        <f>N572/L572</f>
        <v/>
      </c>
      <c r="Q572" s="23" t="n">
        <v>8133</v>
      </c>
      <c r="R572" s="23" t="n">
        <v>200</v>
      </c>
      <c r="S572" s="26" t="n">
        <v>1.92022402</v>
      </c>
      <c r="T572" s="24" t="n">
        <v>68.90000000000001</v>
      </c>
      <c r="U572" s="24" t="n">
        <v>58.51</v>
      </c>
      <c r="V572" s="24" t="n">
        <v>58.51</v>
      </c>
      <c r="W572" s="26" t="inlineStr">
        <is>
          <t>adidas Grand Court 2.0 Womens Sneakers</t>
        </is>
      </c>
      <c r="X572" s="23" t="n">
        <v>14</v>
      </c>
      <c r="Y572" s="18">
        <f>AC572-AB572</f>
        <v/>
      </c>
      <c r="Z572" s="27" t="n">
        <v>66</v>
      </c>
      <c r="AA572" s="27" t="n">
        <v>179</v>
      </c>
      <c r="AB572" s="27" t="n">
        <v>103</v>
      </c>
      <c r="AC572" s="27" t="n">
        <v>3634</v>
      </c>
      <c r="AD572" s="1" t="inlineStr">
        <is>
          <t>LIT87</t>
        </is>
      </c>
      <c r="AE572" s="1" t="inlineStr">
        <is>
          <t>White/White/Gold Metallic</t>
        </is>
      </c>
      <c r="AF572" s="4" t="n">
        <v>10.48</v>
      </c>
      <c r="AG572" s="4" t="n">
        <v>7.78</v>
      </c>
    </row>
    <row r="573" ht="47.25" customHeight="1">
      <c r="A573" s="18" t="inlineStr">
        <is>
          <t>195739844718</t>
        </is>
      </c>
      <c r="B573" s="19" t="inlineStr">
        <is>
          <t>https://www.amazon.com/dp/</t>
        </is>
      </c>
      <c r="C573" s="20" t="inlineStr">
        <is>
          <t>B09KMJ6D7L</t>
        </is>
      </c>
      <c r="D573" s="44" t="n"/>
      <c r="E573" s="23" t="inlineStr">
        <is>
          <t>?th=1&amp;psc=1&amp;tag=sdcdeals03-20</t>
        </is>
      </c>
      <c r="F573" s="19">
        <f>HYPERLINK("https://redirect.sdcdeals.com/redirect?destination=https%3A%2F%2Fwww.amazon.com%2Fdp%2FB09KMJ6D7L%3Fth%3D1%26psc%3D1%26tag%3Dsdcdeals03-20", "Amazon Link")</f>
        <v/>
      </c>
      <c r="G573" s="19" t="inlineStr">
        <is>
          <t>https://www.jcpenney.com/s?searchTerm={search_term}</t>
        </is>
      </c>
      <c r="H573" s="23" t="inlineStr">
        <is>
          <t>195739844718</t>
        </is>
      </c>
      <c r="I573" s="19">
        <f>HYPERLINK("https://www.jcpenney.com/s?searchTerm=195739844718", "Retail Link")</f>
        <v/>
      </c>
      <c r="J573" s="23" t="inlineStr">
        <is>
          <t>n/a</t>
        </is>
      </c>
      <c r="K573" s="21" t="inlineStr">
        <is>
          <t>adidas Women's Grand Court 2.0 Tennis Shoe</t>
        </is>
      </c>
      <c r="L573" s="24" t="n"/>
      <c r="M573" s="24" t="n">
        <v>69.95</v>
      </c>
      <c r="N573" s="24" t="n"/>
      <c r="O573" s="24">
        <f>V573-M573</f>
        <v/>
      </c>
      <c r="P573" s="25">
        <f>N573/L573</f>
        <v/>
      </c>
      <c r="Q573" s="23" t="n">
        <v>7961</v>
      </c>
      <c r="R573" s="23" t="n">
        <v>200</v>
      </c>
      <c r="S573" s="26" t="n">
        <v>2.0502966</v>
      </c>
      <c r="T573" s="24" t="n">
        <v>69.93000000000001</v>
      </c>
      <c r="U573" s="24" t="n">
        <v>59.37</v>
      </c>
      <c r="V573" s="24" t="n">
        <v>61.21</v>
      </c>
      <c r="W573" s="26" t="inlineStr">
        <is>
          <t>adidas Grand Court 2.0 Womens Sneakers</t>
        </is>
      </c>
      <c r="X573" s="23" t="n">
        <v>13</v>
      </c>
      <c r="Y573" s="18">
        <f>AC573-AB573</f>
        <v/>
      </c>
      <c r="Z573" s="27" t="n">
        <v>54</v>
      </c>
      <c r="AA573" s="27" t="n">
        <v>155</v>
      </c>
      <c r="AB573" s="27" t="n">
        <v>120</v>
      </c>
      <c r="AC573" s="27" t="n">
        <v>3635</v>
      </c>
      <c r="AD573" s="1" t="inlineStr">
        <is>
          <t>LIT87</t>
        </is>
      </c>
      <c r="AE573" s="1" t="inlineStr">
        <is>
          <t>White/White/Gold Metallic</t>
        </is>
      </c>
      <c r="AF573" s="4" t="n">
        <v>10.49</v>
      </c>
      <c r="AG573" s="4" t="n">
        <v>7.86</v>
      </c>
    </row>
    <row r="574" ht="47.25" customHeight="1">
      <c r="A574" s="18" t="inlineStr">
        <is>
          <t>195739840376</t>
        </is>
      </c>
      <c r="B574" s="19" t="inlineStr">
        <is>
          <t>https://www.amazon.com/dp/</t>
        </is>
      </c>
      <c r="C574" s="20" t="inlineStr">
        <is>
          <t>B09KMGS7WY</t>
        </is>
      </c>
      <c r="D574" s="44" t="n"/>
      <c r="E574" s="23" t="inlineStr">
        <is>
          <t>?th=1&amp;psc=1&amp;tag=sdcdeals03-20</t>
        </is>
      </c>
      <c r="F574" s="19">
        <f>HYPERLINK("https://redirect.sdcdeals.com/redirect?destination=https%3A%2F%2Fwww.amazon.com%2Fdp%2FB09KMGS7WY%3Fth%3D1%26psc%3D1%26tag%3Dsdcdeals03-20", "Amazon Link")</f>
        <v/>
      </c>
      <c r="G574" s="19" t="inlineStr">
        <is>
          <t>https://www.jcpenney.com/s?searchTerm={search_term}</t>
        </is>
      </c>
      <c r="H574" s="23" t="inlineStr">
        <is>
          <t>195739840376</t>
        </is>
      </c>
      <c r="I574" s="19">
        <f>HYPERLINK("https://www.jcpenney.com/s?searchTerm=195739840376", "Retail Link")</f>
        <v/>
      </c>
      <c r="J574" s="23" t="inlineStr">
        <is>
          <t>n/a</t>
        </is>
      </c>
      <c r="K574" s="21" t="inlineStr">
        <is>
          <t>adidas Women's Grand Court 2.0 Tennis Shoe</t>
        </is>
      </c>
      <c r="L574" s="24" t="n"/>
      <c r="M574" s="24" t="n">
        <v>69.95</v>
      </c>
      <c r="N574" s="24" t="n"/>
      <c r="O574" s="24">
        <f>V574-M574</f>
        <v/>
      </c>
      <c r="P574" s="25">
        <f>N574/L574</f>
        <v/>
      </c>
      <c r="Q574" s="23" t="n">
        <v>8133</v>
      </c>
      <c r="R574" s="23" t="n">
        <v>50</v>
      </c>
      <c r="S574" s="26" t="n">
        <v>2.4691744</v>
      </c>
      <c r="T574" s="24" t="n">
        <v>69.95</v>
      </c>
      <c r="U574" s="24" t="n">
        <v>60.84</v>
      </c>
      <c r="V574" s="24" t="n">
        <v>60.44</v>
      </c>
      <c r="W574" s="26" t="inlineStr">
        <is>
          <t>adidas Grand Court 2.0 Womens Sneakers</t>
        </is>
      </c>
      <c r="X574" s="23" t="n">
        <v>9</v>
      </c>
      <c r="Y574" s="18">
        <f>AC574-AB574</f>
        <v/>
      </c>
      <c r="Z574" s="27" t="n">
        <v>92</v>
      </c>
      <c r="AA574" s="27" t="n">
        <v>197</v>
      </c>
      <c r="AB574" s="27" t="n">
        <v>42</v>
      </c>
      <c r="AC574" s="27" t="n">
        <v>3635</v>
      </c>
      <c r="AD574" s="1" t="inlineStr">
        <is>
          <t>LIT87</t>
        </is>
      </c>
      <c r="AE574" s="1" t="inlineStr">
        <is>
          <t>White/White/Gold Metallic</t>
        </is>
      </c>
      <c r="AF574" s="4" t="n">
        <v>10.49</v>
      </c>
      <c r="AG574" s="4" t="n">
        <v>8.74</v>
      </c>
    </row>
    <row r="575" ht="47.25" customHeight="1">
      <c r="A575" s="18" t="inlineStr">
        <is>
          <t>195739844749</t>
        </is>
      </c>
      <c r="B575" s="19" t="inlineStr">
        <is>
          <t>https://www.amazon.com/dp/</t>
        </is>
      </c>
      <c r="C575" s="20" t="inlineStr">
        <is>
          <t>B09KMJ8K9N</t>
        </is>
      </c>
      <c r="D575" s="44" t="n"/>
      <c r="E575" s="23" t="inlineStr">
        <is>
          <t>?th=1&amp;psc=1&amp;tag=sdcdeals03-20</t>
        </is>
      </c>
      <c r="F575" s="19">
        <f>HYPERLINK("https://redirect.sdcdeals.com/redirect?destination=https%3A%2F%2Fwww.amazon.com%2Fdp%2FB09KMJ8K9N%3Fth%3D1%26psc%3D1%26tag%3Dsdcdeals03-20", "Amazon Link")</f>
        <v/>
      </c>
      <c r="G575" s="19" t="inlineStr">
        <is>
          <t>https://www.jcpenney.com/s?searchTerm={search_term}</t>
        </is>
      </c>
      <c r="H575" s="23" t="inlineStr">
        <is>
          <t>195739844749</t>
        </is>
      </c>
      <c r="I575" s="19">
        <f>HYPERLINK("https://www.jcpenney.com/s?searchTerm=195739844749", "Retail Link")</f>
        <v/>
      </c>
      <c r="J575" s="23" t="inlineStr">
        <is>
          <t>n/a</t>
        </is>
      </c>
      <c r="K575" s="21" t="inlineStr">
        <is>
          <t>adidas Women's Grand Court 2.0 Tennis Shoe</t>
        </is>
      </c>
      <c r="L575" s="24" t="n"/>
      <c r="M575" s="24" t="n">
        <v>57</v>
      </c>
      <c r="N575" s="24" t="n"/>
      <c r="O575" s="24">
        <f>V575-M575</f>
        <v/>
      </c>
      <c r="P575" s="25">
        <f>N575/L575</f>
        <v/>
      </c>
      <c r="Q575" s="23" t="n">
        <v>3965</v>
      </c>
      <c r="R575" s="23" t="n">
        <v>100</v>
      </c>
      <c r="S575" s="26" t="n">
        <v>2.20021076</v>
      </c>
      <c r="T575" s="24" t="n">
        <v>57</v>
      </c>
      <c r="U575" s="24" t="n">
        <v>55.22</v>
      </c>
      <c r="V575" s="24" t="n">
        <v>56.75</v>
      </c>
      <c r="W575" s="26" t="inlineStr">
        <is>
          <t>adidas Grand Court 2.0 Womens Sneakers</t>
        </is>
      </c>
      <c r="X575" s="23" t="n">
        <v>12</v>
      </c>
      <c r="Y575" s="18">
        <f>AC575-AB575</f>
        <v/>
      </c>
      <c r="Z575" s="27" t="n">
        <v>88</v>
      </c>
      <c r="AA575" s="27" t="n">
        <v>169</v>
      </c>
      <c r="AB575" s="27" t="n">
        <v>43</v>
      </c>
      <c r="AC575" s="27" t="n">
        <v>2739</v>
      </c>
      <c r="AD575" s="1" t="inlineStr">
        <is>
          <t>LIT87</t>
        </is>
      </c>
      <c r="AE575" s="1" t="inlineStr">
        <is>
          <t>White/White/Gold Metallic</t>
        </is>
      </c>
      <c r="AF575" s="4" t="n">
        <v>8.550000000000001</v>
      </c>
      <c r="AG575" s="4" t="n">
        <v>7.78</v>
      </c>
    </row>
    <row r="576" ht="47.25" customHeight="1">
      <c r="A576" s="18" t="inlineStr">
        <is>
          <t>195746012988</t>
        </is>
      </c>
      <c r="B576" s="19" t="inlineStr">
        <is>
          <t>https://www.amazon.com/dp/</t>
        </is>
      </c>
      <c r="C576" s="20" t="inlineStr">
        <is>
          <t>B0BD9GFRJ1</t>
        </is>
      </c>
      <c r="D576" s="44" t="n"/>
      <c r="E576" s="23" t="inlineStr">
        <is>
          <t>?th=1&amp;psc=1&amp;tag=sdcdeals03-20</t>
        </is>
      </c>
      <c r="F576" s="19">
        <f>HYPERLINK("https://redirect.sdcdeals.com/redirect?destination=https%3A%2F%2Fwww.amazon.com%2Fdp%2FB0BD9GFRJ1%3Fth%3D1%26psc%3D1%26tag%3Dsdcdeals03-20", "Amazon Link")</f>
        <v/>
      </c>
      <c r="G576" s="19" t="inlineStr">
        <is>
          <t>https://www.jcpenney.com/s?searchTerm={search_term}</t>
        </is>
      </c>
      <c r="H576" s="23" t="inlineStr">
        <is>
          <t>195746012988</t>
        </is>
      </c>
      <c r="I576" s="19">
        <f>HYPERLINK("https://www.jcpenney.com/s?searchTerm=195746012988", "Retail Link")</f>
        <v/>
      </c>
      <c r="J576" s="23" t="inlineStr">
        <is>
          <t>n/a</t>
        </is>
      </c>
      <c r="K576" s="21" t="inlineStr">
        <is>
          <t>adidas Women's Grand Court 2.0 Tennis Shoe</t>
        </is>
      </c>
      <c r="L576" s="24" t="n"/>
      <c r="M576" s="24" t="n">
        <v>69.95</v>
      </c>
      <c r="N576" s="24" t="n"/>
      <c r="O576" s="24">
        <f>V576-M576</f>
        <v/>
      </c>
      <c r="P576" s="25">
        <f>N576/L576</f>
        <v/>
      </c>
      <c r="Q576" s="23" t="n">
        <v>3965</v>
      </c>
      <c r="R576" s="23" t="n">
        <v>50</v>
      </c>
      <c r="S576" s="26" t="n">
        <v>2.2707586</v>
      </c>
      <c r="T576" s="24" t="n">
        <v>69.42</v>
      </c>
      <c r="U576" s="24" t="n">
        <v>56.67</v>
      </c>
      <c r="V576" s="24" t="n">
        <v>58.08</v>
      </c>
      <c r="W576" s="26" t="inlineStr">
        <is>
          <t>adidas Grand Court 2.0 Womens Sneakers</t>
        </is>
      </c>
      <c r="X576" s="23" t="n">
        <v>8</v>
      </c>
      <c r="Y576" s="18">
        <f>AC576-AB576</f>
        <v/>
      </c>
      <c r="Z576" s="27" t="n">
        <v>108</v>
      </c>
      <c r="AA576" s="27" t="n">
        <v>267</v>
      </c>
      <c r="AB576" s="27" t="n">
        <v>14</v>
      </c>
      <c r="AC576" s="27" t="n">
        <v>2740</v>
      </c>
      <c r="AD576" s="1" t="inlineStr">
        <is>
          <t>LIT87</t>
        </is>
      </c>
      <c r="AE576" s="1" t="inlineStr">
        <is>
          <t>White/White/Gold Metallic</t>
        </is>
      </c>
      <c r="AF576" s="4" t="n">
        <v>10.49</v>
      </c>
      <c r="AG576" s="4" t="n">
        <v>7.86</v>
      </c>
    </row>
    <row r="577" ht="47.25" customHeight="1">
      <c r="A577" s="18" t="inlineStr">
        <is>
          <t>195552624771</t>
        </is>
      </c>
      <c r="B577" s="19" t="inlineStr">
        <is>
          <t>https://www.amazon.com/dp/</t>
        </is>
      </c>
      <c r="C577" s="20" t="inlineStr">
        <is>
          <t>B0BXTF1VDP</t>
        </is>
      </c>
      <c r="D577" s="44" t="n"/>
      <c r="E577" s="23" t="inlineStr">
        <is>
          <t>?th=1&amp;psc=1&amp;tag=sdcdeals03-20</t>
        </is>
      </c>
      <c r="F577" s="19">
        <f>HYPERLINK("https://redirect.sdcdeals.com/redirect?destination=https%3A%2F%2Fwww.amazon.com%2Fdp%2FB0BXTF1VDP%3Fth%3D1%26psc%3D1%26tag%3Dsdcdeals03-20", "Amazon Link")</f>
        <v/>
      </c>
      <c r="G577" s="19" t="inlineStr">
        <is>
          <t>https://www.jcpenney.com/s?searchTerm={search_term}</t>
        </is>
      </c>
      <c r="H577" s="23" t="inlineStr">
        <is>
          <t>195552624771</t>
        </is>
      </c>
      <c r="I577" s="19">
        <f>HYPERLINK("https://www.jcpenney.com/s?searchTerm=195552624771", "Retail Link")</f>
        <v/>
      </c>
      <c r="J577" s="23" t="inlineStr">
        <is>
          <t>n/a</t>
        </is>
      </c>
      <c r="K577" s="21" t="inlineStr">
        <is>
          <t>PUMA Womens Softride One4all Cross Trainer, Warm White-PUMA Womens Gold-Matte PUMA Womens Gold, 5.5</t>
        </is>
      </c>
      <c r="L577" s="24" t="n">
        <v>66.5</v>
      </c>
      <c r="M577" s="24" t="n">
        <v>69.95</v>
      </c>
      <c r="N577" s="24" t="n">
        <v>-14.0725</v>
      </c>
      <c r="O577" s="24">
        <f>V577-M577</f>
        <v/>
      </c>
      <c r="P577" s="25">
        <f>N577/L577</f>
        <v/>
      </c>
      <c r="Q577" s="23" t="n">
        <v>194579</v>
      </c>
      <c r="R577" s="23" t="n"/>
      <c r="S577" s="26" t="n">
        <v>1.34040896</v>
      </c>
      <c r="T577" s="24" t="n">
        <v>69.95</v>
      </c>
      <c r="U577" s="24" t="n">
        <v>69.28</v>
      </c>
      <c r="V577" s="24" t="n">
        <v>68.2</v>
      </c>
      <c r="W577" s="26" t="inlineStr">
        <is>
          <t>PUMA Softride One4all Womens Running Shoes</t>
        </is>
      </c>
      <c r="X577" s="23" t="n">
        <v>1</v>
      </c>
      <c r="Y577" s="18">
        <f>AC577-AB577</f>
        <v/>
      </c>
      <c r="Z577" s="27" t="n">
        <v>16</v>
      </c>
      <c r="AA577" s="27" t="n">
        <v>46</v>
      </c>
      <c r="AB577" s="27" t="n">
        <v>0</v>
      </c>
      <c r="AC577" s="27" t="n">
        <v>114</v>
      </c>
      <c r="AD577" s="1" t="inlineStr">
        <is>
          <t>37767205</t>
        </is>
      </c>
      <c r="AE577" s="1" t="inlineStr">
        <is>
          <t>Warm White-puma Gold-matte Puma Gold</t>
        </is>
      </c>
      <c r="AF577" s="4" t="n">
        <v>10.49</v>
      </c>
      <c r="AG577" s="4" t="n">
        <v>7.03</v>
      </c>
    </row>
    <row r="578" ht="47.25" customHeight="1">
      <c r="A578" s="18" t="inlineStr">
        <is>
          <t>195552624801</t>
        </is>
      </c>
      <c r="B578" s="19" t="inlineStr">
        <is>
          <t>https://www.amazon.com/dp/</t>
        </is>
      </c>
      <c r="C578" s="20" t="inlineStr">
        <is>
          <t>B0BXTDNB7K</t>
        </is>
      </c>
      <c r="D578" s="44" t="n"/>
      <c r="E578" s="23" t="inlineStr">
        <is>
          <t>?th=1&amp;psc=1&amp;tag=sdcdeals03-20</t>
        </is>
      </c>
      <c r="F578" s="19">
        <f>HYPERLINK("https://redirect.sdcdeals.com/redirect?destination=https%3A%2F%2Fwww.amazon.com%2Fdp%2FB0BXTDNB7K%3Fth%3D1%26psc%3D1%26tag%3Dsdcdeals03-20", "Amazon Link")</f>
        <v/>
      </c>
      <c r="G578" s="19" t="inlineStr">
        <is>
          <t>https://www.jcpenney.com/s?searchTerm={search_term}</t>
        </is>
      </c>
      <c r="H578" s="23" t="inlineStr">
        <is>
          <t>195552624801</t>
        </is>
      </c>
      <c r="I578" s="19">
        <f>HYPERLINK("https://www.jcpenney.com/s?searchTerm=195552624801", "Retail Link")</f>
        <v/>
      </c>
      <c r="J578" s="23" t="inlineStr">
        <is>
          <t>n/a</t>
        </is>
      </c>
      <c r="K578" s="21" t="inlineStr">
        <is>
          <t>PUMA Womens Softride One4all Cross Trainer, Warm White-PUMA Womens Gold-Matte PUMA Womens Gold, 6</t>
        </is>
      </c>
      <c r="L578" s="24" t="n">
        <v>66.5</v>
      </c>
      <c r="M578" s="24" t="n">
        <v>64.98999999999999</v>
      </c>
      <c r="N578" s="24" t="n">
        <v>-18.28850000000001</v>
      </c>
      <c r="O578" s="24">
        <f>V578-M578</f>
        <v/>
      </c>
      <c r="P578" s="25">
        <f>N578/L578</f>
        <v/>
      </c>
      <c r="Q578" s="23" t="n">
        <v>187043</v>
      </c>
      <c r="R578" s="23" t="n"/>
      <c r="S578" s="26" t="n">
        <v>1.3448182</v>
      </c>
      <c r="T578" s="24" t="n">
        <v>64.98999999999999</v>
      </c>
      <c r="U578" s="24" t="n">
        <v>66.48999999999999</v>
      </c>
      <c r="V578" s="24" t="n">
        <v>64.55</v>
      </c>
      <c r="W578" s="26" t="inlineStr">
        <is>
          <t>PUMA Softride One4all Womens Running Shoes</t>
        </is>
      </c>
      <c r="X578" s="23" t="n">
        <v>2</v>
      </c>
      <c r="Y578" s="18">
        <f>AC578-AB578</f>
        <v/>
      </c>
      <c r="Z578" s="27" t="n">
        <v>15</v>
      </c>
      <c r="AA578" s="27" t="n">
        <v>41</v>
      </c>
      <c r="AB578" s="27" t="n">
        <v>2</v>
      </c>
      <c r="AC578" s="27" t="n">
        <v>117</v>
      </c>
      <c r="AD578" s="1" t="inlineStr">
        <is>
          <t>37767205</t>
        </is>
      </c>
      <c r="AE578" s="1" t="inlineStr">
        <is>
          <t>Warm White-puma Gold-matte Puma Gold</t>
        </is>
      </c>
      <c r="AF578" s="4" t="n">
        <v>9.75</v>
      </c>
      <c r="AG578" s="4" t="n">
        <v>7.03</v>
      </c>
    </row>
    <row r="579" ht="47.25" customHeight="1">
      <c r="A579" s="18" t="inlineStr">
        <is>
          <t>195552624825</t>
        </is>
      </c>
      <c r="B579" s="19" t="inlineStr">
        <is>
          <t>https://www.amazon.com/dp/</t>
        </is>
      </c>
      <c r="C579" s="20" t="inlineStr">
        <is>
          <t>B0BXTDXHQM</t>
        </is>
      </c>
      <c r="D579" s="44" t="n"/>
      <c r="E579" s="23" t="inlineStr">
        <is>
          <t>?th=1&amp;psc=1&amp;tag=sdcdeals03-20</t>
        </is>
      </c>
      <c r="F579" s="19">
        <f>HYPERLINK("https://redirect.sdcdeals.com/redirect?destination=https%3A%2F%2Fwww.amazon.com%2Fdp%2FB0BXTDXHQM%3Fth%3D1%26psc%3D1%26tag%3Dsdcdeals03-20", "Amazon Link")</f>
        <v/>
      </c>
      <c r="G579" s="19" t="inlineStr">
        <is>
          <t>https://www.jcpenney.com/s?searchTerm={search_term}</t>
        </is>
      </c>
      <c r="H579" s="23" t="inlineStr">
        <is>
          <t>195552624825</t>
        </is>
      </c>
      <c r="I579" s="19">
        <f>HYPERLINK("https://www.jcpenney.com/s?searchTerm=195552624825", "Retail Link")</f>
        <v/>
      </c>
      <c r="J579" s="23" t="inlineStr">
        <is>
          <t>n/a</t>
        </is>
      </c>
      <c r="K579" s="21" t="inlineStr">
        <is>
          <t>PUMA Womens Softride One4all Cross Trainer, Warm White-PUMA Womens Gold-Matte PUMA Womens Gold, 6.5</t>
        </is>
      </c>
      <c r="L579" s="24" t="n">
        <v>66.5</v>
      </c>
      <c r="M579" s="24" t="n">
        <v>61.23</v>
      </c>
      <c r="N579" s="24" t="n">
        <v>-21.9945</v>
      </c>
      <c r="O579" s="24">
        <f>V579-M579</f>
        <v/>
      </c>
      <c r="P579" s="25">
        <f>N579/L579</f>
        <v/>
      </c>
      <c r="Q579" s="23" t="n">
        <v>191432</v>
      </c>
      <c r="R579" s="23" t="n"/>
      <c r="S579" s="26" t="n">
        <v>1.38229674</v>
      </c>
      <c r="T579" s="24" t="n">
        <v>59.49</v>
      </c>
      <c r="U579" s="24" t="n">
        <v>70.09999999999999</v>
      </c>
      <c r="V579" s="24" t="n">
        <v>67.95999999999999</v>
      </c>
      <c r="W579" s="26" t="inlineStr">
        <is>
          <t>PUMA Softride One4all Womens Running Shoes</t>
        </is>
      </c>
      <c r="X579" s="23" t="n">
        <v>2</v>
      </c>
      <c r="Y579" s="18">
        <f>AC579-AB579</f>
        <v/>
      </c>
      <c r="Z579" s="27" t="n">
        <v>19</v>
      </c>
      <c r="AA579" s="27" t="n">
        <v>36</v>
      </c>
      <c r="AB579" s="27" t="n">
        <v>2</v>
      </c>
      <c r="AC579" s="27" t="n">
        <v>116</v>
      </c>
      <c r="AD579" s="1" t="inlineStr">
        <is>
          <t>37767205</t>
        </is>
      </c>
      <c r="AE579" s="1" t="inlineStr">
        <is>
          <t>Warm White-puma Gold-matte Puma Gold</t>
        </is>
      </c>
      <c r="AF579" s="4" t="n">
        <v>9.18</v>
      </c>
      <c r="AG579" s="4" t="n">
        <v>7.54</v>
      </c>
    </row>
    <row r="580" ht="47.25" customHeight="1">
      <c r="A580" s="18" t="inlineStr">
        <is>
          <t>195552624849</t>
        </is>
      </c>
      <c r="B580" s="19" t="inlineStr">
        <is>
          <t>https://www.amazon.com/dp/</t>
        </is>
      </c>
      <c r="C580" s="20" t="inlineStr">
        <is>
          <t>B0BXTDQWL6</t>
        </is>
      </c>
      <c r="D580" s="44" t="n"/>
      <c r="E580" s="23" t="inlineStr">
        <is>
          <t>?th=1&amp;psc=1&amp;tag=sdcdeals03-20</t>
        </is>
      </c>
      <c r="F580" s="19">
        <f>HYPERLINK("https://redirect.sdcdeals.com/redirect?destination=https%3A%2F%2Fwww.amazon.com%2Fdp%2FB0BXTDQWL6%3Fth%3D1%26psc%3D1%26tag%3Dsdcdeals03-20", "Amazon Link")</f>
        <v/>
      </c>
      <c r="G580" s="19" t="inlineStr">
        <is>
          <t>https://www.jcpenney.com/s?searchTerm={search_term}</t>
        </is>
      </c>
      <c r="H580" s="23" t="inlineStr">
        <is>
          <t>195552624849</t>
        </is>
      </c>
      <c r="I580" s="19">
        <f>HYPERLINK("https://www.jcpenney.com/s?searchTerm=195552624849", "Retail Link")</f>
        <v/>
      </c>
      <c r="J580" s="23" t="inlineStr">
        <is>
          <t>n/a</t>
        </is>
      </c>
      <c r="K580" s="21" t="inlineStr">
        <is>
          <t>PUMA Womens Softride One4all Cross Trainer, Warm White-PUMA Womens Gold-Matte PUMA Womens Gold, 7</t>
        </is>
      </c>
      <c r="L580" s="24" t="n">
        <v>66.5</v>
      </c>
      <c r="M580" s="24" t="n">
        <v>64.98999999999999</v>
      </c>
      <c r="N580" s="24" t="n">
        <v>-18.28850000000001</v>
      </c>
      <c r="O580" s="24">
        <f>V580-M580</f>
        <v/>
      </c>
      <c r="P580" s="25">
        <f>N580/L580</f>
        <v/>
      </c>
      <c r="Q580" s="23" t="n">
        <v>194640</v>
      </c>
      <c r="R580" s="23" t="n"/>
      <c r="S580" s="26" t="n">
        <v>1.47930002</v>
      </c>
      <c r="T580" s="24" t="n">
        <v>64.98999999999999</v>
      </c>
      <c r="U580" s="24" t="n">
        <v>64.02</v>
      </c>
      <c r="V580" s="24" t="n">
        <v>63.63</v>
      </c>
      <c r="W580" s="26" t="inlineStr">
        <is>
          <t>PUMA Softride One4all Womens Running Shoes</t>
        </is>
      </c>
      <c r="X580" s="23" t="n">
        <v>3</v>
      </c>
      <c r="Y580" s="18">
        <f>AC580-AB580</f>
        <v/>
      </c>
      <c r="Z580" s="27" t="n">
        <v>27</v>
      </c>
      <c r="AA580" s="27" t="n">
        <v>57</v>
      </c>
      <c r="AB580" s="27" t="n">
        <v>0</v>
      </c>
      <c r="AC580" s="27" t="n">
        <v>117</v>
      </c>
      <c r="AD580" s="1" t="inlineStr">
        <is>
          <t>37767205</t>
        </is>
      </c>
      <c r="AE580" s="1" t="inlineStr">
        <is>
          <t>Warm White-puma Gold-matte Puma Gold</t>
        </is>
      </c>
      <c r="AF580" s="4" t="n">
        <v>9.75</v>
      </c>
      <c r="AG580" s="4" t="n">
        <v>7.03</v>
      </c>
    </row>
    <row r="581" ht="47.25" customHeight="1">
      <c r="A581" s="18" t="inlineStr">
        <is>
          <t>195552624863</t>
        </is>
      </c>
      <c r="B581" s="19" t="inlineStr">
        <is>
          <t>https://www.amazon.com/dp/</t>
        </is>
      </c>
      <c r="C581" s="20" t="inlineStr">
        <is>
          <t>B0BXTF7KB4</t>
        </is>
      </c>
      <c r="D581" s="44" t="n"/>
      <c r="E581" s="23" t="inlineStr">
        <is>
          <t>?th=1&amp;psc=1&amp;tag=sdcdeals03-20</t>
        </is>
      </c>
      <c r="F581" s="19">
        <f>HYPERLINK("https://redirect.sdcdeals.com/redirect?destination=https%3A%2F%2Fwww.amazon.com%2Fdp%2FB0BXTF7KB4%3Fth%3D1%26psc%3D1%26tag%3Dsdcdeals03-20", "Amazon Link")</f>
        <v/>
      </c>
      <c r="G581" s="19" t="inlineStr">
        <is>
          <t>https://www.jcpenney.com/s?searchTerm={search_term}</t>
        </is>
      </c>
      <c r="H581" s="23" t="inlineStr">
        <is>
          <t>195552624863</t>
        </is>
      </c>
      <c r="I581" s="19">
        <f>HYPERLINK("https://www.jcpenney.com/s?searchTerm=195552624863", "Retail Link")</f>
        <v/>
      </c>
      <c r="J581" s="23" t="inlineStr">
        <is>
          <t>n/a</t>
        </is>
      </c>
      <c r="K581" s="21" t="inlineStr">
        <is>
          <t>PUMA Womens Softride One4all Cross Trainer, Warm White-PUMA Womens Gold-Matte PUMA Womens Gold, 7.5</t>
        </is>
      </c>
      <c r="L581" s="24" t="n">
        <v>66.5</v>
      </c>
      <c r="M581" s="24" t="n">
        <v>64.98999999999999</v>
      </c>
      <c r="N581" s="24" t="n">
        <v>-18.95850000000001</v>
      </c>
      <c r="O581" s="24">
        <f>V581-M581</f>
        <v/>
      </c>
      <c r="P581" s="25">
        <f>N581/L581</f>
        <v/>
      </c>
      <c r="Q581" s="23" t="n">
        <v>217331</v>
      </c>
      <c r="R581" s="23" t="n"/>
      <c r="S581" s="26" t="n">
        <v>1.49032312</v>
      </c>
      <c r="T581" s="24" t="n">
        <v>64.98</v>
      </c>
      <c r="U581" s="24" t="n">
        <v>70.97</v>
      </c>
      <c r="V581" s="24" t="n">
        <v>64.06</v>
      </c>
      <c r="W581" s="26" t="inlineStr">
        <is>
          <t>PUMA Softride One4all Womens Running Shoes</t>
        </is>
      </c>
      <c r="X581" s="23" t="n">
        <v>2</v>
      </c>
      <c r="Y581" s="18">
        <f>AC581-AB581</f>
        <v/>
      </c>
      <c r="Z581" s="27" t="n">
        <v>20</v>
      </c>
      <c r="AA581" s="27" t="n">
        <v>56</v>
      </c>
      <c r="AB581" s="27" t="n">
        <v>1</v>
      </c>
      <c r="AC581" s="27" t="n">
        <v>117</v>
      </c>
      <c r="AD581" s="1" t="inlineStr">
        <is>
          <t>37767205</t>
        </is>
      </c>
      <c r="AE581" s="1" t="inlineStr">
        <is>
          <t>Warm White-puma Gold-matte Puma Gold</t>
        </is>
      </c>
      <c r="AF581" s="4" t="n">
        <v>9.75</v>
      </c>
      <c r="AG581" s="4" t="n">
        <v>7.7</v>
      </c>
    </row>
    <row r="582" ht="47.25" customHeight="1">
      <c r="A582" s="18" t="inlineStr">
        <is>
          <t>195552624887</t>
        </is>
      </c>
      <c r="B582" s="19" t="inlineStr">
        <is>
          <t>https://www.amazon.com/dp/</t>
        </is>
      </c>
      <c r="C582" s="20" t="inlineStr">
        <is>
          <t>B0BXTDJPG2</t>
        </is>
      </c>
      <c r="D582" s="44" t="n"/>
      <c r="E582" s="23" t="inlineStr">
        <is>
          <t>?th=1&amp;psc=1&amp;tag=sdcdeals03-20</t>
        </is>
      </c>
      <c r="F582" s="19">
        <f>HYPERLINK("https://redirect.sdcdeals.com/redirect?destination=https%3A%2F%2Fwww.amazon.com%2Fdp%2FB0BXTDJPG2%3Fth%3D1%26psc%3D1%26tag%3Dsdcdeals03-20", "Amazon Link")</f>
        <v/>
      </c>
      <c r="G582" s="19" t="inlineStr">
        <is>
          <t>https://www.jcpenney.com/s?searchTerm={search_term}</t>
        </is>
      </c>
      <c r="H582" s="23" t="inlineStr">
        <is>
          <t>195552624887</t>
        </is>
      </c>
      <c r="I582" s="19">
        <f>HYPERLINK("https://www.jcpenney.com/s?searchTerm=195552624887", "Retail Link")</f>
        <v/>
      </c>
      <c r="J582" s="23" t="inlineStr">
        <is>
          <t>n/a</t>
        </is>
      </c>
      <c r="K582" s="21" t="inlineStr">
        <is>
          <t>PUMA Womens Softride One4all Cross Trainer, Warm White-PUMA Womens Gold-Matte PUMA Womens Gold, 8</t>
        </is>
      </c>
      <c r="L582" s="24" t="n">
        <v>66.5</v>
      </c>
      <c r="M582" s="24" t="n">
        <v>64.98999999999999</v>
      </c>
      <c r="N582" s="24" t="n">
        <v>-18.8785</v>
      </c>
      <c r="O582" s="24">
        <f>V582-M582</f>
        <v/>
      </c>
      <c r="P582" s="25">
        <f>N582/L582</f>
        <v/>
      </c>
      <c r="Q582" s="23" t="n">
        <v>249561</v>
      </c>
      <c r="R582" s="23" t="n"/>
      <c r="S582" s="26" t="n">
        <v>1.49473236</v>
      </c>
      <c r="T582" s="24" t="n">
        <v>64.98999999999999</v>
      </c>
      <c r="U582" s="24" t="n">
        <v>68.02</v>
      </c>
      <c r="V582" s="24" t="n">
        <v>64.27</v>
      </c>
      <c r="W582" s="26" t="inlineStr">
        <is>
          <t>PUMA Softride One4all Womens Running Shoes</t>
        </is>
      </c>
      <c r="X582" s="23" t="n">
        <v>2</v>
      </c>
      <c r="Y582" s="18">
        <f>AC582-AB582</f>
        <v/>
      </c>
      <c r="Z582" s="27" t="n">
        <v>24</v>
      </c>
      <c r="AA582" s="27" t="n">
        <v>55</v>
      </c>
      <c r="AB582" s="27" t="n">
        <v>5</v>
      </c>
      <c r="AC582" s="27" t="n">
        <v>117</v>
      </c>
      <c r="AD582" s="1" t="inlineStr">
        <is>
          <t>37767205</t>
        </is>
      </c>
      <c r="AE582" s="1" t="inlineStr">
        <is>
          <t>Warm White-puma Gold-matte Puma Gold</t>
        </is>
      </c>
      <c r="AF582" s="4" t="n">
        <v>9.75</v>
      </c>
      <c r="AG582" s="4" t="n">
        <v>7.62</v>
      </c>
    </row>
    <row r="583" ht="47.25" customHeight="1">
      <c r="A583" s="18" t="inlineStr">
        <is>
          <t>195552624900</t>
        </is>
      </c>
      <c r="B583" s="19" t="inlineStr">
        <is>
          <t>https://www.amazon.com/dp/</t>
        </is>
      </c>
      <c r="C583" s="20" t="inlineStr">
        <is>
          <t>B0BXTG8DW6</t>
        </is>
      </c>
      <c r="D583" s="44" t="n"/>
      <c r="E583" s="23" t="inlineStr">
        <is>
          <t>?th=1&amp;psc=1&amp;tag=sdcdeals03-20</t>
        </is>
      </c>
      <c r="F583" s="19">
        <f>HYPERLINK("https://redirect.sdcdeals.com/redirect?destination=https%3A%2F%2Fwww.amazon.com%2Fdp%2FB0BXTG8DW6%3Fth%3D1%26psc%3D1%26tag%3Dsdcdeals03-20", "Amazon Link")</f>
        <v/>
      </c>
      <c r="G583" s="19" t="inlineStr">
        <is>
          <t>https://www.jcpenney.com/s?searchTerm={search_term}</t>
        </is>
      </c>
      <c r="H583" s="23" t="inlineStr">
        <is>
          <t>195552624900</t>
        </is>
      </c>
      <c r="I583" s="19">
        <f>HYPERLINK("https://www.jcpenney.com/s?searchTerm=195552624900", "Retail Link")</f>
        <v/>
      </c>
      <c r="J583" s="23" t="inlineStr">
        <is>
          <t>n/a</t>
        </is>
      </c>
      <c r="K583" s="21" t="inlineStr">
        <is>
          <t>PUMA Womens Softride One4all Cross Trainer, Warm White-PUMA Womens Gold-Matte PUMA Womens Gold, 8.5</t>
        </is>
      </c>
      <c r="L583" s="24" t="n">
        <v>66.5</v>
      </c>
      <c r="M583" s="24" t="n">
        <v>52.36</v>
      </c>
      <c r="N583" s="24" t="n">
        <v>-29.614</v>
      </c>
      <c r="O583" s="24">
        <f>V583-M583</f>
        <v/>
      </c>
      <c r="P583" s="25">
        <f>N583/L583</f>
        <v/>
      </c>
      <c r="Q583" s="23" t="n">
        <v>249561</v>
      </c>
      <c r="R583" s="23" t="n"/>
      <c r="S583" s="26" t="n">
        <v>1.4991416</v>
      </c>
      <c r="T583" s="24" t="n">
        <v>52.11</v>
      </c>
      <c r="U583" s="24" t="n">
        <v>65.29000000000001</v>
      </c>
      <c r="V583" s="24" t="n">
        <v>65.18000000000001</v>
      </c>
      <c r="W583" s="26" t="inlineStr">
        <is>
          <t>PUMA Softride One4all Womens Running Shoes</t>
        </is>
      </c>
      <c r="X583" s="23" t="n">
        <v>3</v>
      </c>
      <c r="Y583" s="18">
        <f>AC583-AB583</f>
        <v/>
      </c>
      <c r="Z583" s="27" t="n">
        <v>28</v>
      </c>
      <c r="AA583" s="27" t="n">
        <v>65</v>
      </c>
      <c r="AB583" s="27" t="n">
        <v>0</v>
      </c>
      <c r="AC583" s="27" t="n">
        <v>117</v>
      </c>
      <c r="AD583" s="1" t="inlineStr">
        <is>
          <t>37767205</t>
        </is>
      </c>
      <c r="AE583" s="1" t="inlineStr">
        <is>
          <t>Warm White-puma Gold-matte Puma Gold</t>
        </is>
      </c>
      <c r="AF583" s="4" t="n">
        <v>7.85</v>
      </c>
      <c r="AG583" s="4" t="n">
        <v>7.62</v>
      </c>
    </row>
    <row r="584" ht="47.25" customHeight="1">
      <c r="A584" s="18" t="inlineStr">
        <is>
          <t>195552624924</t>
        </is>
      </c>
      <c r="B584" s="19" t="inlineStr">
        <is>
          <t>https://www.amazon.com/dp/</t>
        </is>
      </c>
      <c r="C584" s="20" t="inlineStr">
        <is>
          <t>B0BXTTHNP5</t>
        </is>
      </c>
      <c r="D584" s="44" t="n"/>
      <c r="E584" s="23" t="inlineStr">
        <is>
          <t>?th=1&amp;psc=1&amp;tag=sdcdeals03-20</t>
        </is>
      </c>
      <c r="F584" s="19">
        <f>HYPERLINK("https://redirect.sdcdeals.com/redirect?destination=https%3A%2F%2Fwww.amazon.com%2Fdp%2FB0BXTTHNP5%3Fth%3D1%26psc%3D1%26tag%3Dsdcdeals03-20", "Amazon Link")</f>
        <v/>
      </c>
      <c r="G584" s="19" t="inlineStr">
        <is>
          <t>https://www.jcpenney.com/s?searchTerm={search_term}</t>
        </is>
      </c>
      <c r="H584" s="23" t="inlineStr">
        <is>
          <t>195552624924</t>
        </is>
      </c>
      <c r="I584" s="19">
        <f>HYPERLINK("https://www.jcpenney.com/s?searchTerm=195552624924", "Retail Link")</f>
        <v/>
      </c>
      <c r="J584" s="23" t="inlineStr">
        <is>
          <t>n/a</t>
        </is>
      </c>
      <c r="K584" s="21" t="inlineStr">
        <is>
          <t>PUMA Womens Softride One4all Cross Trainer, Warm White-PUMA Womens Gold-Matte PUMA Womens Gold, 9</t>
        </is>
      </c>
      <c r="L584" s="24" t="n">
        <v>66.5</v>
      </c>
      <c r="M584" s="24" t="n">
        <v>64.98999999999999</v>
      </c>
      <c r="N584" s="24" t="n">
        <v>-18.8785</v>
      </c>
      <c r="O584" s="24">
        <f>V584-M584</f>
        <v/>
      </c>
      <c r="P584" s="25">
        <f>N584/L584</f>
        <v/>
      </c>
      <c r="Q584" s="23" t="n">
        <v>249561</v>
      </c>
      <c r="R584" s="23" t="n"/>
      <c r="S584" s="26" t="n">
        <v>1.5763033</v>
      </c>
      <c r="T584" s="24" t="n">
        <v>64.98999999999999</v>
      </c>
      <c r="U584" s="24" t="n">
        <v>66.09</v>
      </c>
      <c r="V584" s="24" t="n">
        <v>59.83</v>
      </c>
      <c r="W584" s="26" t="inlineStr">
        <is>
          <t>PUMA Softride One4all Womens Running Shoes</t>
        </is>
      </c>
      <c r="X584" s="23" t="n">
        <v>3</v>
      </c>
      <c r="Y584" s="18">
        <f>AC584-AB584</f>
        <v/>
      </c>
      <c r="Z584" s="27" t="n">
        <v>36</v>
      </c>
      <c r="AA584" s="27" t="n">
        <v>68</v>
      </c>
      <c r="AB584" s="27" t="n">
        <v>1</v>
      </c>
      <c r="AC584" s="27" t="n">
        <v>114</v>
      </c>
      <c r="AD584" s="1" t="inlineStr">
        <is>
          <t>37767205</t>
        </is>
      </c>
      <c r="AE584" s="1" t="inlineStr">
        <is>
          <t>Warm White-puma Gold-matte Puma Gold</t>
        </is>
      </c>
      <c r="AF584" s="4" t="n">
        <v>9.75</v>
      </c>
      <c r="AG584" s="4" t="n">
        <v>7.62</v>
      </c>
    </row>
    <row r="585" ht="47.25" customHeight="1">
      <c r="A585" s="18" t="inlineStr">
        <is>
          <t>195552624948</t>
        </is>
      </c>
      <c r="B585" s="19" t="inlineStr">
        <is>
          <t>https://www.amazon.com/dp/</t>
        </is>
      </c>
      <c r="C585" s="20" t="inlineStr">
        <is>
          <t>B0BXTDT7WK</t>
        </is>
      </c>
      <c r="D585" s="44" t="n"/>
      <c r="E585" s="23" t="inlineStr">
        <is>
          <t>?th=1&amp;psc=1&amp;tag=sdcdeals03-20</t>
        </is>
      </c>
      <c r="F585" s="19">
        <f>HYPERLINK("https://redirect.sdcdeals.com/redirect?destination=https%3A%2F%2Fwww.amazon.com%2Fdp%2FB0BXTDT7WK%3Fth%3D1%26psc%3D1%26tag%3Dsdcdeals03-20", "Amazon Link")</f>
        <v/>
      </c>
      <c r="G585" s="19" t="inlineStr">
        <is>
          <t>https://www.jcpenney.com/s?searchTerm={search_term}</t>
        </is>
      </c>
      <c r="H585" s="23" t="inlineStr">
        <is>
          <t>195552624948</t>
        </is>
      </c>
      <c r="I585" s="19">
        <f>HYPERLINK("https://www.jcpenney.com/s?searchTerm=195552624948", "Retail Link")</f>
        <v/>
      </c>
      <c r="J585" s="23" t="inlineStr">
        <is>
          <t>n/a</t>
        </is>
      </c>
      <c r="K585" s="21" t="inlineStr">
        <is>
          <t>PUMA Womens Softride One4all Cross Trainer, Warm White-PUMA Womens Gold-Matte PUMA Womens Gold, 9.5</t>
        </is>
      </c>
      <c r="L585" s="24" t="n">
        <v>66.5</v>
      </c>
      <c r="M585" s="24" t="n">
        <v>61.63</v>
      </c>
      <c r="N585" s="24" t="n">
        <v>-21.8145</v>
      </c>
      <c r="O585" s="24">
        <f>V585-M585</f>
        <v/>
      </c>
      <c r="P585" s="25">
        <f>N585/L585</f>
        <v/>
      </c>
      <c r="Q585" s="23" t="n">
        <v>217331</v>
      </c>
      <c r="R585" s="23" t="n"/>
      <c r="S585" s="26" t="n">
        <v>1.67771582</v>
      </c>
      <c r="T585" s="24" t="n">
        <v>59.99</v>
      </c>
      <c r="U585" s="24" t="n">
        <v>60.65</v>
      </c>
      <c r="V585" s="24" t="n">
        <v>57.62</v>
      </c>
      <c r="W585" s="26" t="inlineStr">
        <is>
          <t>PUMA Softride One4all Womens Running Shoes</t>
        </is>
      </c>
      <c r="X585" s="23" t="n">
        <v>4</v>
      </c>
      <c r="Y585" s="18">
        <f>AC585-AB585</f>
        <v/>
      </c>
      <c r="Z585" s="27" t="n">
        <v>37</v>
      </c>
      <c r="AA585" s="27" t="n">
        <v>91</v>
      </c>
      <c r="AB585" s="27" t="n">
        <v>2</v>
      </c>
      <c r="AC585" s="27" t="n">
        <v>116</v>
      </c>
      <c r="AD585" s="1" t="inlineStr">
        <is>
          <t>37767205</t>
        </is>
      </c>
      <c r="AE585" s="1" t="inlineStr">
        <is>
          <t>Warm White-puma Gold-matte Puma Gold</t>
        </is>
      </c>
      <c r="AF585" s="4" t="n">
        <v>9.24</v>
      </c>
      <c r="AG585" s="4" t="n">
        <v>7.7</v>
      </c>
    </row>
    <row r="586" ht="47.25" customHeight="1">
      <c r="A586" s="18" t="inlineStr">
        <is>
          <t>195552624962</t>
        </is>
      </c>
      <c r="B586" s="19" t="inlineStr">
        <is>
          <t>https://www.amazon.com/dp/</t>
        </is>
      </c>
      <c r="C586" s="20" t="inlineStr">
        <is>
          <t>B0BXTBRS8Q</t>
        </is>
      </c>
      <c r="D586" s="44" t="n"/>
      <c r="E586" s="23" t="inlineStr">
        <is>
          <t>?th=1&amp;psc=1&amp;tag=sdcdeals03-20</t>
        </is>
      </c>
      <c r="F586" s="19">
        <f>HYPERLINK("https://redirect.sdcdeals.com/redirect?destination=https%3A%2F%2Fwww.amazon.com%2Fdp%2FB0BXTBRS8Q%3Fth%3D1%26psc%3D1%26tag%3Dsdcdeals03-20", "Amazon Link")</f>
        <v/>
      </c>
      <c r="G586" s="19" t="inlineStr">
        <is>
          <t>https://www.jcpenney.com/s?searchTerm={search_term}</t>
        </is>
      </c>
      <c r="H586" s="23" t="inlineStr">
        <is>
          <t>195552624962</t>
        </is>
      </c>
      <c r="I586" s="19">
        <f>HYPERLINK("https://www.jcpenney.com/s?searchTerm=195552624962", "Retail Link")</f>
        <v/>
      </c>
      <c r="J586" s="23" t="inlineStr">
        <is>
          <t>n/a</t>
        </is>
      </c>
      <c r="K586" s="21" t="inlineStr">
        <is>
          <t>PUMA Womens Softride One4all Cross Trainer, Warm White-PUMA Womens Gold-Matte PUMA Womens Gold, 10</t>
        </is>
      </c>
      <c r="L586" s="24" t="n">
        <v>66.5</v>
      </c>
      <c r="M586" s="24" t="n">
        <v>64.98999999999999</v>
      </c>
      <c r="N586" s="24" t="n">
        <v>-19.03850000000001</v>
      </c>
      <c r="O586" s="24">
        <f>V586-M586</f>
        <v/>
      </c>
      <c r="P586" s="25">
        <f>N586/L586</f>
        <v/>
      </c>
      <c r="Q586" s="23" t="n">
        <v>186114</v>
      </c>
      <c r="R586" s="23" t="n"/>
      <c r="S586" s="26" t="n">
        <v>1.6975574</v>
      </c>
      <c r="T586" s="24" t="n">
        <v>64.98999999999999</v>
      </c>
      <c r="U586" s="24" t="n">
        <v>65.14</v>
      </c>
      <c r="V586" s="24" t="n">
        <v>60.37</v>
      </c>
      <c r="W586" s="26" t="inlineStr">
        <is>
          <t>PUMA Softride One4all Womens Running Shoes</t>
        </is>
      </c>
      <c r="X586" s="23" t="n">
        <v>2</v>
      </c>
      <c r="Y586" s="18">
        <f>AC586-AB586</f>
        <v/>
      </c>
      <c r="Z586" s="27" t="n">
        <v>20</v>
      </c>
      <c r="AA586" s="27" t="n">
        <v>47</v>
      </c>
      <c r="AB586" s="27" t="n">
        <v>2</v>
      </c>
      <c r="AC586" s="27" t="n">
        <v>116</v>
      </c>
      <c r="AD586" s="1" t="inlineStr">
        <is>
          <t>37767205</t>
        </is>
      </c>
      <c r="AE586" s="1" t="inlineStr">
        <is>
          <t>Warm White-puma Gold-matte Puma Gold</t>
        </is>
      </c>
      <c r="AF586" s="4" t="n">
        <v>9.75</v>
      </c>
      <c r="AG586" s="4" t="n">
        <v>7.78</v>
      </c>
    </row>
    <row r="587" ht="47.25" customHeight="1">
      <c r="A587" s="18" t="inlineStr">
        <is>
          <t>195552625013</t>
        </is>
      </c>
      <c r="B587" s="19" t="inlineStr">
        <is>
          <t>https://www.amazon.com/dp/</t>
        </is>
      </c>
      <c r="C587" s="20" t="inlineStr">
        <is>
          <t>B0BXTR1JCB</t>
        </is>
      </c>
      <c r="D587" s="44" t="n"/>
      <c r="E587" s="23" t="inlineStr">
        <is>
          <t>?th=1&amp;psc=1&amp;tag=sdcdeals03-20</t>
        </is>
      </c>
      <c r="F587" s="19">
        <f>HYPERLINK("https://redirect.sdcdeals.com/redirect?destination=https%3A%2F%2Fwww.amazon.com%2Fdp%2FB0BXTR1JCB%3Fth%3D1%26psc%3D1%26tag%3Dsdcdeals03-20", "Amazon Link")</f>
        <v/>
      </c>
      <c r="G587" s="19" t="inlineStr">
        <is>
          <t>https://www.jcpenney.com/s?searchTerm={search_term}</t>
        </is>
      </c>
      <c r="H587" s="23" t="inlineStr">
        <is>
          <t>195552625013</t>
        </is>
      </c>
      <c r="I587" s="19">
        <f>HYPERLINK("https://www.jcpenney.com/s?searchTerm=195552625013", "Retail Link")</f>
        <v/>
      </c>
      <c r="J587" s="23" t="inlineStr">
        <is>
          <t>n/a</t>
        </is>
      </c>
      <c r="K587" s="21" t="inlineStr">
        <is>
          <t>PUMA Womens Softride One4all Cross Trainer, Warm White-PUMA Womens Gold-Matte PUMA Womens Gold, 11</t>
        </is>
      </c>
      <c r="L587" s="24" t="n">
        <v>66.5</v>
      </c>
      <c r="M587" s="24" t="n">
        <v>55.61</v>
      </c>
      <c r="N587" s="24" t="n">
        <v>-26.7715</v>
      </c>
      <c r="O587" s="24">
        <f>V587-M587</f>
        <v/>
      </c>
      <c r="P587" s="25">
        <f>N587/L587</f>
        <v/>
      </c>
      <c r="Q587" s="23" t="n">
        <v>217331</v>
      </c>
      <c r="R587" s="23" t="n"/>
      <c r="S587" s="26" t="n">
        <v>1.36906902</v>
      </c>
      <c r="T587" s="24" t="n">
        <v>54.95</v>
      </c>
      <c r="U587" s="24" t="n">
        <v>59.01</v>
      </c>
      <c r="V587" s="24" t="n">
        <v>55.29</v>
      </c>
      <c r="W587" s="26" t="inlineStr">
        <is>
          <t>PUMA Softride One4all Womens Running Shoes</t>
        </is>
      </c>
      <c r="X587" s="23" t="n">
        <v>3</v>
      </c>
      <c r="Y587" s="18">
        <f>AC587-AB587</f>
        <v/>
      </c>
      <c r="Z587" s="27" t="n">
        <v>22</v>
      </c>
      <c r="AA587" s="27" t="n">
        <v>52</v>
      </c>
      <c r="AB587" s="27" t="n">
        <v>1</v>
      </c>
      <c r="AC587" s="27" t="n">
        <v>117</v>
      </c>
      <c r="AD587" s="1" t="inlineStr">
        <is>
          <t>37767205</t>
        </is>
      </c>
      <c r="AE587" s="1" t="inlineStr">
        <is>
          <t>Warm White-puma Gold-matte Puma Gold</t>
        </is>
      </c>
      <c r="AF587" s="4" t="n">
        <v>8.34</v>
      </c>
      <c r="AG587" s="4" t="n">
        <v>7.54</v>
      </c>
    </row>
    <row r="588" ht="47.25" customHeight="1">
      <c r="A588" s="18" t="inlineStr">
        <is>
          <t>195102570985</t>
        </is>
      </c>
      <c r="B588" s="19" t="inlineStr">
        <is>
          <t>https://www.amazon.com/dp/</t>
        </is>
      </c>
      <c r="C588" s="20" t="inlineStr">
        <is>
          <t>B0BXTD57BY</t>
        </is>
      </c>
      <c r="D588" s="44" t="n"/>
      <c r="E588" s="23" t="inlineStr">
        <is>
          <t>?th=1&amp;psc=1&amp;tag=sdcdeals03-20</t>
        </is>
      </c>
      <c r="F588" s="19">
        <f>HYPERLINK("https://redirect.sdcdeals.com/redirect?destination=https%3A%2F%2Fwww.amazon.com%2Fdp%2FB0BXTD57BY%3Fth%3D1%26psc%3D1%26tag%3Dsdcdeals03-20", "Amazon Link")</f>
        <v/>
      </c>
      <c r="G588" s="19" t="inlineStr">
        <is>
          <t>https://www.jcpenney.com/s?searchTerm={search_term}</t>
        </is>
      </c>
      <c r="H588" s="23" t="inlineStr">
        <is>
          <t>195102570985</t>
        </is>
      </c>
      <c r="I588" s="19">
        <f>HYPERLINK("https://www.jcpenney.com/s?searchTerm=195102570985", "Retail Link")</f>
        <v/>
      </c>
      <c r="J588" s="23" t="inlineStr">
        <is>
          <t>n/a</t>
        </is>
      </c>
      <c r="K588" s="21" t="inlineStr">
        <is>
          <t>PUMA Womens Softride One4all Cross Trainer, PUMA Womens Black-Rose Gold-PUMA Womens White, 5.5</t>
        </is>
      </c>
      <c r="L588" s="24" t="n">
        <v>66.5</v>
      </c>
      <c r="M588" s="24" t="n">
        <v>66.59</v>
      </c>
      <c r="N588" s="24" t="n">
        <v>-17.5185</v>
      </c>
      <c r="O588" s="24">
        <f>V588-M588</f>
        <v/>
      </c>
      <c r="P588" s="25">
        <f>N588/L588</f>
        <v/>
      </c>
      <c r="Q588" s="23" t="n"/>
      <c r="R588" s="23" t="n"/>
      <c r="S588" s="26" t="n">
        <v>1.3668644</v>
      </c>
      <c r="T588" s="24" t="inlineStr"/>
      <c r="U588" s="24" t="inlineStr"/>
      <c r="V588" s="24" t="n">
        <v>66.59</v>
      </c>
      <c r="W588" s="26" t="inlineStr">
        <is>
          <t>PUMA Softride One4all Womens Running Shoes</t>
        </is>
      </c>
      <c r="X588" s="23" t="n"/>
      <c r="Y588" s="18">
        <f>AC588-AB588</f>
        <v/>
      </c>
      <c r="Z588" s="27" t="n">
        <v>6</v>
      </c>
      <c r="AA588" s="27" t="n">
        <v>14</v>
      </c>
      <c r="AB588" s="27" t="n">
        <v>2</v>
      </c>
      <c r="AC588" s="27" t="n">
        <v>89</v>
      </c>
      <c r="AD588" s="1" t="inlineStr">
        <is>
          <t>37767201</t>
        </is>
      </c>
      <c r="AE588" s="1" t="inlineStr">
        <is>
          <t>Puma Black-rose Gold-puma White</t>
        </is>
      </c>
      <c r="AF588" s="4" t="inlineStr"/>
      <c r="AG588" s="4" t="n">
        <v>7.62</v>
      </c>
    </row>
    <row r="589" ht="47.25" customHeight="1">
      <c r="A589" s="18" t="inlineStr">
        <is>
          <t>195102570992</t>
        </is>
      </c>
      <c r="B589" s="19" t="inlineStr">
        <is>
          <t>https://www.amazon.com/dp/</t>
        </is>
      </c>
      <c r="C589" s="20" t="inlineStr">
        <is>
          <t>B0BXTWS2H7</t>
        </is>
      </c>
      <c r="D589" s="44" t="n"/>
      <c r="E589" s="23" t="inlineStr">
        <is>
          <t>?th=1&amp;psc=1&amp;tag=sdcdeals03-20</t>
        </is>
      </c>
      <c r="F589" s="19">
        <f>HYPERLINK("https://redirect.sdcdeals.com/redirect?destination=https%3A%2F%2Fwww.amazon.com%2Fdp%2FB0BXTWS2H7%3Fth%3D1%26psc%3D1%26tag%3Dsdcdeals03-20", "Amazon Link")</f>
        <v/>
      </c>
      <c r="G589" s="19" t="inlineStr">
        <is>
          <t>https://www.jcpenney.com/s?searchTerm={search_term}</t>
        </is>
      </c>
      <c r="H589" s="23" t="inlineStr">
        <is>
          <t>195102570992</t>
        </is>
      </c>
      <c r="I589" s="19">
        <f>HYPERLINK("https://www.jcpenney.com/s?searchTerm=195102570992", "Retail Link")</f>
        <v/>
      </c>
      <c r="J589" s="23" t="inlineStr">
        <is>
          <t>n/a</t>
        </is>
      </c>
      <c r="K589" s="21" t="inlineStr">
        <is>
          <t>PUMA Womens Softride One4all Cross Trainer, PUMA Womens Black-Rose Gold-PUMA Womens White, 6</t>
        </is>
      </c>
      <c r="L589" s="24" t="n">
        <v>66.5</v>
      </c>
      <c r="M589" s="24" t="n">
        <v>66.31999999999999</v>
      </c>
      <c r="N589" s="24" t="n">
        <v>-17.15800000000001</v>
      </c>
      <c r="O589" s="24">
        <f>V589-M589</f>
        <v/>
      </c>
      <c r="P589" s="25">
        <f>N589/L589</f>
        <v/>
      </c>
      <c r="Q589" s="23" t="n"/>
      <c r="R589" s="23" t="n"/>
      <c r="S589" s="26" t="n">
        <v>1.34702282</v>
      </c>
      <c r="T589" s="24" t="inlineStr"/>
      <c r="U589" s="24" t="n">
        <v>66.31999999999999</v>
      </c>
      <c r="V589" s="24" t="n">
        <v>63.93</v>
      </c>
      <c r="W589" s="26" t="inlineStr">
        <is>
          <t>PUMA Softride One4all Womens Running Shoes</t>
        </is>
      </c>
      <c r="X589" s="23" t="n">
        <v>1</v>
      </c>
      <c r="Y589" s="18">
        <f>AC589-AB589</f>
        <v/>
      </c>
      <c r="Z589" s="27" t="n">
        <v>12</v>
      </c>
      <c r="AA589" s="27" t="n">
        <v>23</v>
      </c>
      <c r="AB589" s="27" t="n">
        <v>6</v>
      </c>
      <c r="AC589" s="27" t="n">
        <v>114</v>
      </c>
      <c r="AD589" s="1" t="inlineStr">
        <is>
          <t>37767201</t>
        </is>
      </c>
      <c r="AE589" s="1" t="inlineStr">
        <is>
          <t>Puma Black-rose Gold-puma White</t>
        </is>
      </c>
      <c r="AF589" s="4" t="inlineStr"/>
      <c r="AG589" s="4" t="n">
        <v>7.03</v>
      </c>
    </row>
    <row r="590" ht="47.25" customHeight="1">
      <c r="A590" s="18" t="inlineStr">
        <is>
          <t>195102571005</t>
        </is>
      </c>
      <c r="B590" s="19" t="inlineStr">
        <is>
          <t>https://www.amazon.com/dp/</t>
        </is>
      </c>
      <c r="C590" s="20" t="inlineStr">
        <is>
          <t>B0BX7BX7X2</t>
        </is>
      </c>
      <c r="D590" s="44" t="n"/>
      <c r="E590" s="23" t="inlineStr">
        <is>
          <t>?th=1&amp;psc=1&amp;tag=sdcdeals03-20</t>
        </is>
      </c>
      <c r="F590" s="19">
        <f>HYPERLINK("https://redirect.sdcdeals.com/redirect?destination=https%3A%2F%2Fwww.amazon.com%2Fdp%2FB0BX7BX7X2%3Fth%3D1%26psc%3D1%26tag%3Dsdcdeals03-20", "Amazon Link")</f>
        <v/>
      </c>
      <c r="G590" s="19" t="inlineStr">
        <is>
          <t>https://www.jcpenney.com/s?searchTerm={search_term}</t>
        </is>
      </c>
      <c r="H590" s="23" t="inlineStr">
        <is>
          <t>195102571005</t>
        </is>
      </c>
      <c r="I590" s="19">
        <f>HYPERLINK("https://www.jcpenney.com/s?searchTerm=195102571005", "Retail Link")</f>
        <v/>
      </c>
      <c r="J590" s="23" t="inlineStr">
        <is>
          <t>n/a</t>
        </is>
      </c>
      <c r="K590" s="21" t="inlineStr">
        <is>
          <t>PUMA Womens Softride One4all Cross Trainer, PUMA Womens Black-Rose Gold-PUMA Womens White, 6.5</t>
        </is>
      </c>
      <c r="L590" s="24" t="n">
        <v>66.5</v>
      </c>
      <c r="M590" s="24" t="n">
        <v>71.62</v>
      </c>
      <c r="N590" s="24" t="n">
        <v>-13.163</v>
      </c>
      <c r="O590" s="24">
        <f>V590-M590</f>
        <v/>
      </c>
      <c r="P590" s="25">
        <f>N590/L590</f>
        <v/>
      </c>
      <c r="Q590" s="23" t="n">
        <v>196367</v>
      </c>
      <c r="R590" s="23" t="n"/>
      <c r="S590" s="26" t="n">
        <v>1.38229674</v>
      </c>
      <c r="T590" s="24" t="inlineStr"/>
      <c r="U590" s="24" t="n">
        <v>71.62</v>
      </c>
      <c r="V590" s="24" t="n">
        <v>67.59</v>
      </c>
      <c r="W590" s="26" t="inlineStr">
        <is>
          <t>PUMA Softride One4all Womens Running Shoes</t>
        </is>
      </c>
      <c r="X590" s="23" t="n">
        <v>2</v>
      </c>
      <c r="Y590" s="18">
        <f>AC590-AB590</f>
        <v/>
      </c>
      <c r="Z590" s="27" t="n">
        <v>20</v>
      </c>
      <c r="AA590" s="27" t="n">
        <v>51</v>
      </c>
      <c r="AB590" s="27" t="n">
        <v>3</v>
      </c>
      <c r="AC590" s="27" t="n">
        <v>116</v>
      </c>
      <c r="AD590" s="1" t="inlineStr">
        <is>
          <t>37767201</t>
        </is>
      </c>
      <c r="AE590" s="1" t="inlineStr">
        <is>
          <t>Puma Black-rose Gold-puma White</t>
        </is>
      </c>
      <c r="AF590" s="4" t="inlineStr"/>
      <c r="AG590" s="4" t="n">
        <v>7.54</v>
      </c>
    </row>
    <row r="591" ht="47.25" customHeight="1">
      <c r="A591" s="18" t="inlineStr">
        <is>
          <t>195102570893</t>
        </is>
      </c>
      <c r="B591" s="19" t="inlineStr">
        <is>
          <t>https://www.amazon.com/dp/</t>
        </is>
      </c>
      <c r="C591" s="20" t="inlineStr">
        <is>
          <t>B0BW554CM2</t>
        </is>
      </c>
      <c r="D591" s="44" t="n"/>
      <c r="E591" s="23" t="inlineStr">
        <is>
          <t>?th=1&amp;psc=1&amp;tag=sdcdeals03-20</t>
        </is>
      </c>
      <c r="F591" s="19">
        <f>HYPERLINK("https://redirect.sdcdeals.com/redirect?destination=https%3A%2F%2Fwww.amazon.com%2Fdp%2FB0BW554CM2%3Fth%3D1%26psc%3D1%26tag%3Dsdcdeals03-20", "Amazon Link")</f>
        <v/>
      </c>
      <c r="G591" s="19" t="inlineStr">
        <is>
          <t>https://www.jcpenney.com/s?searchTerm={search_term}</t>
        </is>
      </c>
      <c r="H591" s="23" t="inlineStr">
        <is>
          <t>195102570893</t>
        </is>
      </c>
      <c r="I591" s="19">
        <f>HYPERLINK("https://www.jcpenney.com/s?searchTerm=195102570893", "Retail Link")</f>
        <v/>
      </c>
      <c r="J591" s="23" t="inlineStr">
        <is>
          <t>n/a</t>
        </is>
      </c>
      <c r="K591" s="21" t="inlineStr">
        <is>
          <t>PUMA Womens Softride One4all Cross Trainer, PUMA Womens Black-Rose Gold-PUMA Womens White, 7</t>
        </is>
      </c>
      <c r="L591" s="24" t="n">
        <v>66.5</v>
      </c>
      <c r="M591" s="24" t="n">
        <v>53.97</v>
      </c>
      <c r="N591" s="24" t="n">
        <v>-27.6555</v>
      </c>
      <c r="O591" s="24">
        <f>V591-M591</f>
        <v/>
      </c>
      <c r="P591" s="25">
        <f>N591/L591</f>
        <v/>
      </c>
      <c r="Q591" s="23" t="n">
        <v>268597</v>
      </c>
      <c r="R591" s="23" t="n"/>
      <c r="S591" s="26" t="n">
        <v>1.433003</v>
      </c>
      <c r="T591" s="24" t="inlineStr"/>
      <c r="U591" s="24" t="n">
        <v>53.97</v>
      </c>
      <c r="V591" s="24" t="n">
        <v>61.94</v>
      </c>
      <c r="W591" s="26" t="inlineStr">
        <is>
          <t>PUMA Softride One4all Womens Running Shoes</t>
        </is>
      </c>
      <c r="X591" s="23" t="n">
        <v>1</v>
      </c>
      <c r="Y591" s="18">
        <f>AC591-AB591</f>
        <v/>
      </c>
      <c r="Z591" s="27" t="n">
        <v>5</v>
      </c>
      <c r="AA591" s="27" t="n">
        <v>13</v>
      </c>
      <c r="AB591" s="27" t="n">
        <v>8</v>
      </c>
      <c r="AC591" s="27" t="n">
        <v>116</v>
      </c>
      <c r="AD591" s="1" t="inlineStr">
        <is>
          <t>37767201</t>
        </is>
      </c>
      <c r="AE591" s="1" t="inlineStr">
        <is>
          <t>Puma Black-rose Gold-puma White</t>
        </is>
      </c>
      <c r="AF591" s="4" t="inlineStr"/>
      <c r="AG591" s="4" t="n">
        <v>7.03</v>
      </c>
    </row>
    <row r="592" ht="47.25" customHeight="1">
      <c r="A592" s="18" t="inlineStr">
        <is>
          <t>195102570909</t>
        </is>
      </c>
      <c r="B592" s="19" t="inlineStr">
        <is>
          <t>https://www.amazon.com/dp/</t>
        </is>
      </c>
      <c r="C592" s="20" t="inlineStr">
        <is>
          <t>B0BVQ732TG</t>
        </is>
      </c>
      <c r="D592" s="44" t="n"/>
      <c r="E592" s="23" t="inlineStr">
        <is>
          <t>?th=1&amp;psc=1&amp;tag=sdcdeals03-20</t>
        </is>
      </c>
      <c r="F592" s="19">
        <f>HYPERLINK("https://redirect.sdcdeals.com/redirect?destination=https%3A%2F%2Fwww.amazon.com%2Fdp%2FB0BVQ732TG%3Fth%3D1%26psc%3D1%26tag%3Dsdcdeals03-20", "Amazon Link")</f>
        <v/>
      </c>
      <c r="G592" s="19" t="inlineStr">
        <is>
          <t>https://www.jcpenney.com/s?searchTerm={search_term}</t>
        </is>
      </c>
      <c r="H592" s="23" t="inlineStr">
        <is>
          <t>195102570909</t>
        </is>
      </c>
      <c r="I592" s="19">
        <f>HYPERLINK("https://www.jcpenney.com/s?searchTerm=195102570909", "Retail Link")</f>
        <v/>
      </c>
      <c r="J592" s="23" t="inlineStr">
        <is>
          <t>n/a</t>
        </is>
      </c>
      <c r="K592" s="21" t="inlineStr">
        <is>
          <t>PUMA Womens Softride One4all Cross Trainer, PUMA Womens Black-Rose Gold-PUMA Womens White, 7.5</t>
        </is>
      </c>
      <c r="L592" s="24" t="n">
        <v>66.5</v>
      </c>
      <c r="M592" s="24" t="n">
        <v>71.77</v>
      </c>
      <c r="N592" s="24" t="n">
        <v>-13.1155</v>
      </c>
      <c r="O592" s="24">
        <f>V592-M592</f>
        <v/>
      </c>
      <c r="P592" s="25">
        <f>N592/L592</f>
        <v/>
      </c>
      <c r="Q592" s="23" t="n">
        <v>186114</v>
      </c>
      <c r="R592" s="23" t="n"/>
      <c r="S592" s="26" t="n">
        <v>1.54102938</v>
      </c>
      <c r="T592" s="24" t="n">
        <v>62</v>
      </c>
      <c r="U592" s="24" t="n">
        <v>71.23999999999999</v>
      </c>
      <c r="V592" s="24" t="n">
        <v>69.17</v>
      </c>
      <c r="W592" s="26" t="inlineStr">
        <is>
          <t>PUMA Softride One4all Womens Running Shoes</t>
        </is>
      </c>
      <c r="X592" s="23" t="n">
        <v>3</v>
      </c>
      <c r="Y592" s="18">
        <f>AC592-AB592</f>
        <v/>
      </c>
      <c r="Z592" s="27" t="n">
        <v>30</v>
      </c>
      <c r="AA592" s="27" t="n">
        <v>43</v>
      </c>
      <c r="AB592" s="27" t="n">
        <v>4</v>
      </c>
      <c r="AC592" s="27" t="n">
        <v>117</v>
      </c>
      <c r="AD592" s="1" t="inlineStr">
        <is>
          <t>37767201</t>
        </is>
      </c>
      <c r="AE592" s="1" t="inlineStr">
        <is>
          <t>Puma Black-rose Gold-puma White</t>
        </is>
      </c>
      <c r="AF592" s="4" t="n">
        <v>10.77</v>
      </c>
      <c r="AG592" s="4" t="n">
        <v>7.62</v>
      </c>
    </row>
    <row r="593" ht="47.25" customHeight="1">
      <c r="A593" s="18" t="inlineStr">
        <is>
          <t>195102570916</t>
        </is>
      </c>
      <c r="B593" s="19" t="inlineStr">
        <is>
          <t>https://www.amazon.com/dp/</t>
        </is>
      </c>
      <c r="C593" s="20" t="inlineStr">
        <is>
          <t>B0BWLT4MGD</t>
        </is>
      </c>
      <c r="D593" s="44" t="n"/>
      <c r="E593" s="23" t="inlineStr">
        <is>
          <t>?th=1&amp;psc=1&amp;tag=sdcdeals03-20</t>
        </is>
      </c>
      <c r="F593" s="19">
        <f>HYPERLINK("https://redirect.sdcdeals.com/redirect?destination=https%3A%2F%2Fwww.amazon.com%2Fdp%2FB0BWLT4MGD%3Fth%3D1%26psc%3D1%26tag%3Dsdcdeals03-20", "Amazon Link")</f>
        <v/>
      </c>
      <c r="G593" s="19" t="inlineStr">
        <is>
          <t>https://www.jcpenney.com/s?searchTerm={search_term}</t>
        </is>
      </c>
      <c r="H593" s="23" t="inlineStr">
        <is>
          <t>195102570916</t>
        </is>
      </c>
      <c r="I593" s="19">
        <f>HYPERLINK("https://www.jcpenney.com/s?searchTerm=195102570916", "Retail Link")</f>
        <v/>
      </c>
      <c r="J593" s="23" t="inlineStr">
        <is>
          <t>n/a</t>
        </is>
      </c>
      <c r="K593" s="21" t="inlineStr">
        <is>
          <t>PUMA Womens Softride One4all Cross Trainer, PUMA Womens Black-Rose Gold-PUMA Womens White, 8</t>
        </is>
      </c>
      <c r="L593" s="24" t="n">
        <v>66.5</v>
      </c>
      <c r="M593" s="24" t="n">
        <v>63.67</v>
      </c>
      <c r="N593" s="24" t="n">
        <v>-20.1605</v>
      </c>
      <c r="O593" s="24">
        <f>V593-M593</f>
        <v/>
      </c>
      <c r="P593" s="25">
        <f>N593/L593</f>
        <v/>
      </c>
      <c r="Q593" s="23" t="n"/>
      <c r="R593" s="23" t="n"/>
      <c r="S593" s="26" t="n">
        <v>1.55866634</v>
      </c>
      <c r="T593" s="24" t="inlineStr"/>
      <c r="U593" s="24" t="n">
        <v>63.67</v>
      </c>
      <c r="V593" s="24" t="n">
        <v>66.13</v>
      </c>
      <c r="W593" s="26" t="inlineStr">
        <is>
          <t>PUMA Softride One4all Womens Running Shoes</t>
        </is>
      </c>
      <c r="X593" s="23" t="n">
        <v>1</v>
      </c>
      <c r="Y593" s="18">
        <f>AC593-AB593</f>
        <v/>
      </c>
      <c r="Z593" s="27" t="n">
        <v>10</v>
      </c>
      <c r="AA593" s="27" t="n">
        <v>28</v>
      </c>
      <c r="AB593" s="27" t="n">
        <v>11</v>
      </c>
      <c r="AC593" s="27" t="n">
        <v>114</v>
      </c>
      <c r="AD593" s="1" t="inlineStr">
        <is>
          <t>37767201</t>
        </is>
      </c>
      <c r="AE593" s="1" t="inlineStr">
        <is>
          <t>Puma Black-rose Gold-puma White</t>
        </is>
      </c>
      <c r="AF593" s="4" t="inlineStr"/>
      <c r="AG593" s="4" t="n">
        <v>7.78</v>
      </c>
    </row>
    <row r="594" ht="47.25" customHeight="1">
      <c r="A594" s="18" t="inlineStr">
        <is>
          <t>195102570923</t>
        </is>
      </c>
      <c r="B594" s="19" t="inlineStr">
        <is>
          <t>https://www.amazon.com/dp/</t>
        </is>
      </c>
      <c r="C594" s="20" t="inlineStr">
        <is>
          <t>B0BWLQJZXY</t>
        </is>
      </c>
      <c r="D594" s="44" t="n"/>
      <c r="E594" s="23" t="inlineStr">
        <is>
          <t>?th=1&amp;psc=1&amp;tag=sdcdeals03-20</t>
        </is>
      </c>
      <c r="F594" s="19">
        <f>HYPERLINK("https://redirect.sdcdeals.com/redirect?destination=https%3A%2F%2Fwww.amazon.com%2Fdp%2FB0BWLQJZXY%3Fth%3D1%26psc%3D1%26tag%3Dsdcdeals03-20", "Amazon Link")</f>
        <v/>
      </c>
      <c r="G594" s="19" t="inlineStr">
        <is>
          <t>https://www.jcpenney.com/s?searchTerm={search_term}</t>
        </is>
      </c>
      <c r="H594" s="23" t="inlineStr">
        <is>
          <t>195102570923</t>
        </is>
      </c>
      <c r="I594" s="19">
        <f>HYPERLINK("https://www.jcpenney.com/s?searchTerm=195102570923", "Retail Link")</f>
        <v/>
      </c>
      <c r="J594" s="23" t="inlineStr">
        <is>
          <t>n/a</t>
        </is>
      </c>
      <c r="K594" s="21" t="inlineStr">
        <is>
          <t>PUMA Womens Softride One4all Cross Trainer, PUMA Womens Black-Rose Gold-PUMA Womens White, 8.5</t>
        </is>
      </c>
      <c r="L594" s="24" t="n">
        <v>66.5</v>
      </c>
      <c r="M594" s="24" t="n">
        <v>73.94</v>
      </c>
      <c r="N594" s="24" t="n">
        <v>-11.271</v>
      </c>
      <c r="O594" s="24">
        <f>V594-M594</f>
        <v/>
      </c>
      <c r="P594" s="25">
        <f>N594/L594</f>
        <v/>
      </c>
      <c r="Q594" s="23" t="n">
        <v>195047</v>
      </c>
      <c r="R594" s="23" t="n"/>
      <c r="S594" s="26" t="n">
        <v>1.56087096</v>
      </c>
      <c r="T594" s="24" t="n">
        <v>73.94</v>
      </c>
      <c r="U594" s="24" t="n">
        <v>65.75</v>
      </c>
      <c r="V594" s="24" t="n">
        <v>62.79</v>
      </c>
      <c r="W594" s="26" t="inlineStr">
        <is>
          <t>PUMA Softride One4all Womens Running Shoes</t>
        </is>
      </c>
      <c r="X594" s="23" t="n">
        <v>1</v>
      </c>
      <c r="Y594" s="18">
        <f>AC594-AB594</f>
        <v/>
      </c>
      <c r="Z594" s="27" t="n">
        <v>23</v>
      </c>
      <c r="AA594" s="27" t="n">
        <v>57</v>
      </c>
      <c r="AB594" s="27" t="n">
        <v>6</v>
      </c>
      <c r="AC594" s="27" t="n">
        <v>117</v>
      </c>
      <c r="AD594" s="1" t="inlineStr">
        <is>
          <t>37767201</t>
        </is>
      </c>
      <c r="AE594" s="1" t="inlineStr">
        <is>
          <t>Puma Black-rose Gold-puma White</t>
        </is>
      </c>
      <c r="AF594" s="4" t="n">
        <v>11.09</v>
      </c>
      <c r="AG594" s="4" t="n">
        <v>7.62</v>
      </c>
    </row>
    <row r="595" ht="47.25" customHeight="1">
      <c r="A595" s="18" t="inlineStr">
        <is>
          <t>195102570930</t>
        </is>
      </c>
      <c r="B595" s="19" t="inlineStr">
        <is>
          <t>https://www.amazon.com/dp/</t>
        </is>
      </c>
      <c r="C595" s="20" t="inlineStr">
        <is>
          <t>B0BVPTJQFY</t>
        </is>
      </c>
      <c r="D595" s="44" t="n"/>
      <c r="E595" s="23" t="inlineStr">
        <is>
          <t>?th=1&amp;psc=1&amp;tag=sdcdeals03-20</t>
        </is>
      </c>
      <c r="F595" s="19">
        <f>HYPERLINK("https://redirect.sdcdeals.com/redirect?destination=https%3A%2F%2Fwww.amazon.com%2Fdp%2FB0BVPTJQFY%3Fth%3D1%26psc%3D1%26tag%3Dsdcdeals03-20", "Amazon Link")</f>
        <v/>
      </c>
      <c r="G595" s="19" t="inlineStr">
        <is>
          <t>https://www.jcpenney.com/s?searchTerm={search_term}</t>
        </is>
      </c>
      <c r="H595" s="23" t="inlineStr">
        <is>
          <t>195102570930</t>
        </is>
      </c>
      <c r="I595" s="19">
        <f>HYPERLINK("https://www.jcpenney.com/s?searchTerm=195102570930", "Retail Link")</f>
        <v/>
      </c>
      <c r="J595" s="23" t="inlineStr">
        <is>
          <t>n/a</t>
        </is>
      </c>
      <c r="K595" s="21" t="inlineStr">
        <is>
          <t>PUMA Womens Softride One4all Cross Trainer, PUMA Womens Black-Rose Gold-PUMA Womens White, 9</t>
        </is>
      </c>
      <c r="L595" s="24" t="n">
        <v>66.5</v>
      </c>
      <c r="M595" s="24" t="n">
        <v>69.95</v>
      </c>
      <c r="N595" s="24" t="n">
        <v>-14.8225</v>
      </c>
      <c r="O595" s="24">
        <f>V595-M595</f>
        <v/>
      </c>
      <c r="P595" s="25">
        <f>N595/L595</f>
        <v/>
      </c>
      <c r="Q595" s="23" t="n">
        <v>208133</v>
      </c>
      <c r="R595" s="23" t="n"/>
      <c r="S595" s="26" t="n">
        <v>1.63803266</v>
      </c>
      <c r="T595" s="24" t="n">
        <v>69.95</v>
      </c>
      <c r="U595" s="24" t="n">
        <v>69.41</v>
      </c>
      <c r="V595" s="24" t="n">
        <v>65.3</v>
      </c>
      <c r="W595" s="26" t="inlineStr">
        <is>
          <t>PUMA Softride One4all Womens Running Shoes</t>
        </is>
      </c>
      <c r="X595" s="23" t="n">
        <v>1</v>
      </c>
      <c r="Y595" s="18">
        <f>AC595-AB595</f>
        <v/>
      </c>
      <c r="Z595" s="27" t="n">
        <v>22</v>
      </c>
      <c r="AA595" s="27" t="n">
        <v>47</v>
      </c>
      <c r="AB595" s="27" t="n">
        <v>9</v>
      </c>
      <c r="AC595" s="27" t="n">
        <v>116</v>
      </c>
      <c r="AD595" s="1" t="inlineStr">
        <is>
          <t>37767201</t>
        </is>
      </c>
      <c r="AE595" s="1" t="inlineStr">
        <is>
          <t>Puma Black-rose Gold-puma White</t>
        </is>
      </c>
      <c r="AF595" s="4" t="n">
        <v>10.49</v>
      </c>
      <c r="AG595" s="4" t="n">
        <v>7.78</v>
      </c>
    </row>
    <row r="596" ht="47.25" customHeight="1">
      <c r="A596" s="18" t="inlineStr">
        <is>
          <t>195102570947</t>
        </is>
      </c>
      <c r="B596" s="19" t="inlineStr">
        <is>
          <t>https://www.amazon.com/dp/</t>
        </is>
      </c>
      <c r="C596" s="20" t="inlineStr">
        <is>
          <t>B0BXBDSVDW</t>
        </is>
      </c>
      <c r="D596" s="44" t="n"/>
      <c r="E596" s="23" t="inlineStr">
        <is>
          <t>?th=1&amp;psc=1&amp;tag=sdcdeals03-20</t>
        </is>
      </c>
      <c r="F596" s="19">
        <f>HYPERLINK("https://redirect.sdcdeals.com/redirect?destination=https%3A%2F%2Fwww.amazon.com%2Fdp%2FB0BXBDSVDW%3Fth%3D1%26psc%3D1%26tag%3Dsdcdeals03-20", "Amazon Link")</f>
        <v/>
      </c>
      <c r="G596" s="19" t="inlineStr">
        <is>
          <t>https://www.jcpenney.com/s?searchTerm={search_term}</t>
        </is>
      </c>
      <c r="H596" s="23" t="inlineStr">
        <is>
          <t>195102570947</t>
        </is>
      </c>
      <c r="I596" s="19">
        <f>HYPERLINK("https://www.jcpenney.com/s?searchTerm=195102570947", "Retail Link")</f>
        <v/>
      </c>
      <c r="J596" s="23" t="inlineStr">
        <is>
          <t>n/a</t>
        </is>
      </c>
      <c r="K596" s="21" t="inlineStr">
        <is>
          <t>PUMA Womens Softride One4all Cross Trainer, PUMA Womens Black-Rose Gold-PUMA Womens White, 9.5</t>
        </is>
      </c>
      <c r="L596" s="24" t="n">
        <v>66.5</v>
      </c>
      <c r="M596" s="24" t="n">
        <v>69.95</v>
      </c>
      <c r="N596" s="24" t="n">
        <v>-14.7425</v>
      </c>
      <c r="O596" s="24">
        <f>V596-M596</f>
        <v/>
      </c>
      <c r="P596" s="25">
        <f>N596/L596</f>
        <v/>
      </c>
      <c r="Q596" s="23" t="n">
        <v>196367</v>
      </c>
      <c r="R596" s="23" t="n"/>
      <c r="S596" s="26" t="n">
        <v>1.67771582</v>
      </c>
      <c r="T596" s="24" t="inlineStr"/>
      <c r="U596" s="24" t="n">
        <v>69.95</v>
      </c>
      <c r="V596" s="24" t="n">
        <v>64.98</v>
      </c>
      <c r="W596" s="26" t="inlineStr">
        <is>
          <t>PUMA Softride One4all Womens Running Shoes</t>
        </is>
      </c>
      <c r="X596" s="23" t="n">
        <v>1</v>
      </c>
      <c r="Y596" s="18">
        <f>AC596-AB596</f>
        <v/>
      </c>
      <c r="Z596" s="27" t="n">
        <v>17</v>
      </c>
      <c r="AA596" s="27" t="n">
        <v>25</v>
      </c>
      <c r="AB596" s="27" t="n">
        <v>3</v>
      </c>
      <c r="AC596" s="27" t="n">
        <v>116</v>
      </c>
      <c r="AD596" s="1" t="inlineStr">
        <is>
          <t>37767201</t>
        </is>
      </c>
      <c r="AE596" s="1" t="inlineStr">
        <is>
          <t>Puma Black-rose Gold-puma White</t>
        </is>
      </c>
      <c r="AF596" s="4" t="inlineStr"/>
      <c r="AG596" s="4" t="n">
        <v>7.7</v>
      </c>
    </row>
    <row r="597" ht="47.25" customHeight="1">
      <c r="A597" s="18" t="inlineStr">
        <is>
          <t>195102570954</t>
        </is>
      </c>
      <c r="B597" s="19" t="inlineStr">
        <is>
          <t>https://www.amazon.com/dp/</t>
        </is>
      </c>
      <c r="C597" s="20" t="inlineStr">
        <is>
          <t>B0BXGV67KK</t>
        </is>
      </c>
      <c r="D597" s="44" t="n"/>
      <c r="E597" s="23" t="inlineStr">
        <is>
          <t>?th=1&amp;psc=1&amp;tag=sdcdeals03-20</t>
        </is>
      </c>
      <c r="F597" s="19">
        <f>HYPERLINK("https://redirect.sdcdeals.com/redirect?destination=https%3A%2F%2Fwww.amazon.com%2Fdp%2FB0BXGV67KK%3Fth%3D1%26psc%3D1%26tag%3Dsdcdeals03-20", "Amazon Link")</f>
        <v/>
      </c>
      <c r="G597" s="19" t="inlineStr">
        <is>
          <t>https://www.jcpenney.com/s?searchTerm={search_term}</t>
        </is>
      </c>
      <c r="H597" s="23" t="inlineStr">
        <is>
          <t>195102570954</t>
        </is>
      </c>
      <c r="I597" s="19">
        <f>HYPERLINK("https://www.jcpenney.com/s?searchTerm=195102570954", "Retail Link")</f>
        <v/>
      </c>
      <c r="J597" s="23" t="inlineStr">
        <is>
          <t>n/a</t>
        </is>
      </c>
      <c r="K597" s="21" t="inlineStr">
        <is>
          <t>PUMA Womens Softride One4all Cross Trainer, PUMA Womens Black-Rose Gold-PUMA Womens White, 10</t>
        </is>
      </c>
      <c r="L597" s="24" t="n">
        <v>66.5</v>
      </c>
      <c r="M597" s="24" t="n">
        <v>66.47</v>
      </c>
      <c r="N597" s="24" t="n">
        <v>-17.8605</v>
      </c>
      <c r="O597" s="24">
        <f>V597-M597</f>
        <v/>
      </c>
      <c r="P597" s="25">
        <f>N597/L597</f>
        <v/>
      </c>
      <c r="Q597" s="23" t="n">
        <v>197965</v>
      </c>
      <c r="R597" s="23" t="n"/>
      <c r="S597" s="26" t="n">
        <v>1.69094354</v>
      </c>
      <c r="T597" s="24" t="inlineStr"/>
      <c r="U597" s="24" t="n">
        <v>66.47</v>
      </c>
      <c r="V597" s="24" t="n">
        <v>64.2</v>
      </c>
      <c r="W597" s="26" t="inlineStr">
        <is>
          <t>PUMA Softride One4all Womens Running Shoes</t>
        </is>
      </c>
      <c r="X597" s="23" t="n">
        <v>1</v>
      </c>
      <c r="Y597" s="18">
        <f>AC597-AB597</f>
        <v/>
      </c>
      <c r="Z597" s="27" t="n">
        <v>9</v>
      </c>
      <c r="AA597" s="27" t="n">
        <v>18</v>
      </c>
      <c r="AB597" s="27" t="n">
        <v>5</v>
      </c>
      <c r="AC597" s="27" t="n">
        <v>114</v>
      </c>
      <c r="AD597" s="1" t="inlineStr">
        <is>
          <t>37767201</t>
        </is>
      </c>
      <c r="AE597" s="1" t="inlineStr">
        <is>
          <t>Puma Black-rose Gold-puma White</t>
        </is>
      </c>
      <c r="AF597" s="4" t="inlineStr"/>
      <c r="AG597" s="4" t="n">
        <v>7.86</v>
      </c>
    </row>
    <row r="598" ht="47.25" customHeight="1">
      <c r="A598" s="18" t="inlineStr">
        <is>
          <t>195102570978</t>
        </is>
      </c>
      <c r="B598" s="19" t="inlineStr">
        <is>
          <t>https://www.amazon.com/dp/</t>
        </is>
      </c>
      <c r="C598" s="20" t="inlineStr">
        <is>
          <t>B0BWW88RL2</t>
        </is>
      </c>
      <c r="D598" s="44" t="n"/>
      <c r="E598" s="23" t="inlineStr">
        <is>
          <t>?th=1&amp;psc=1&amp;tag=sdcdeals03-20</t>
        </is>
      </c>
      <c r="F598" s="19">
        <f>HYPERLINK("https://redirect.sdcdeals.com/redirect?destination=https%3A%2F%2Fwww.amazon.com%2Fdp%2FB0BWW88RL2%3Fth%3D1%26psc%3D1%26tag%3Dsdcdeals03-20", "Amazon Link")</f>
        <v/>
      </c>
      <c r="G598" s="19" t="inlineStr">
        <is>
          <t>https://www.jcpenney.com/s?searchTerm={search_term}</t>
        </is>
      </c>
      <c r="H598" s="23" t="inlineStr">
        <is>
          <t>195102570978</t>
        </is>
      </c>
      <c r="I598" s="19">
        <f>HYPERLINK("https://www.jcpenney.com/s?searchTerm=195102570978", "Retail Link")</f>
        <v/>
      </c>
      <c r="J598" s="23" t="inlineStr">
        <is>
          <t>n/a</t>
        </is>
      </c>
      <c r="K598" s="21" t="inlineStr">
        <is>
          <t>PUMA Women's Softride One4all WN's Sneaker, Black-Rose Gold White, 11</t>
        </is>
      </c>
      <c r="L598" s="24" t="n">
        <v>66.5</v>
      </c>
      <c r="M598" s="24" t="n">
        <v>56.45</v>
      </c>
      <c r="N598" s="24" t="n">
        <v>-26.0575</v>
      </c>
      <c r="O598" s="24">
        <f>V598-M598</f>
        <v/>
      </c>
      <c r="P598" s="25">
        <f>N598/L598</f>
        <v/>
      </c>
      <c r="Q598" s="23" t="n">
        <v>4198723</v>
      </c>
      <c r="R598" s="23" t="n"/>
      <c r="S598" s="26" t="n">
        <v>1.36906902</v>
      </c>
      <c r="T598" s="24" t="n">
        <v>56.45</v>
      </c>
      <c r="U598" s="24" t="inlineStr"/>
      <c r="V598" s="24" t="n">
        <v>55.7</v>
      </c>
      <c r="W598" s="26" t="inlineStr">
        <is>
          <t>PUMA Softride One4all Womens Running Shoes</t>
        </is>
      </c>
      <c r="X598" s="23" t="n">
        <v>1</v>
      </c>
      <c r="Y598" s="18">
        <f>AC598-AB598</f>
        <v/>
      </c>
      <c r="Z598" s="27" t="n">
        <v>0</v>
      </c>
      <c r="AA598" s="27" t="n">
        <v>8</v>
      </c>
      <c r="AB598" s="27" t="n">
        <v>0</v>
      </c>
      <c r="AC598" s="27" t="n"/>
      <c r="AD598" s="1" t="inlineStr">
        <is>
          <t>37767201</t>
        </is>
      </c>
      <c r="AE598" s="1" t="inlineStr">
        <is>
          <t>Puma Black-rose Gold-puma White</t>
        </is>
      </c>
      <c r="AF598" s="4" t="inlineStr"/>
      <c r="AG598" s="4" t="n">
        <v>7.54</v>
      </c>
    </row>
    <row r="599" ht="47.25" customHeight="1">
      <c r="A599" s="18" t="inlineStr">
        <is>
          <t>195748940821</t>
        </is>
      </c>
      <c r="B599" s="19" t="inlineStr">
        <is>
          <t>https://www.amazon.com/dp/</t>
        </is>
      </c>
      <c r="C599" s="20" t="inlineStr">
        <is>
          <t>B0BHPRL4D8</t>
        </is>
      </c>
      <c r="D599" s="44" t="n"/>
      <c r="E599" s="23" t="inlineStr">
        <is>
          <t>?th=1&amp;psc=1&amp;tag=sdcdeals03-20</t>
        </is>
      </c>
      <c r="F599" s="19">
        <f>HYPERLINK("https://redirect.sdcdeals.com/redirect?destination=https%3A%2F%2Fwww.amazon.com%2Fdp%2FB0BHPRL4D8%3Fth%3D1%26psc%3D1%26tag%3Dsdcdeals03-20", "Amazon Link")</f>
        <v/>
      </c>
      <c r="G599" s="19" t="inlineStr">
        <is>
          <t>https://www.jcpenney.com/s?searchTerm={search_term}</t>
        </is>
      </c>
      <c r="H599" s="23" t="inlineStr">
        <is>
          <t>195748940821</t>
        </is>
      </c>
      <c r="I599" s="19">
        <f>HYPERLINK("https://www.jcpenney.com/s?searchTerm=195748940821", "Retail Link")</f>
        <v/>
      </c>
      <c r="J599" s="23" t="inlineStr">
        <is>
          <t>n/a</t>
        </is>
      </c>
      <c r="K599" s="21" t="inlineStr">
        <is>
          <t>adidas Women's Eastrail 2.0 Sneaker, Black/Carbon/Grey, 5</t>
        </is>
      </c>
      <c r="L599" s="24" t="n">
        <v>47.4905</v>
      </c>
      <c r="M599" s="24" t="inlineStr"/>
      <c r="N599" s="24" t="n"/>
      <c r="O599" s="24">
        <f>V599-M599</f>
        <v/>
      </c>
      <c r="P599" s="25">
        <f>N599/L599</f>
        <v/>
      </c>
      <c r="Q599" s="23" t="n"/>
      <c r="R599" s="23" t="n"/>
      <c r="S599" s="26" t="n">
        <v>1.00089748</v>
      </c>
      <c r="T599" s="24" t="inlineStr"/>
      <c r="U599" s="24" t="inlineStr"/>
      <c r="V599" s="24" t="inlineStr"/>
      <c r="W599" s="26" t="inlineStr">
        <is>
          <t>adidas Womens Terrex Easttrail 2 Hiking Shoes</t>
        </is>
      </c>
      <c r="X599" s="23" t="n"/>
      <c r="Y599" s="18">
        <f>AC599-AB599</f>
        <v/>
      </c>
      <c r="Z599" s="27" t="n">
        <v>1</v>
      </c>
      <c r="AA599" s="27" t="n">
        <v>4</v>
      </c>
      <c r="AB599" s="27" t="n">
        <v>0</v>
      </c>
      <c r="AC599" s="27" t="n">
        <v>1</v>
      </c>
      <c r="AD599" s="1" t="inlineStr">
        <is>
          <t>LTG30</t>
        </is>
      </c>
      <c r="AE599" s="1" t="inlineStr">
        <is>
          <t>Black/Carbon/Grey</t>
        </is>
      </c>
      <c r="AF599" s="4" t="inlineStr"/>
      <c r="AG599" s="4" t="n">
        <v>8.1</v>
      </c>
    </row>
    <row r="600" ht="47.25" customHeight="1">
      <c r="A600" s="18" t="inlineStr">
        <is>
          <t>195748940814</t>
        </is>
      </c>
      <c r="B600" s="19" t="inlineStr">
        <is>
          <t>https://www.amazon.com/dp/</t>
        </is>
      </c>
      <c r="C600" s="20" t="inlineStr">
        <is>
          <t>B0BHPNV4R9</t>
        </is>
      </c>
      <c r="D600" s="44" t="n"/>
      <c r="E600" s="23" t="inlineStr">
        <is>
          <t>?th=1&amp;psc=1&amp;tag=sdcdeals03-20</t>
        </is>
      </c>
      <c r="F600" s="19">
        <f>HYPERLINK("https://redirect.sdcdeals.com/redirect?destination=https%3A%2F%2Fwww.amazon.com%2Fdp%2FB0BHPNV4R9%3Fth%3D1%26psc%3D1%26tag%3Dsdcdeals03-20", "Amazon Link")</f>
        <v/>
      </c>
      <c r="G600" s="19" t="inlineStr">
        <is>
          <t>https://www.jcpenney.com/s?searchTerm={search_term}</t>
        </is>
      </c>
      <c r="H600" s="23" t="inlineStr">
        <is>
          <t>195748940814</t>
        </is>
      </c>
      <c r="I600" s="19">
        <f>HYPERLINK("https://www.jcpenney.com/s?searchTerm=195748940814", "Retail Link")</f>
        <v/>
      </c>
      <c r="J600" s="23" t="inlineStr">
        <is>
          <t>n/a</t>
        </is>
      </c>
      <c r="K600" s="21" t="inlineStr">
        <is>
          <t>adidas Women's Eastrail 2.0 Sneaker, Black/Carbon/Grey, 5.5</t>
        </is>
      </c>
      <c r="L600" s="24" t="n">
        <v>47.4905</v>
      </c>
      <c r="M600" s="24" t="n">
        <v>86.58</v>
      </c>
      <c r="N600" s="24" t="n">
        <v>18.4825</v>
      </c>
      <c r="O600" s="24">
        <f>V600-M600</f>
        <v/>
      </c>
      <c r="P600" s="25">
        <f>N600/L600</f>
        <v/>
      </c>
      <c r="Q600" s="23" t="n">
        <v>1345026</v>
      </c>
      <c r="R600" s="23" t="n"/>
      <c r="S600" s="26" t="n">
        <v>1.84967618</v>
      </c>
      <c r="T600" s="24" t="n">
        <v>86.58</v>
      </c>
      <c r="U600" s="24" t="n">
        <v>73.34</v>
      </c>
      <c r="V600" s="24" t="n">
        <v>73.36</v>
      </c>
      <c r="W600" s="26" t="inlineStr">
        <is>
          <t>adidas Womens Terrex Easttrail 2 Hiking Shoes</t>
        </is>
      </c>
      <c r="X600" s="23" t="n">
        <v>1</v>
      </c>
      <c r="Y600" s="18">
        <f>AC600-AB600</f>
        <v/>
      </c>
      <c r="Z600" s="27" t="n">
        <v>6</v>
      </c>
      <c r="AA600" s="27" t="n">
        <v>18</v>
      </c>
      <c r="AB600" s="27" t="n">
        <v>0</v>
      </c>
      <c r="AC600" s="27" t="n">
        <v>2</v>
      </c>
      <c r="AD600" s="1" t="inlineStr">
        <is>
          <t>LTG30</t>
        </is>
      </c>
      <c r="AE600" s="1" t="inlineStr">
        <is>
          <t>Black/Carbon/Grey</t>
        </is>
      </c>
      <c r="AF600" s="4" t="n">
        <v>12.99</v>
      </c>
      <c r="AG600" s="4" t="n">
        <v>7.62</v>
      </c>
    </row>
    <row r="601" ht="47.25" customHeight="1">
      <c r="A601" s="18" t="inlineStr">
        <is>
          <t>195748940890</t>
        </is>
      </c>
      <c r="B601" s="19" t="inlineStr">
        <is>
          <t>https://www.amazon.com/dp/</t>
        </is>
      </c>
      <c r="C601" s="20" t="inlineStr">
        <is>
          <t>B0BHPQBTDW</t>
        </is>
      </c>
      <c r="D601" s="44" t="n"/>
      <c r="E601" s="23" t="inlineStr">
        <is>
          <t>?th=1&amp;psc=1&amp;tag=sdcdeals03-20</t>
        </is>
      </c>
      <c r="F601" s="19">
        <f>HYPERLINK("https://redirect.sdcdeals.com/redirect?destination=https%3A%2F%2Fwww.amazon.com%2Fdp%2FB0BHPQBTDW%3Fth%3D1%26psc%3D1%26tag%3Dsdcdeals03-20", "Amazon Link")</f>
        <v/>
      </c>
      <c r="G601" s="19" t="inlineStr">
        <is>
          <t>https://www.jcpenney.com/s?searchTerm={search_term}</t>
        </is>
      </c>
      <c r="H601" s="23" t="inlineStr">
        <is>
          <t>195748940890</t>
        </is>
      </c>
      <c r="I601" s="19">
        <f>HYPERLINK("https://www.jcpenney.com/s?searchTerm=195748940890", "Retail Link")</f>
        <v/>
      </c>
      <c r="J601" s="23" t="inlineStr">
        <is>
          <t>n/a</t>
        </is>
      </c>
      <c r="K601" s="21" t="inlineStr">
        <is>
          <t>adidas Women's Eastrail 2.0 Hiking Sneaker, Black/Carbon/Grey, 6</t>
        </is>
      </c>
      <c r="L601" s="24" t="n">
        <v>47.4905</v>
      </c>
      <c r="M601" s="24" t="n">
        <v>78.70999999999999</v>
      </c>
      <c r="N601" s="24" t="n">
        <v>11.793</v>
      </c>
      <c r="O601" s="24">
        <f>V601-M601</f>
        <v/>
      </c>
      <c r="P601" s="25">
        <f>N601/L601</f>
        <v/>
      </c>
      <c r="Q601" s="23" t="n">
        <v>8642007</v>
      </c>
      <c r="R601" s="23" t="n"/>
      <c r="S601" s="26" t="n">
        <v>1.67992044</v>
      </c>
      <c r="T601" s="24" t="n">
        <v>78.7</v>
      </c>
      <c r="U601" s="24" t="n">
        <v>74.11</v>
      </c>
      <c r="V601" s="24" t="n">
        <v>72.12</v>
      </c>
      <c r="W601" s="26" t="inlineStr">
        <is>
          <t>adidas Womens Terrex Easttrail 2 Hiking Shoes</t>
        </is>
      </c>
      <c r="X601" s="23" t="n">
        <v>2</v>
      </c>
      <c r="Y601" s="18">
        <f>AC601-AB601</f>
        <v/>
      </c>
      <c r="Z601" s="27" t="n">
        <v>0</v>
      </c>
      <c r="AA601" s="27" t="n">
        <v>0</v>
      </c>
      <c r="AB601" s="27" t="n">
        <v>0</v>
      </c>
      <c r="AC601" s="27" t="n"/>
      <c r="AD601" s="1" t="inlineStr">
        <is>
          <t>LTG30</t>
        </is>
      </c>
      <c r="AE601" s="1" t="inlineStr">
        <is>
          <t>Black/Carbon/Grey</t>
        </is>
      </c>
      <c r="AF601" s="4" t="n">
        <v>11.81</v>
      </c>
      <c r="AG601" s="4" t="n">
        <v>7.62</v>
      </c>
    </row>
    <row r="602" ht="47.25" customHeight="1">
      <c r="A602" s="18" t="inlineStr">
        <is>
          <t>195748940852</t>
        </is>
      </c>
      <c r="B602" s="19" t="inlineStr">
        <is>
          <t>https://www.amazon.com/dp/</t>
        </is>
      </c>
      <c r="C602" s="20" t="inlineStr">
        <is>
          <t>B0BHPTRL4Q</t>
        </is>
      </c>
      <c r="D602" s="44" t="n"/>
      <c r="E602" s="23" t="inlineStr">
        <is>
          <t>?th=1&amp;psc=1&amp;tag=sdcdeals03-20</t>
        </is>
      </c>
      <c r="F602" s="19">
        <f>HYPERLINK("https://redirect.sdcdeals.com/redirect?destination=https%3A%2F%2Fwww.amazon.com%2Fdp%2FB0BHPTRL4Q%3Fth%3D1%26psc%3D1%26tag%3Dsdcdeals03-20", "Amazon Link")</f>
        <v/>
      </c>
      <c r="G602" s="19" t="inlineStr">
        <is>
          <t>https://www.jcpenney.com/s?searchTerm={search_term}</t>
        </is>
      </c>
      <c r="H602" s="23" t="inlineStr">
        <is>
          <t>195748940852</t>
        </is>
      </c>
      <c r="I602" s="19">
        <f>HYPERLINK("https://www.jcpenney.com/s?searchTerm=195748940852", "Retail Link")</f>
        <v/>
      </c>
      <c r="J602" s="23" t="inlineStr">
        <is>
          <t>n/a</t>
        </is>
      </c>
      <c r="K602" s="21" t="inlineStr">
        <is>
          <t>adidas Women's Eastrail 2.0 Hiking Sneaker, Black/Carbon/Grey, 6.5</t>
        </is>
      </c>
      <c r="L602" s="24" t="n">
        <v>47.4905</v>
      </c>
      <c r="M602" s="24" t="n">
        <v>49.97</v>
      </c>
      <c r="N602" s="24" t="n">
        <v>-12.716</v>
      </c>
      <c r="O602" s="24">
        <f>V602-M602</f>
        <v/>
      </c>
      <c r="P602" s="25">
        <f>N602/L602</f>
        <v/>
      </c>
      <c r="Q602" s="23" t="n">
        <v>8638684</v>
      </c>
      <c r="R602" s="23" t="n"/>
      <c r="S602" s="26" t="n">
        <v>1.8518808</v>
      </c>
      <c r="T602" s="24" t="n">
        <v>49.97</v>
      </c>
      <c r="U602" s="24" t="n">
        <v>56.27</v>
      </c>
      <c r="V602" s="24" t="n">
        <v>61.64</v>
      </c>
      <c r="W602" s="26" t="inlineStr">
        <is>
          <t>adidas Womens Terrex Easttrail 2 Hiking Shoes</t>
        </is>
      </c>
      <c r="X602" s="23" t="n">
        <v>2</v>
      </c>
      <c r="Y602" s="18">
        <f>AC602-AB602</f>
        <v/>
      </c>
      <c r="Z602" s="27" t="n">
        <v>0</v>
      </c>
      <c r="AA602" s="27" t="n">
        <v>0</v>
      </c>
      <c r="AB602" s="27" t="n">
        <v>0</v>
      </c>
      <c r="AC602" s="27" t="n"/>
      <c r="AD602" s="1" t="inlineStr">
        <is>
          <t>LTG30</t>
        </is>
      </c>
      <c r="AE602" s="1" t="inlineStr">
        <is>
          <t>Black/Carbon/Grey</t>
        </is>
      </c>
      <c r="AF602" s="4" t="n">
        <v>7.5</v>
      </c>
      <c r="AG602" s="4" t="n">
        <v>7.7</v>
      </c>
    </row>
    <row r="603" ht="47.25" customHeight="1">
      <c r="A603" s="18" t="inlineStr">
        <is>
          <t>195748940869</t>
        </is>
      </c>
      <c r="B603" s="19" t="inlineStr">
        <is>
          <t>https://www.amazon.com/dp/</t>
        </is>
      </c>
      <c r="C603" s="20" t="inlineStr">
        <is>
          <t>B0BHPQTVCS</t>
        </is>
      </c>
      <c r="D603" s="44" t="n"/>
      <c r="E603" s="23" t="inlineStr">
        <is>
          <t>?th=1&amp;psc=1&amp;tag=sdcdeals03-20</t>
        </is>
      </c>
      <c r="F603" s="19">
        <f>HYPERLINK("https://redirect.sdcdeals.com/redirect?destination=https%3A%2F%2Fwww.amazon.com%2Fdp%2FB0BHPQTVCS%3Fth%3D1%26psc%3D1%26tag%3Dsdcdeals03-20", "Amazon Link")</f>
        <v/>
      </c>
      <c r="G603" s="19" t="inlineStr">
        <is>
          <t>https://www.jcpenney.com/s?searchTerm={search_term}</t>
        </is>
      </c>
      <c r="H603" s="23" t="inlineStr">
        <is>
          <t>195748940869</t>
        </is>
      </c>
      <c r="I603" s="19">
        <f>HYPERLINK("https://www.jcpenney.com/s?searchTerm=195748940869", "Retail Link")</f>
        <v/>
      </c>
      <c r="J603" s="23" t="inlineStr">
        <is>
          <t>n/a</t>
        </is>
      </c>
      <c r="K603" s="21" t="inlineStr">
        <is>
          <t>adidas Women's Eastrail 2.0 Sneaker, Black/Carbon/Grey, 7</t>
        </is>
      </c>
      <c r="L603" s="24" t="n">
        <v>47.4905</v>
      </c>
      <c r="M603" s="24" t="n">
        <v>59.69</v>
      </c>
      <c r="N603" s="24" t="n">
        <v>-4.454000000000001</v>
      </c>
      <c r="O603" s="24">
        <f>V603-M603</f>
        <v/>
      </c>
      <c r="P603" s="25">
        <f>N603/L603</f>
        <v/>
      </c>
      <c r="Q603" s="23" t="n">
        <v>1313467</v>
      </c>
      <c r="R603" s="23" t="n"/>
      <c r="S603" s="26" t="n">
        <v>1.8518808</v>
      </c>
      <c r="T603" s="24" t="n">
        <v>59.69</v>
      </c>
      <c r="U603" s="24" t="n">
        <v>67.48999999999999</v>
      </c>
      <c r="V603" s="24" t="n">
        <v>70.13</v>
      </c>
      <c r="W603" s="26" t="inlineStr">
        <is>
          <t>adidas Womens Terrex Easttrail 2 Hiking Shoes</t>
        </is>
      </c>
      <c r="X603" s="23" t="n">
        <v>5</v>
      </c>
      <c r="Y603" s="18">
        <f>AC603-AB603</f>
        <v/>
      </c>
      <c r="Z603" s="27" t="n">
        <v>8</v>
      </c>
      <c r="AA603" s="27" t="n">
        <v>25</v>
      </c>
      <c r="AB603" s="27" t="n">
        <v>0</v>
      </c>
      <c r="AC603" s="27" t="n">
        <v>2</v>
      </c>
      <c r="AD603" s="1" t="inlineStr">
        <is>
          <t>LTG30</t>
        </is>
      </c>
      <c r="AE603" s="1" t="inlineStr">
        <is>
          <t>Black/Carbon/Grey</t>
        </is>
      </c>
      <c r="AF603" s="4" t="n">
        <v>8.949999999999999</v>
      </c>
      <c r="AG603" s="4" t="n">
        <v>7.7</v>
      </c>
    </row>
    <row r="604" ht="47.25" customHeight="1">
      <c r="A604" s="18" t="inlineStr">
        <is>
          <t>195748940784</t>
        </is>
      </c>
      <c r="B604" s="19" t="inlineStr">
        <is>
          <t>https://www.amazon.com/dp/</t>
        </is>
      </c>
      <c r="C604" s="20" t="inlineStr">
        <is>
          <t>B0BHPQSJGH</t>
        </is>
      </c>
      <c r="D604" s="44" t="n"/>
      <c r="E604" s="23" t="inlineStr">
        <is>
          <t>?th=1&amp;psc=1&amp;tag=sdcdeals03-20</t>
        </is>
      </c>
      <c r="F604" s="19">
        <f>HYPERLINK("https://redirect.sdcdeals.com/redirect?destination=https%3A%2F%2Fwww.amazon.com%2Fdp%2FB0BHPQSJGH%3Fth%3D1%26psc%3D1%26tag%3Dsdcdeals03-20", "Amazon Link")</f>
        <v/>
      </c>
      <c r="G604" s="19" t="inlineStr">
        <is>
          <t>https://www.jcpenney.com/s?searchTerm={search_term}</t>
        </is>
      </c>
      <c r="H604" s="23" t="inlineStr">
        <is>
          <t>195748940784</t>
        </is>
      </c>
      <c r="I604" s="19">
        <f>HYPERLINK("https://www.jcpenney.com/s?searchTerm=195748940784", "Retail Link")</f>
        <v/>
      </c>
      <c r="J604" s="23" t="inlineStr">
        <is>
          <t>n/a</t>
        </is>
      </c>
      <c r="K604" s="21" t="inlineStr">
        <is>
          <t>adidas Women's Eastrail 2.0 Hiking Sneaker, Black/Carbon/Grey, 7.5</t>
        </is>
      </c>
      <c r="L604" s="24" t="n">
        <v>47.4905</v>
      </c>
      <c r="M604" s="24" t="n">
        <v>72.26000000000001</v>
      </c>
      <c r="N604" s="24" t="n">
        <v>6.150500000000001</v>
      </c>
      <c r="O604" s="24">
        <f>V604-M604</f>
        <v/>
      </c>
      <c r="P604" s="25">
        <f>N604/L604</f>
        <v/>
      </c>
      <c r="Q604" s="23" t="n">
        <v>4470559</v>
      </c>
      <c r="R604" s="23" t="n"/>
      <c r="S604" s="26" t="n">
        <v>1.8849501</v>
      </c>
      <c r="T604" s="24" t="n">
        <v>72.25</v>
      </c>
      <c r="U604" s="24" t="n">
        <v>68.12</v>
      </c>
      <c r="V604" s="24" t="n">
        <v>66.06</v>
      </c>
      <c r="W604" s="26" t="inlineStr">
        <is>
          <t>adidas Womens Terrex Easttrail 2 Hiking Shoes</t>
        </is>
      </c>
      <c r="X604" s="23" t="n">
        <v>5</v>
      </c>
      <c r="Y604" s="18">
        <f>AC604-AB604</f>
        <v/>
      </c>
      <c r="Z604" s="27" t="n">
        <v>4</v>
      </c>
      <c r="AA604" s="27" t="n">
        <v>9</v>
      </c>
      <c r="AB604" s="27" t="n">
        <v>1</v>
      </c>
      <c r="AC604" s="27" t="n">
        <v>1</v>
      </c>
      <c r="AD604" s="1" t="inlineStr">
        <is>
          <t>LTG30</t>
        </is>
      </c>
      <c r="AE604" s="1" t="inlineStr">
        <is>
          <t>Black/Carbon/Grey</t>
        </is>
      </c>
      <c r="AF604" s="4" t="n">
        <v>10.84</v>
      </c>
      <c r="AG604" s="4" t="n">
        <v>7.78</v>
      </c>
    </row>
    <row r="605" ht="47.25" customHeight="1">
      <c r="A605" s="18" t="inlineStr">
        <is>
          <t>195748940838</t>
        </is>
      </c>
      <c r="B605" s="19" t="inlineStr">
        <is>
          <t>https://www.amazon.com/dp/</t>
        </is>
      </c>
      <c r="C605" s="20" t="inlineStr">
        <is>
          <t>B0BHPM4VFT</t>
        </is>
      </c>
      <c r="D605" s="44" t="n"/>
      <c r="E605" s="23" t="inlineStr">
        <is>
          <t>?th=1&amp;psc=1&amp;tag=sdcdeals03-20</t>
        </is>
      </c>
      <c r="F605" s="19">
        <f>HYPERLINK("https://redirect.sdcdeals.com/redirect?destination=https%3A%2F%2Fwww.amazon.com%2Fdp%2FB0BHPM4VFT%3Fth%3D1%26psc%3D1%26tag%3Dsdcdeals03-20", "Amazon Link")</f>
        <v/>
      </c>
      <c r="G605" s="19" t="inlineStr">
        <is>
          <t>https://www.jcpenney.com/s?searchTerm={search_term}</t>
        </is>
      </c>
      <c r="H605" s="23" t="inlineStr">
        <is>
          <t>195748940838</t>
        </is>
      </c>
      <c r="I605" s="19">
        <f>HYPERLINK("https://www.jcpenney.com/s?searchTerm=195748940838", "Retail Link")</f>
        <v/>
      </c>
      <c r="J605" s="23" t="inlineStr">
        <is>
          <t>n/a</t>
        </is>
      </c>
      <c r="K605" s="21" t="inlineStr">
        <is>
          <t>adidas Women's Eastrail 2.0 Hiking Sneaker, Black/Carbon/Grey, 8</t>
        </is>
      </c>
      <c r="L605" s="24" t="n">
        <v>47.4905</v>
      </c>
      <c r="M605" s="24" t="n">
        <v>52.96</v>
      </c>
      <c r="N605" s="24" t="n">
        <v>-10.4945</v>
      </c>
      <c r="O605" s="24">
        <f>V605-M605</f>
        <v/>
      </c>
      <c r="P605" s="25">
        <f>N605/L605</f>
        <v/>
      </c>
      <c r="Q605" s="23" t="n">
        <v>4155674</v>
      </c>
      <c r="R605" s="23" t="n"/>
      <c r="S605" s="26" t="n">
        <v>1.8959732</v>
      </c>
      <c r="T605" s="24" t="n">
        <v>52.96</v>
      </c>
      <c r="U605" s="24" t="n">
        <v>63.17</v>
      </c>
      <c r="V605" s="24" t="n">
        <v>65.05</v>
      </c>
      <c r="W605" s="26" t="inlineStr">
        <is>
          <t>adidas Womens Terrex Easttrail 2 Hiking Shoes</t>
        </is>
      </c>
      <c r="X605" s="23" t="n">
        <v>5</v>
      </c>
      <c r="Y605" s="18">
        <f>AC605-AB605</f>
        <v/>
      </c>
      <c r="Z605" s="27" t="n">
        <v>7</v>
      </c>
      <c r="AA605" s="27" t="n">
        <v>11</v>
      </c>
      <c r="AB605" s="27" t="n">
        <v>0</v>
      </c>
      <c r="AC605" s="27" t="n">
        <v>1</v>
      </c>
      <c r="AD605" s="1" t="inlineStr">
        <is>
          <t>LTG30</t>
        </is>
      </c>
      <c r="AE605" s="1" t="inlineStr">
        <is>
          <t>Black/Carbon/Grey</t>
        </is>
      </c>
      <c r="AF605" s="4" t="n">
        <v>7.94</v>
      </c>
      <c r="AG605" s="4" t="n">
        <v>8.02</v>
      </c>
    </row>
    <row r="606" ht="47.25" customHeight="1">
      <c r="A606" s="18" t="inlineStr">
        <is>
          <t>195748940807</t>
        </is>
      </c>
      <c r="B606" s="19" t="inlineStr">
        <is>
          <t>https://www.amazon.com/dp/</t>
        </is>
      </c>
      <c r="C606" s="20" t="inlineStr">
        <is>
          <t>B0BHQDXFF7</t>
        </is>
      </c>
      <c r="D606" s="44" t="n"/>
      <c r="E606" s="23" t="inlineStr">
        <is>
          <t>?th=1&amp;psc=1&amp;tag=sdcdeals03-20</t>
        </is>
      </c>
      <c r="F606" s="19">
        <f>HYPERLINK("https://redirect.sdcdeals.com/redirect?destination=https%3A%2F%2Fwww.amazon.com%2Fdp%2FB0BHQDXFF7%3Fth%3D1%26psc%3D1%26tag%3Dsdcdeals03-20", "Amazon Link")</f>
        <v/>
      </c>
      <c r="G606" s="19" t="inlineStr">
        <is>
          <t>https://www.jcpenney.com/s?searchTerm={search_term}</t>
        </is>
      </c>
      <c r="H606" s="23" t="inlineStr">
        <is>
          <t>195748940807</t>
        </is>
      </c>
      <c r="I606" s="19">
        <f>HYPERLINK("https://www.jcpenney.com/s?searchTerm=195748940807", "Retail Link")</f>
        <v/>
      </c>
      <c r="J606" s="23" t="inlineStr">
        <is>
          <t>n/a</t>
        </is>
      </c>
      <c r="K606" s="21" t="inlineStr">
        <is>
          <t>adidas Women's Eastrail 2.0 Sneaker, Black/Carbon/Grey, 8.5</t>
        </is>
      </c>
      <c r="L606" s="24" t="n">
        <v>47.4905</v>
      </c>
      <c r="M606" s="24" t="n">
        <v>64.86</v>
      </c>
      <c r="N606" s="24" t="n">
        <v>-0.05949999999999989</v>
      </c>
      <c r="O606" s="24">
        <f>V606-M606</f>
        <v/>
      </c>
      <c r="P606" s="25">
        <f>N606/L606</f>
        <v/>
      </c>
      <c r="Q606" s="23" t="n">
        <v>1201795</v>
      </c>
      <c r="R606" s="23" t="n"/>
      <c r="S606" s="26" t="n">
        <v>1.9400656</v>
      </c>
      <c r="T606" s="24" t="n">
        <v>64.86</v>
      </c>
      <c r="U606" s="24" t="n">
        <v>69.08</v>
      </c>
      <c r="V606" s="24" t="n">
        <v>69.65000000000001</v>
      </c>
      <c r="W606" s="26" t="inlineStr">
        <is>
          <t>adidas Womens Terrex Easttrail 2 Hiking Shoes</t>
        </is>
      </c>
      <c r="X606" s="23" t="n">
        <v>5</v>
      </c>
      <c r="Y606" s="18">
        <f>AC606-AB606</f>
        <v/>
      </c>
      <c r="Z606" s="27" t="n">
        <v>11</v>
      </c>
      <c r="AA606" s="27" t="n">
        <v>37</v>
      </c>
      <c r="AB606" s="27" t="n">
        <v>0</v>
      </c>
      <c r="AC606" s="27" t="n">
        <v>2</v>
      </c>
      <c r="AD606" s="1" t="inlineStr">
        <is>
          <t>LTG30</t>
        </is>
      </c>
      <c r="AE606" s="1" t="inlineStr">
        <is>
          <t>Black/Carbon/Grey</t>
        </is>
      </c>
      <c r="AF606" s="4" t="n">
        <v>9.73</v>
      </c>
      <c r="AG606" s="4" t="n">
        <v>7.7</v>
      </c>
    </row>
    <row r="607" ht="47.25" customHeight="1">
      <c r="A607" s="18" t="inlineStr">
        <is>
          <t>195748940876</t>
        </is>
      </c>
      <c r="B607" s="19" t="inlineStr">
        <is>
          <t>https://www.amazon.com/dp/</t>
        </is>
      </c>
      <c r="C607" s="20" t="inlineStr">
        <is>
          <t>B0BHPSGRGY</t>
        </is>
      </c>
      <c r="D607" s="44" t="n"/>
      <c r="E607" s="23" t="inlineStr">
        <is>
          <t>?th=1&amp;psc=1&amp;tag=sdcdeals03-20</t>
        </is>
      </c>
      <c r="F607" s="19">
        <f>HYPERLINK("https://redirect.sdcdeals.com/redirect?destination=https%3A%2F%2Fwww.amazon.com%2Fdp%2FB0BHPSGRGY%3Fth%3D1%26psc%3D1%26tag%3Dsdcdeals03-20", "Amazon Link")</f>
        <v/>
      </c>
      <c r="G607" s="19" t="inlineStr">
        <is>
          <t>https://www.jcpenney.com/s?searchTerm={search_term}</t>
        </is>
      </c>
      <c r="H607" s="23" t="inlineStr">
        <is>
          <t>195748940876</t>
        </is>
      </c>
      <c r="I607" s="19">
        <f>HYPERLINK("https://www.jcpenney.com/s?searchTerm=195748940876", "Retail Link")</f>
        <v/>
      </c>
      <c r="J607" s="23" t="inlineStr">
        <is>
          <t>n/a</t>
        </is>
      </c>
      <c r="K607" s="21" t="inlineStr">
        <is>
          <t>adidas Women's Eastrail 2.0 Sneaker, Black/Carbon/Grey, 9</t>
        </is>
      </c>
      <c r="L607" s="24" t="n">
        <v>47.4905</v>
      </c>
      <c r="M607" s="24" t="n">
        <v>63.6</v>
      </c>
      <c r="N607" s="24" t="n">
        <v>-1.130499999999998</v>
      </c>
      <c r="O607" s="24">
        <f>V607-M607</f>
        <v/>
      </c>
      <c r="P607" s="25">
        <f>N607/L607</f>
        <v/>
      </c>
      <c r="Q607" s="23" t="n">
        <v>1345026</v>
      </c>
      <c r="R607" s="23" t="n"/>
      <c r="S607" s="26" t="n">
        <v>1.9621118</v>
      </c>
      <c r="T607" s="24" t="n">
        <v>63.6</v>
      </c>
      <c r="U607" s="24" t="n">
        <v>65.38</v>
      </c>
      <c r="V607" s="24" t="n">
        <v>71.53</v>
      </c>
      <c r="W607" s="26" t="inlineStr">
        <is>
          <t>adidas Womens Terrex Easttrail 2 Hiking Shoes</t>
        </is>
      </c>
      <c r="X607" s="23" t="n">
        <v>5</v>
      </c>
      <c r="Y607" s="18">
        <f>AC607-AB607</f>
        <v/>
      </c>
      <c r="Z607" s="27" t="n">
        <v>11</v>
      </c>
      <c r="AA607" s="27" t="n">
        <v>29</v>
      </c>
      <c r="AB607" s="27" t="n">
        <v>0</v>
      </c>
      <c r="AC607" s="27" t="n">
        <v>2</v>
      </c>
      <c r="AD607" s="1" t="inlineStr">
        <is>
          <t>LTG30</t>
        </is>
      </c>
      <c r="AE607" s="1" t="inlineStr">
        <is>
          <t>Black/Carbon/Grey</t>
        </is>
      </c>
      <c r="AF607" s="4" t="n">
        <v>9.539999999999999</v>
      </c>
      <c r="AG607" s="4" t="n">
        <v>7.7</v>
      </c>
    </row>
    <row r="608" ht="47.25" customHeight="1">
      <c r="A608" s="18" t="inlineStr">
        <is>
          <t>195748940791</t>
        </is>
      </c>
      <c r="B608" s="19" t="inlineStr">
        <is>
          <t>https://www.amazon.com/dp/</t>
        </is>
      </c>
      <c r="C608" s="20" t="inlineStr">
        <is>
          <t>B0BHPTZNDM</t>
        </is>
      </c>
      <c r="D608" s="44" t="n"/>
      <c r="E608" s="23" t="inlineStr">
        <is>
          <t>?th=1&amp;psc=1&amp;tag=sdcdeals03-20</t>
        </is>
      </c>
      <c r="F608" s="19">
        <f>HYPERLINK("https://redirect.sdcdeals.com/redirect?destination=https%3A%2F%2Fwww.amazon.com%2Fdp%2FB0BHPTZNDM%3Fth%3D1%26psc%3D1%26tag%3Dsdcdeals03-20", "Amazon Link")</f>
        <v/>
      </c>
      <c r="G608" s="19" t="inlineStr">
        <is>
          <t>https://www.jcpenney.com/s?searchTerm={search_term}</t>
        </is>
      </c>
      <c r="H608" s="23" t="inlineStr">
        <is>
          <t>195748940791</t>
        </is>
      </c>
      <c r="I608" s="19">
        <f>HYPERLINK("https://www.jcpenney.com/s?searchTerm=195748940791", "Retail Link")</f>
        <v/>
      </c>
      <c r="J608" s="23" t="inlineStr">
        <is>
          <t>n/a</t>
        </is>
      </c>
      <c r="K608" s="21" t="inlineStr">
        <is>
          <t>adidas Women's Eastrail 2.0 Sneaker, Black/Carbon/Grey, 9.5</t>
        </is>
      </c>
      <c r="L608" s="24" t="n">
        <v>47.4905</v>
      </c>
      <c r="M608" s="24" t="n">
        <v>69.78</v>
      </c>
      <c r="N608" s="24" t="n">
        <v>3.962500000000006</v>
      </c>
      <c r="O608" s="24">
        <f>V608-M608</f>
        <v/>
      </c>
      <c r="P608" s="25">
        <f>N608/L608</f>
        <v/>
      </c>
      <c r="Q608" s="23" t="n">
        <v>1186644</v>
      </c>
      <c r="R608" s="23" t="n"/>
      <c r="S608" s="26" t="n">
        <v>2.0282504</v>
      </c>
      <c r="T608" s="24" t="n">
        <v>69.78</v>
      </c>
      <c r="U608" s="24" t="n">
        <v>62.92</v>
      </c>
      <c r="V608" s="24" t="n">
        <v>62.61</v>
      </c>
      <c r="W608" s="26" t="inlineStr">
        <is>
          <t>adidas Womens Terrex Easttrail 2 Hiking Shoes</t>
        </is>
      </c>
      <c r="X608" s="23" t="n">
        <v>4</v>
      </c>
      <c r="Y608" s="18">
        <f>AC608-AB608</f>
        <v/>
      </c>
      <c r="Z608" s="27" t="n">
        <v>6</v>
      </c>
      <c r="AA608" s="27" t="n">
        <v>28</v>
      </c>
      <c r="AB608" s="27" t="n">
        <v>0</v>
      </c>
      <c r="AC608" s="27" t="n">
        <v>2</v>
      </c>
      <c r="AD608" s="1" t="inlineStr">
        <is>
          <t>LTG30</t>
        </is>
      </c>
      <c r="AE608" s="1" t="inlineStr">
        <is>
          <t>Black/Carbon/Grey</t>
        </is>
      </c>
      <c r="AF608" s="4" t="n">
        <v>10.47</v>
      </c>
      <c r="AG608" s="4" t="n">
        <v>7.86</v>
      </c>
    </row>
    <row r="609" ht="47.25" customHeight="1">
      <c r="A609" s="18" t="inlineStr">
        <is>
          <t>195748940883</t>
        </is>
      </c>
      <c r="B609" s="19" t="inlineStr">
        <is>
          <t>https://www.amazon.com/dp/</t>
        </is>
      </c>
      <c r="C609" s="20" t="inlineStr">
        <is>
          <t>B0BHPT23NK</t>
        </is>
      </c>
      <c r="D609" s="44" t="n"/>
      <c r="E609" s="23" t="inlineStr">
        <is>
          <t>?th=1&amp;psc=1&amp;tag=sdcdeals03-20</t>
        </is>
      </c>
      <c r="F609" s="19">
        <f>HYPERLINK("https://redirect.sdcdeals.com/redirect?destination=https%3A%2F%2Fwww.amazon.com%2Fdp%2FB0BHPT23NK%3Fth%3D1%26psc%3D1%26tag%3Dsdcdeals03-20", "Amazon Link")</f>
        <v/>
      </c>
      <c r="G609" s="19" t="inlineStr">
        <is>
          <t>https://www.jcpenney.com/s?searchTerm={search_term}</t>
        </is>
      </c>
      <c r="H609" s="23" t="inlineStr">
        <is>
          <t>195748940883</t>
        </is>
      </c>
      <c r="I609" s="19">
        <f>HYPERLINK("https://www.jcpenney.com/s?searchTerm=195748940883", "Retail Link")</f>
        <v/>
      </c>
      <c r="J609" s="23" t="inlineStr">
        <is>
          <t>n/a</t>
        </is>
      </c>
      <c r="K609" s="21" t="inlineStr">
        <is>
          <t>adidas Women's Eastrail 2.0 Sneaker, Black/Carbon/Grey, 10</t>
        </is>
      </c>
      <c r="L609" s="24" t="n">
        <v>47.4905</v>
      </c>
      <c r="M609" s="24" t="n">
        <v>73.2</v>
      </c>
      <c r="N609" s="24" t="n">
        <v>6.789500000000004</v>
      </c>
      <c r="O609" s="24">
        <f>V609-M609</f>
        <v/>
      </c>
      <c r="P609" s="25">
        <f>N609/L609</f>
        <v/>
      </c>
      <c r="Q609" s="23" t="n">
        <v>1112758</v>
      </c>
      <c r="R609" s="23" t="n"/>
      <c r="S609" s="26" t="n">
        <v>2.31044176</v>
      </c>
      <c r="T609" s="24" t="n">
        <v>73.2</v>
      </c>
      <c r="U609" s="24" t="n">
        <v>72.51000000000001</v>
      </c>
      <c r="V609" s="24" t="n">
        <v>68.06</v>
      </c>
      <c r="W609" s="26" t="inlineStr">
        <is>
          <t>adidas Womens Terrex Easttrail 2 Hiking Shoes</t>
        </is>
      </c>
      <c r="X609" s="23" t="n">
        <v>2</v>
      </c>
      <c r="Y609" s="18">
        <f>AC609-AB609</f>
        <v/>
      </c>
      <c r="Z609" s="27" t="n">
        <v>11</v>
      </c>
      <c r="AA609" s="27" t="n">
        <v>29</v>
      </c>
      <c r="AB609" s="27" t="n">
        <v>2</v>
      </c>
      <c r="AC609" s="27" t="n">
        <v>2</v>
      </c>
      <c r="AD609" s="1" t="inlineStr">
        <is>
          <t>LTG30</t>
        </is>
      </c>
      <c r="AE609" s="1" t="inlineStr">
        <is>
          <t>Black/Carbon/Grey</t>
        </is>
      </c>
      <c r="AF609" s="4" t="n">
        <v>10.98</v>
      </c>
      <c r="AG609" s="4" t="n">
        <v>7.94</v>
      </c>
    </row>
    <row r="610" ht="47.25" customHeight="1">
      <c r="A610" s="18" t="inlineStr">
        <is>
          <t>195748940845</t>
        </is>
      </c>
      <c r="B610" s="19" t="inlineStr">
        <is>
          <t>https://www.amazon.com/dp/</t>
        </is>
      </c>
      <c r="C610" s="20" t="inlineStr">
        <is>
          <t>B0BHPR6286</t>
        </is>
      </c>
      <c r="D610" s="44" t="n"/>
      <c r="E610" s="23" t="inlineStr">
        <is>
          <t>?th=1&amp;psc=1&amp;tag=sdcdeals03-20</t>
        </is>
      </c>
      <c r="F610" s="19">
        <f>HYPERLINK("https://redirect.sdcdeals.com/redirect?destination=https%3A%2F%2Fwww.amazon.com%2Fdp%2FB0BHPR6286%3Fth%3D1%26psc%3D1%26tag%3Dsdcdeals03-20", "Amazon Link")</f>
        <v/>
      </c>
      <c r="G610" s="19" t="inlineStr">
        <is>
          <t>https://www.jcpenney.com/s?searchTerm={search_term}</t>
        </is>
      </c>
      <c r="H610" s="23" t="inlineStr">
        <is>
          <t>195748940845</t>
        </is>
      </c>
      <c r="I610" s="19">
        <f>HYPERLINK("https://www.jcpenney.com/s?searchTerm=195748940845", "Retail Link")</f>
        <v/>
      </c>
      <c r="J610" s="23" t="inlineStr">
        <is>
          <t>n/a</t>
        </is>
      </c>
      <c r="K610" s="21" t="inlineStr">
        <is>
          <t>adidas Women's Eastrail 2.0 Sneaker, Black/Carbon/Grey, 11</t>
        </is>
      </c>
      <c r="L610" s="24" t="n">
        <v>47.4905</v>
      </c>
      <c r="M610" s="24" t="n">
        <v>72.98</v>
      </c>
      <c r="N610" s="24" t="n">
        <v>6.682500000000005</v>
      </c>
      <c r="O610" s="24">
        <f>V610-M610</f>
        <v/>
      </c>
      <c r="P610" s="25">
        <f>N610/L610</f>
        <v/>
      </c>
      <c r="Q610" s="23" t="n">
        <v>1112758</v>
      </c>
      <c r="R610" s="23" t="n"/>
      <c r="S610" s="26" t="n">
        <v>2.3809896</v>
      </c>
      <c r="T610" s="24" t="n">
        <v>67.91</v>
      </c>
      <c r="U610" s="24" t="n">
        <v>73.75</v>
      </c>
      <c r="V610" s="24" t="n">
        <v>76.25</v>
      </c>
      <c r="W610" s="26" t="inlineStr">
        <is>
          <t>adidas Womens Terrex Easttrail 2 Hiking Shoes</t>
        </is>
      </c>
      <c r="X610" s="23" t="n">
        <v>4</v>
      </c>
      <c r="Y610" s="18">
        <f>AC610-AB610</f>
        <v/>
      </c>
      <c r="Z610" s="27" t="n">
        <v>7</v>
      </c>
      <c r="AA610" s="27" t="n">
        <v>22</v>
      </c>
      <c r="AB610" s="27" t="n">
        <v>0</v>
      </c>
      <c r="AC610" s="27" t="n">
        <v>2</v>
      </c>
      <c r="AD610" s="1" t="inlineStr">
        <is>
          <t>LTG30</t>
        </is>
      </c>
      <c r="AE610" s="1" t="inlineStr">
        <is>
          <t>Black/Carbon/Grey</t>
        </is>
      </c>
      <c r="AF610" s="4" t="n">
        <v>10.95</v>
      </c>
      <c r="AG610" s="4" t="n">
        <v>7.86</v>
      </c>
    </row>
    <row r="611" ht="47.25" customHeight="1">
      <c r="A611" s="18" t="inlineStr">
        <is>
          <t>195748952329</t>
        </is>
      </c>
      <c r="B611" s="19" t="inlineStr">
        <is>
          <t>https://www.amazon.com/dp/</t>
        </is>
      </c>
      <c r="C611" s="20" t="inlineStr">
        <is>
          <t>B09VCNLMP5</t>
        </is>
      </c>
      <c r="D611" s="44" t="n"/>
      <c r="E611" s="23" t="inlineStr">
        <is>
          <t>?th=1&amp;psc=1&amp;tag=sdcdeals03-20</t>
        </is>
      </c>
      <c r="F611" s="19">
        <f>HYPERLINK("https://redirect.sdcdeals.com/redirect?destination=https%3A%2F%2Fwww.amazon.com%2Fdp%2FB09VCNLMP5%3Fth%3D1%26psc%3D1%26tag%3Dsdcdeals03-20", "Amazon Link")</f>
        <v/>
      </c>
      <c r="G611" s="19" t="inlineStr">
        <is>
          <t>https://www.jcpenney.com/s?searchTerm={search_term}</t>
        </is>
      </c>
      <c r="H611" s="23" t="inlineStr">
        <is>
          <t>195748952329</t>
        </is>
      </c>
      <c r="I611" s="19">
        <f>HYPERLINK("https://www.jcpenney.com/s?searchTerm=195748952329", "Retail Link")</f>
        <v/>
      </c>
      <c r="J611" s="23" t="inlineStr">
        <is>
          <t>n/a</t>
        </is>
      </c>
      <c r="K611" s="21" t="inlineStr">
        <is>
          <t>adidas Women's Terrex Eastrail 2 Sneaker, Grey/Dash Grey/Mint Ton, 5</t>
        </is>
      </c>
      <c r="L611" s="24" t="n">
        <v>47.4905</v>
      </c>
      <c r="M611" s="24" t="n">
        <v>67.45999999999999</v>
      </c>
      <c r="N611" s="24" t="n">
        <v>2.230499999999999</v>
      </c>
      <c r="O611" s="24">
        <f>V611-M611</f>
        <v/>
      </c>
      <c r="P611" s="25">
        <f>N611/L611</f>
        <v/>
      </c>
      <c r="Q611" s="23" t="n">
        <v>1242854</v>
      </c>
      <c r="R611" s="23" t="n"/>
      <c r="S611" s="26" t="n">
        <v>1.69976202</v>
      </c>
      <c r="T611" s="24" t="n">
        <v>67.45999999999999</v>
      </c>
      <c r="U611" s="24" t="n">
        <v>76.18000000000001</v>
      </c>
      <c r="V611" s="24" t="n">
        <v>73.43000000000001</v>
      </c>
      <c r="W611" s="26" t="inlineStr">
        <is>
          <t>adidas Womens Terrex Easttrail 2 Hiking Shoes</t>
        </is>
      </c>
      <c r="X611" s="23" t="n">
        <v>1</v>
      </c>
      <c r="Y611" s="18">
        <f>AC611-AB611</f>
        <v/>
      </c>
      <c r="Z611" s="27" t="n">
        <v>8</v>
      </c>
      <c r="AA611" s="27" t="n">
        <v>45</v>
      </c>
      <c r="AB611" s="27" t="n">
        <v>0</v>
      </c>
      <c r="AC611" s="27" t="n">
        <v>33</v>
      </c>
      <c r="AD611" s="1" t="inlineStr">
        <is>
          <t>LTG30</t>
        </is>
      </c>
      <c r="AE611" s="1" t="inlineStr">
        <is>
          <t>Grey/Dash Grey/Mint Ton</t>
        </is>
      </c>
      <c r="AF611" s="4" t="n">
        <v>10.12</v>
      </c>
      <c r="AG611" s="4" t="n">
        <v>7.62</v>
      </c>
    </row>
    <row r="612" ht="47.25" customHeight="1">
      <c r="A612" s="18" t="inlineStr">
        <is>
          <t>195748952244</t>
        </is>
      </c>
      <c r="B612" s="19" t="inlineStr">
        <is>
          <t>https://www.amazon.com/dp/</t>
        </is>
      </c>
      <c r="C612" s="20" t="inlineStr">
        <is>
          <t>B09VCN67FV</t>
        </is>
      </c>
      <c r="D612" s="44" t="n"/>
      <c r="E612" s="23" t="inlineStr">
        <is>
          <t>?th=1&amp;psc=1&amp;tag=sdcdeals03-20</t>
        </is>
      </c>
      <c r="F612" s="19">
        <f>HYPERLINK("https://redirect.sdcdeals.com/redirect?destination=https%3A%2F%2Fwww.amazon.com%2Fdp%2FB09VCN67FV%3Fth%3D1%26psc%3D1%26tag%3Dsdcdeals03-20", "Amazon Link")</f>
        <v/>
      </c>
      <c r="G612" s="19" t="inlineStr">
        <is>
          <t>https://www.jcpenney.com/s?searchTerm={search_term}</t>
        </is>
      </c>
      <c r="H612" s="23" t="inlineStr">
        <is>
          <t>195748952244</t>
        </is>
      </c>
      <c r="I612" s="19">
        <f>HYPERLINK("https://www.jcpenney.com/s?searchTerm=195748952244", "Retail Link")</f>
        <v/>
      </c>
      <c r="J612" s="23" t="inlineStr">
        <is>
          <t>n/a</t>
        </is>
      </c>
      <c r="K612" s="21" t="inlineStr">
        <is>
          <t>adidas Women's Terrex Eastrail 2 Sneaker, Grey/Dash Grey/Mint Ton, 5.5</t>
        </is>
      </c>
      <c r="L612" s="24" t="n">
        <v>47.4905</v>
      </c>
      <c r="M612" s="24" t="n">
        <v>94.8</v>
      </c>
      <c r="N612" s="24" t="n">
        <v>24.98950000000001</v>
      </c>
      <c r="O612" s="24">
        <f>V612-M612</f>
        <v/>
      </c>
      <c r="P612" s="25">
        <f>N612/L612</f>
        <v/>
      </c>
      <c r="Q612" s="23" t="n">
        <v>859257</v>
      </c>
      <c r="R612" s="23" t="n"/>
      <c r="S612" s="26" t="n">
        <v>1.64905576</v>
      </c>
      <c r="T612" s="24" t="n">
        <v>73.98999999999999</v>
      </c>
      <c r="U612" s="24" t="n">
        <v>94.68000000000001</v>
      </c>
      <c r="V612" s="24" t="n">
        <v>75.66</v>
      </c>
      <c r="W612" s="26" t="inlineStr">
        <is>
          <t>adidas Womens Terrex Easttrail 2 Hiking Shoes</t>
        </is>
      </c>
      <c r="X612" s="23" t="n">
        <v>1</v>
      </c>
      <c r="Y612" s="18">
        <f>AC612-AB612</f>
        <v/>
      </c>
      <c r="Z612" s="27" t="n">
        <v>12</v>
      </c>
      <c r="AA612" s="27" t="n">
        <v>22</v>
      </c>
      <c r="AB612" s="27" t="n">
        <v>2</v>
      </c>
      <c r="AC612" s="27" t="n">
        <v>59</v>
      </c>
      <c r="AD612" s="1" t="inlineStr">
        <is>
          <t>LTG30</t>
        </is>
      </c>
      <c r="AE612" s="1" t="inlineStr">
        <is>
          <t>Grey/Dash Grey/Mint Ton</t>
        </is>
      </c>
      <c r="AF612" s="4" t="n">
        <v>14.22</v>
      </c>
      <c r="AG612" s="4" t="n">
        <v>8.1</v>
      </c>
    </row>
    <row r="613" ht="47.25" customHeight="1">
      <c r="A613" s="18" t="inlineStr">
        <is>
          <t>195748952350</t>
        </is>
      </c>
      <c r="B613" s="19" t="inlineStr">
        <is>
          <t>https://www.amazon.com/dp/</t>
        </is>
      </c>
      <c r="C613" s="20" t="inlineStr">
        <is>
          <t>B09VCMHXPC</t>
        </is>
      </c>
      <c r="D613" s="44" t="n"/>
      <c r="E613" s="23" t="inlineStr">
        <is>
          <t>?th=1&amp;psc=1&amp;tag=sdcdeals03-20</t>
        </is>
      </c>
      <c r="F613" s="19">
        <f>HYPERLINK("https://redirect.sdcdeals.com/redirect?destination=https%3A%2F%2Fwww.amazon.com%2Fdp%2FB09VCMHXPC%3Fth%3D1%26psc%3D1%26tag%3Dsdcdeals03-20", "Amazon Link")</f>
        <v/>
      </c>
      <c r="G613" s="19" t="inlineStr">
        <is>
          <t>https://www.jcpenney.com/s?searchTerm={search_term}</t>
        </is>
      </c>
      <c r="H613" s="23" t="inlineStr">
        <is>
          <t>195748952350</t>
        </is>
      </c>
      <c r="I613" s="19">
        <f>HYPERLINK("https://www.jcpenney.com/s?searchTerm=195748952350", "Retail Link")</f>
        <v/>
      </c>
      <c r="J613" s="23" t="inlineStr">
        <is>
          <t>n/a</t>
        </is>
      </c>
      <c r="K613" s="21" t="inlineStr">
        <is>
          <t>adidas Women's Terrex Eastrail 2 Sneaker, Grey/Dash Grey/Mint Ton, 6</t>
        </is>
      </c>
      <c r="L613" s="24" t="n">
        <v>47.4905</v>
      </c>
      <c r="M613" s="24" t="n">
        <v>66.95</v>
      </c>
      <c r="N613" s="24" t="n">
        <v>1.797000000000004</v>
      </c>
      <c r="O613" s="24">
        <f>V613-M613</f>
        <v/>
      </c>
      <c r="P613" s="25">
        <f>N613/L613</f>
        <v/>
      </c>
      <c r="Q613" s="23" t="n">
        <v>817316</v>
      </c>
      <c r="R613" s="23" t="n"/>
      <c r="S613" s="26" t="n">
        <v>1.75928676</v>
      </c>
      <c r="T613" s="24" t="n">
        <v>66.95</v>
      </c>
      <c r="U613" s="24" t="n">
        <v>98.43000000000001</v>
      </c>
      <c r="V613" s="24" t="n">
        <v>98.43000000000001</v>
      </c>
      <c r="W613" s="26" t="inlineStr">
        <is>
          <t>adidas Womens Terrex Easttrail 2 Hiking Shoes</t>
        </is>
      </c>
      <c r="X613" s="23" t="n">
        <v>3</v>
      </c>
      <c r="Y613" s="18">
        <f>AC613-AB613</f>
        <v/>
      </c>
      <c r="Z613" s="27" t="n">
        <v>14</v>
      </c>
      <c r="AA613" s="27" t="n">
        <v>48</v>
      </c>
      <c r="AB613" s="27" t="n">
        <v>1</v>
      </c>
      <c r="AC613" s="27" t="n">
        <v>59</v>
      </c>
      <c r="AD613" s="1" t="inlineStr">
        <is>
          <t>LTG30</t>
        </is>
      </c>
      <c r="AE613" s="1" t="inlineStr">
        <is>
          <t>Grey/Dash Grey/Mint Ton</t>
        </is>
      </c>
      <c r="AF613" s="4" t="inlineStr"/>
      <c r="AG613" s="4" t="n">
        <v>7.62</v>
      </c>
    </row>
    <row r="614" ht="47.25" customHeight="1">
      <c r="A614" s="18" t="inlineStr">
        <is>
          <t>195748952268</t>
        </is>
      </c>
      <c r="B614" s="19" t="inlineStr">
        <is>
          <t>https://www.amazon.com/dp/</t>
        </is>
      </c>
      <c r="C614" s="20" t="inlineStr">
        <is>
          <t>B09VCMMGZD</t>
        </is>
      </c>
      <c r="D614" s="44" t="n"/>
      <c r="E614" s="23" t="inlineStr">
        <is>
          <t>?th=1&amp;psc=1&amp;tag=sdcdeals03-20</t>
        </is>
      </c>
      <c r="F614" s="19">
        <f>HYPERLINK("https://redirect.sdcdeals.com/redirect?destination=https%3A%2F%2Fwww.amazon.com%2Fdp%2FB09VCMMGZD%3Fth%3D1%26psc%3D1%26tag%3Dsdcdeals03-20", "Amazon Link")</f>
        <v/>
      </c>
      <c r="G614" s="19" t="inlineStr">
        <is>
          <t>https://www.jcpenney.com/s?searchTerm={search_term}</t>
        </is>
      </c>
      <c r="H614" s="23" t="inlineStr">
        <is>
          <t>195748952268</t>
        </is>
      </c>
      <c r="I614" s="19">
        <f>HYPERLINK("https://www.jcpenney.com/s?searchTerm=195748952268", "Retail Link")</f>
        <v/>
      </c>
      <c r="J614" s="23" t="inlineStr">
        <is>
          <t>n/a</t>
        </is>
      </c>
      <c r="K614" s="21" t="inlineStr">
        <is>
          <t>adidas Women's Terrex Eastrail 2 Sneaker, Grey/Dash Grey/Mint Ton, 6.5</t>
        </is>
      </c>
      <c r="L614" s="24" t="n">
        <v>47.4905</v>
      </c>
      <c r="M614" s="24" t="n">
        <v>79.98999999999999</v>
      </c>
      <c r="N614" s="24" t="n">
        <v>12.80099999999999</v>
      </c>
      <c r="O614" s="24">
        <f>V614-M614</f>
        <v/>
      </c>
      <c r="P614" s="25">
        <f>N614/L614</f>
        <v/>
      </c>
      <c r="Q614" s="23" t="n">
        <v>871626</v>
      </c>
      <c r="R614" s="23" t="n"/>
      <c r="S614" s="26" t="n">
        <v>1.79015144</v>
      </c>
      <c r="T614" s="24" t="n">
        <v>79.98999999999999</v>
      </c>
      <c r="U614" s="24" t="n">
        <v>80</v>
      </c>
      <c r="V614" s="24" t="n">
        <v>78.75</v>
      </c>
      <c r="W614" s="26" t="inlineStr">
        <is>
          <t>adidas Womens Terrex Easttrail 2 Hiking Shoes</t>
        </is>
      </c>
      <c r="X614" s="23" t="n">
        <v>3</v>
      </c>
      <c r="Y614" s="18">
        <f>AC614-AB614</f>
        <v/>
      </c>
      <c r="Z614" s="27" t="n">
        <v>14</v>
      </c>
      <c r="AA614" s="27" t="n">
        <v>37</v>
      </c>
      <c r="AB614" s="27" t="n">
        <v>3</v>
      </c>
      <c r="AC614" s="27" t="n">
        <v>59</v>
      </c>
      <c r="AD614" s="1" t="inlineStr">
        <is>
          <t>LTG30</t>
        </is>
      </c>
      <c r="AE614" s="1" t="inlineStr">
        <is>
          <t>Grey/Dash Grey/Mint Ton</t>
        </is>
      </c>
      <c r="AF614" s="4" t="inlineStr"/>
      <c r="AG614" s="4" t="n">
        <v>7.7</v>
      </c>
    </row>
    <row r="615" ht="47.25" customHeight="1">
      <c r="A615" s="18" t="inlineStr">
        <is>
          <t>195748952305</t>
        </is>
      </c>
      <c r="B615" s="19" t="inlineStr">
        <is>
          <t>https://www.amazon.com/dp/</t>
        </is>
      </c>
      <c r="C615" s="20" t="inlineStr">
        <is>
          <t>B09VCN85XS</t>
        </is>
      </c>
      <c r="D615" s="44" t="n"/>
      <c r="E615" s="23" t="inlineStr">
        <is>
          <t>?th=1&amp;psc=1&amp;tag=sdcdeals03-20</t>
        </is>
      </c>
      <c r="F615" s="19">
        <f>HYPERLINK("https://redirect.sdcdeals.com/redirect?destination=https%3A%2F%2Fwww.amazon.com%2Fdp%2FB09VCN85XS%3Fth%3D1%26psc%3D1%26tag%3Dsdcdeals03-20", "Amazon Link")</f>
        <v/>
      </c>
      <c r="G615" s="19" t="inlineStr">
        <is>
          <t>https://www.jcpenney.com/s?searchTerm={search_term}</t>
        </is>
      </c>
      <c r="H615" s="23" t="inlineStr">
        <is>
          <t>195748952305</t>
        </is>
      </c>
      <c r="I615" s="19">
        <f>HYPERLINK("https://www.jcpenney.com/s?searchTerm=195748952305", "Retail Link")</f>
        <v/>
      </c>
      <c r="J615" s="23" t="inlineStr">
        <is>
          <t>n/a</t>
        </is>
      </c>
      <c r="K615" s="21" t="inlineStr">
        <is>
          <t>adidas Women's Terrex Eastrail 2 Sneaker, Grey/Dash Grey/Mint Ton, 7</t>
        </is>
      </c>
      <c r="L615" s="24" t="n">
        <v>47.4905</v>
      </c>
      <c r="M615" s="24" t="n">
        <v>81</v>
      </c>
      <c r="N615" s="24" t="n">
        <v>13.65949999999999</v>
      </c>
      <c r="O615" s="24">
        <f>V615-M615</f>
        <v/>
      </c>
      <c r="P615" s="25">
        <f>N615/L615</f>
        <v/>
      </c>
      <c r="Q615" s="23" t="n">
        <v>972258</v>
      </c>
      <c r="R615" s="23" t="n"/>
      <c r="S615" s="26" t="n">
        <v>1.9400656</v>
      </c>
      <c r="T615" s="24" t="n">
        <v>81</v>
      </c>
      <c r="U615" s="24" t="n">
        <v>80.83</v>
      </c>
      <c r="V615" s="24" t="n">
        <v>74</v>
      </c>
      <c r="W615" s="26" t="inlineStr">
        <is>
          <t>adidas Womens Terrex Easttrail 2 Hiking Shoes</t>
        </is>
      </c>
      <c r="X615" s="23" t="n">
        <v>1</v>
      </c>
      <c r="Y615" s="18">
        <f>AC615-AB615</f>
        <v/>
      </c>
      <c r="Z615" s="27" t="n">
        <v>12</v>
      </c>
      <c r="AA615" s="27" t="n">
        <v>39</v>
      </c>
      <c r="AB615" s="27" t="n">
        <v>10</v>
      </c>
      <c r="AC615" s="27" t="n">
        <v>59</v>
      </c>
      <c r="AD615" s="1" t="inlineStr">
        <is>
          <t>LTG30</t>
        </is>
      </c>
      <c r="AE615" s="1" t="inlineStr">
        <is>
          <t>Grey/Dash Grey/Mint Ton</t>
        </is>
      </c>
      <c r="AF615" s="4" t="inlineStr"/>
      <c r="AG615" s="4" t="n">
        <v>7.7</v>
      </c>
    </row>
    <row r="616" ht="47.25" customHeight="1">
      <c r="A616" s="18" t="inlineStr">
        <is>
          <t>195748952251</t>
        </is>
      </c>
      <c r="B616" s="19" t="inlineStr">
        <is>
          <t>https://www.amazon.com/dp/</t>
        </is>
      </c>
      <c r="C616" s="20" t="inlineStr">
        <is>
          <t>B09VCM8XC7</t>
        </is>
      </c>
      <c r="D616" s="44" t="n"/>
      <c r="E616" s="23" t="inlineStr">
        <is>
          <t>?th=1&amp;psc=1&amp;tag=sdcdeals03-20</t>
        </is>
      </c>
      <c r="F616" s="19">
        <f>HYPERLINK("https://redirect.sdcdeals.com/redirect?destination=https%3A%2F%2Fwww.amazon.com%2Fdp%2FB09VCM8XC7%3Fth%3D1%26psc%3D1%26tag%3Dsdcdeals03-20", "Amazon Link")</f>
        <v/>
      </c>
      <c r="G616" s="19" t="inlineStr">
        <is>
          <t>https://www.jcpenney.com/s?searchTerm={search_term}</t>
        </is>
      </c>
      <c r="H616" s="23" t="inlineStr">
        <is>
          <t>195748952251</t>
        </is>
      </c>
      <c r="I616" s="19">
        <f>HYPERLINK("https://www.jcpenney.com/s?searchTerm=195748952251", "Retail Link")</f>
        <v/>
      </c>
      <c r="J616" s="23" t="inlineStr">
        <is>
          <t>n/a</t>
        </is>
      </c>
      <c r="K616" s="21" t="inlineStr">
        <is>
          <t>adidas Women's Terrex Eastrail 2 Sneaker, Grey/Dash Grey/Mint Ton, 7.5</t>
        </is>
      </c>
      <c r="L616" s="24" t="n">
        <v>47.4905</v>
      </c>
      <c r="M616" s="24" t="n">
        <v>71.98999999999999</v>
      </c>
      <c r="N616" s="24" t="n">
        <v>6.000999999999991</v>
      </c>
      <c r="O616" s="24">
        <f>V616-M616</f>
        <v/>
      </c>
      <c r="P616" s="25">
        <f>N616/L616</f>
        <v/>
      </c>
      <c r="Q616" s="23" t="n">
        <v>859257</v>
      </c>
      <c r="R616" s="23" t="n"/>
      <c r="S616" s="26" t="n">
        <v>1.9400656</v>
      </c>
      <c r="T616" s="24" t="n">
        <v>71.98999999999999</v>
      </c>
      <c r="U616" s="24" t="n">
        <v>92.90000000000001</v>
      </c>
      <c r="V616" s="24" t="n">
        <v>80.59</v>
      </c>
      <c r="W616" s="26" t="inlineStr">
        <is>
          <t>adidas Womens Terrex Easttrail 2 Hiking Shoes</t>
        </is>
      </c>
      <c r="X616" s="23" t="n">
        <v>2</v>
      </c>
      <c r="Y616" s="18">
        <f>AC616-AB616</f>
        <v/>
      </c>
      <c r="Z616" s="27" t="n">
        <v>21</v>
      </c>
      <c r="AA616" s="27" t="n">
        <v>54</v>
      </c>
      <c r="AB616" s="27" t="n">
        <v>3</v>
      </c>
      <c r="AC616" s="27" t="n">
        <v>59</v>
      </c>
      <c r="AD616" s="1" t="inlineStr">
        <is>
          <t>LTG30</t>
        </is>
      </c>
      <c r="AE616" s="1" t="inlineStr">
        <is>
          <t>Grey/Dash Grey/Mint Ton</t>
        </is>
      </c>
      <c r="AF616" s="4" t="inlineStr"/>
      <c r="AG616" s="4" t="n">
        <v>7.7</v>
      </c>
    </row>
    <row r="617" ht="47.25" customHeight="1">
      <c r="A617" s="18" t="inlineStr">
        <is>
          <t>195748952336</t>
        </is>
      </c>
      <c r="B617" s="19" t="inlineStr">
        <is>
          <t>https://www.amazon.com/dp/</t>
        </is>
      </c>
      <c r="C617" s="20" t="inlineStr">
        <is>
          <t>B09VCLZRGX</t>
        </is>
      </c>
      <c r="D617" s="44" t="n"/>
      <c r="E617" s="23" t="inlineStr">
        <is>
          <t>?th=1&amp;psc=1&amp;tag=sdcdeals03-20</t>
        </is>
      </c>
      <c r="F617" s="19">
        <f>HYPERLINK("https://redirect.sdcdeals.com/redirect?destination=https%3A%2F%2Fwww.amazon.com%2Fdp%2FB09VCLZRGX%3Fth%3D1%26psc%3D1%26tag%3Dsdcdeals03-20", "Amazon Link")</f>
        <v/>
      </c>
      <c r="G617" s="19" t="inlineStr">
        <is>
          <t>https://www.jcpenney.com/s?searchTerm={search_term}</t>
        </is>
      </c>
      <c r="H617" s="23" t="inlineStr">
        <is>
          <t>195748952336</t>
        </is>
      </c>
      <c r="I617" s="19">
        <f>HYPERLINK("https://www.jcpenney.com/s?searchTerm=195748952336", "Retail Link")</f>
        <v/>
      </c>
      <c r="J617" s="23" t="inlineStr">
        <is>
          <t>n/a</t>
        </is>
      </c>
      <c r="K617" s="21" t="inlineStr">
        <is>
          <t>adidas Women's Terrex Eastrail 2 Sneaker, Grey/Dash Grey/Mint Ton, 8</t>
        </is>
      </c>
      <c r="L617" s="24" t="n">
        <v>47.4905</v>
      </c>
      <c r="M617" s="24" t="n">
        <v>80.64</v>
      </c>
      <c r="N617" s="24" t="n">
        <v>13.4335</v>
      </c>
      <c r="O617" s="24">
        <f>V617-M617</f>
        <v/>
      </c>
      <c r="P617" s="25">
        <f>N617/L617</f>
        <v/>
      </c>
      <c r="Q617" s="23" t="n">
        <v>685078</v>
      </c>
      <c r="R617" s="23" t="n"/>
      <c r="S617" s="26" t="n">
        <v>1.984158</v>
      </c>
      <c r="T617" s="24" t="n">
        <v>80.64</v>
      </c>
      <c r="U617" s="24" t="n">
        <v>80.3</v>
      </c>
      <c r="V617" s="24" t="n">
        <v>75.95999999999999</v>
      </c>
      <c r="W617" s="26" t="inlineStr">
        <is>
          <t>adidas Womens Terrex Easttrail 2 Hiking Shoes</t>
        </is>
      </c>
      <c r="X617" s="23" t="n">
        <v>2</v>
      </c>
      <c r="Y617" s="18">
        <f>AC617-AB617</f>
        <v/>
      </c>
      <c r="Z617" s="27" t="n">
        <v>12</v>
      </c>
      <c r="AA617" s="27" t="n">
        <v>35</v>
      </c>
      <c r="AB617" s="27" t="n">
        <v>6</v>
      </c>
      <c r="AC617" s="27" t="n">
        <v>59</v>
      </c>
      <c r="AD617" s="1" t="inlineStr">
        <is>
          <t>LTG30</t>
        </is>
      </c>
      <c r="AE617" s="1" t="inlineStr">
        <is>
          <t>Grey/Dash Grey/Mint Ton</t>
        </is>
      </c>
      <c r="AF617" s="4" t="n">
        <v>12.1</v>
      </c>
      <c r="AG617" s="4" t="n">
        <v>7.62</v>
      </c>
    </row>
    <row r="618" ht="47.25" customHeight="1">
      <c r="A618" s="18" t="inlineStr">
        <is>
          <t>195748952343</t>
        </is>
      </c>
      <c r="B618" s="19" t="inlineStr">
        <is>
          <t>https://www.amazon.com/dp/</t>
        </is>
      </c>
      <c r="C618" s="20" t="inlineStr">
        <is>
          <t>B09VCM72XL</t>
        </is>
      </c>
      <c r="D618" s="44" t="n"/>
      <c r="E618" s="23" t="inlineStr">
        <is>
          <t>?th=1&amp;psc=1&amp;tag=sdcdeals03-20</t>
        </is>
      </c>
      <c r="F618" s="19">
        <f>HYPERLINK("https://redirect.sdcdeals.com/redirect?destination=https%3A%2F%2Fwww.amazon.com%2Fdp%2FB09VCM72XL%3Fth%3D1%26psc%3D1%26tag%3Dsdcdeals03-20", "Amazon Link")</f>
        <v/>
      </c>
      <c r="G618" s="19" t="inlineStr">
        <is>
          <t>https://www.jcpenney.com/s?searchTerm={search_term}</t>
        </is>
      </c>
      <c r="H618" s="23" t="inlineStr">
        <is>
          <t>195748952343</t>
        </is>
      </c>
      <c r="I618" s="19">
        <f>HYPERLINK("https://www.jcpenney.com/s?searchTerm=195748952343", "Retail Link")</f>
        <v/>
      </c>
      <c r="J618" s="23" t="inlineStr">
        <is>
          <t>n/a</t>
        </is>
      </c>
      <c r="K618" s="21" t="inlineStr">
        <is>
          <t>adidas Women's Terrex Eastrail 2 Sneaker, Grey/Dash Grey/Mint Ton, 8.5</t>
        </is>
      </c>
      <c r="L618" s="24" t="n">
        <v>47.4905</v>
      </c>
      <c r="M618" s="24" t="n">
        <v>64.45999999999999</v>
      </c>
      <c r="N618" s="24" t="n">
        <v>-0.3995000000000104</v>
      </c>
      <c r="O618" s="24">
        <f>V618-M618</f>
        <v/>
      </c>
      <c r="P618" s="25">
        <f>N618/L618</f>
        <v/>
      </c>
      <c r="Q618" s="23" t="n">
        <v>853786</v>
      </c>
      <c r="R618" s="23" t="n"/>
      <c r="S618" s="26" t="n">
        <v>2.0282504</v>
      </c>
      <c r="T618" s="24" t="n">
        <v>49.51</v>
      </c>
      <c r="U618" s="24" t="n">
        <v>68.90000000000001</v>
      </c>
      <c r="V618" s="24" t="n">
        <v>71.53</v>
      </c>
      <c r="W618" s="26" t="inlineStr">
        <is>
          <t>adidas Womens Terrex Easttrail 2 Hiking Shoes</t>
        </is>
      </c>
      <c r="X618" s="23" t="n">
        <v>5</v>
      </c>
      <c r="Y618" s="18">
        <f>AC618-AB618</f>
        <v/>
      </c>
      <c r="Z618" s="27" t="n">
        <v>24</v>
      </c>
      <c r="AA618" s="27" t="n">
        <v>74</v>
      </c>
      <c r="AB618" s="27" t="n">
        <v>6</v>
      </c>
      <c r="AC618" s="27" t="n">
        <v>33</v>
      </c>
      <c r="AD618" s="1" t="inlineStr">
        <is>
          <t>LTG30</t>
        </is>
      </c>
      <c r="AE618" s="1" t="inlineStr">
        <is>
          <t>Grey/Dash Grey/Mint Ton</t>
        </is>
      </c>
      <c r="AF618" s="4" t="n">
        <v>9.67</v>
      </c>
      <c r="AG618" s="4" t="n">
        <v>7.7</v>
      </c>
    </row>
    <row r="619" ht="47.25" customHeight="1">
      <c r="A619" s="18" t="inlineStr">
        <is>
          <t>195748952275</t>
        </is>
      </c>
      <c r="B619" s="19" t="inlineStr">
        <is>
          <t>https://www.amazon.com/dp/</t>
        </is>
      </c>
      <c r="C619" s="20" t="inlineStr">
        <is>
          <t>B09VCM6NCH</t>
        </is>
      </c>
      <c r="D619" s="44" t="n"/>
      <c r="E619" s="23" t="inlineStr">
        <is>
          <t>?th=1&amp;psc=1&amp;tag=sdcdeals03-20</t>
        </is>
      </c>
      <c r="F619" s="19">
        <f>HYPERLINK("https://redirect.sdcdeals.com/redirect?destination=https%3A%2F%2Fwww.amazon.com%2Fdp%2FB09VCM6NCH%3Fth%3D1%26psc%3D1%26tag%3Dsdcdeals03-20", "Amazon Link")</f>
        <v/>
      </c>
      <c r="G619" s="19" t="inlineStr">
        <is>
          <t>https://www.jcpenney.com/s?searchTerm={search_term}</t>
        </is>
      </c>
      <c r="H619" s="23" t="inlineStr">
        <is>
          <t>195748952275</t>
        </is>
      </c>
      <c r="I619" s="19">
        <f>HYPERLINK("https://www.jcpenney.com/s?searchTerm=195748952275", "Retail Link")</f>
        <v/>
      </c>
      <c r="J619" s="23" t="inlineStr">
        <is>
          <t>n/a</t>
        </is>
      </c>
      <c r="K619" s="21" t="inlineStr">
        <is>
          <t>adidas Women's Terrex Eastrail 2 Sneaker, Grey/Dash Grey/Mint Ton, 9</t>
        </is>
      </c>
      <c r="L619" s="24" t="n">
        <v>47.4905</v>
      </c>
      <c r="M619" s="24" t="n">
        <v>39.98</v>
      </c>
      <c r="N619" s="24" t="n">
        <v>-21.2075</v>
      </c>
      <c r="O619" s="24">
        <f>V619-M619</f>
        <v/>
      </c>
      <c r="P619" s="25">
        <f>N619/L619</f>
        <v/>
      </c>
      <c r="Q619" s="23" t="n">
        <v>871626</v>
      </c>
      <c r="R619" s="23" t="n"/>
      <c r="S619" s="26" t="n">
        <v>2.07013818</v>
      </c>
      <c r="T619" s="24" t="n">
        <v>39.98</v>
      </c>
      <c r="U619" s="24" t="n">
        <v>60.12</v>
      </c>
      <c r="V619" s="24" t="n">
        <v>65.93000000000001</v>
      </c>
      <c r="W619" s="26" t="inlineStr">
        <is>
          <t>adidas Womens Terrex Easttrail 2 Hiking Shoes</t>
        </is>
      </c>
      <c r="X619" s="23" t="n">
        <v>3</v>
      </c>
      <c r="Y619" s="18">
        <f>AC619-AB619</f>
        <v/>
      </c>
      <c r="Z619" s="27" t="n">
        <v>22</v>
      </c>
      <c r="AA619" s="27" t="n">
        <v>60</v>
      </c>
      <c r="AB619" s="27" t="n">
        <v>6</v>
      </c>
      <c r="AC619" s="27" t="n">
        <v>59</v>
      </c>
      <c r="AD619" s="1" t="inlineStr">
        <is>
          <t>LTG30</t>
        </is>
      </c>
      <c r="AE619" s="1" t="inlineStr">
        <is>
          <t>Grey/Dash Grey/Mint Ton</t>
        </is>
      </c>
      <c r="AF619" s="4" t="n">
        <v>6</v>
      </c>
      <c r="AG619" s="4" t="n">
        <v>7.7</v>
      </c>
    </row>
    <row r="620" ht="47.25" customHeight="1">
      <c r="A620" s="18" t="inlineStr">
        <is>
          <t>195748952282</t>
        </is>
      </c>
      <c r="B620" s="19" t="inlineStr">
        <is>
          <t>https://www.amazon.com/dp/</t>
        </is>
      </c>
      <c r="C620" s="20" t="inlineStr">
        <is>
          <t>B09VCPM439</t>
        </is>
      </c>
      <c r="D620" s="44" t="n"/>
      <c r="E620" s="23" t="inlineStr">
        <is>
          <t>?th=1&amp;psc=1&amp;tag=sdcdeals03-20</t>
        </is>
      </c>
      <c r="F620" s="19">
        <f>HYPERLINK("https://redirect.sdcdeals.com/redirect?destination=https%3A%2F%2Fwww.amazon.com%2Fdp%2FB09VCPM439%3Fth%3D1%26psc%3D1%26tag%3Dsdcdeals03-20", "Amazon Link")</f>
        <v/>
      </c>
      <c r="G620" s="19" t="inlineStr">
        <is>
          <t>https://www.jcpenney.com/s?searchTerm={search_term}</t>
        </is>
      </c>
      <c r="H620" s="23" t="inlineStr">
        <is>
          <t>195748952282</t>
        </is>
      </c>
      <c r="I620" s="19">
        <f>HYPERLINK("https://www.jcpenney.com/s?searchTerm=195748952282", "Retail Link")</f>
        <v/>
      </c>
      <c r="J620" s="23" t="inlineStr">
        <is>
          <t>n/a</t>
        </is>
      </c>
      <c r="K620" s="21" t="inlineStr">
        <is>
          <t>adidas Women's Terrex Eastrail 2 Sneaker, Grey/Dash Grey/Mint Ton, 9.5</t>
        </is>
      </c>
      <c r="L620" s="24" t="n">
        <v>47.4905</v>
      </c>
      <c r="M620" s="24" t="n">
        <v>80.64</v>
      </c>
      <c r="N620" s="24" t="n">
        <v>13.1135</v>
      </c>
      <c r="O620" s="24">
        <f>V620-M620</f>
        <v/>
      </c>
      <c r="P620" s="25">
        <f>N620/L620</f>
        <v/>
      </c>
      <c r="Q620" s="23" t="n">
        <v>887642</v>
      </c>
      <c r="R620" s="23" t="n"/>
      <c r="S620" s="26" t="n">
        <v>2.12084444</v>
      </c>
      <c r="T620" s="24" t="n">
        <v>80.64</v>
      </c>
      <c r="U620" s="24" t="n">
        <v>70.7</v>
      </c>
      <c r="V620" s="24" t="n">
        <v>71.28</v>
      </c>
      <c r="W620" s="26" t="inlineStr">
        <is>
          <t>adidas Womens Terrex Easttrail 2 Hiking Shoes</t>
        </is>
      </c>
      <c r="X620" s="23" t="n">
        <v>4</v>
      </c>
      <c r="Y620" s="18">
        <f>AC620-AB620</f>
        <v/>
      </c>
      <c r="Z620" s="27" t="n">
        <v>18</v>
      </c>
      <c r="AA620" s="27" t="n">
        <v>57</v>
      </c>
      <c r="AB620" s="27" t="n">
        <v>0</v>
      </c>
      <c r="AC620" s="27" t="n">
        <v>59</v>
      </c>
      <c r="AD620" s="1" t="inlineStr">
        <is>
          <t>LTG30</t>
        </is>
      </c>
      <c r="AE620" s="1" t="inlineStr">
        <is>
          <t>Grey/Dash Grey/Mint Ton</t>
        </is>
      </c>
      <c r="AF620" s="4" t="n">
        <v>12.1</v>
      </c>
      <c r="AG620" s="4" t="n">
        <v>7.94</v>
      </c>
    </row>
    <row r="621" ht="47.25" customHeight="1">
      <c r="A621" s="18" t="inlineStr">
        <is>
          <t>195748952312</t>
        </is>
      </c>
      <c r="B621" s="19" t="inlineStr">
        <is>
          <t>https://www.amazon.com/dp/</t>
        </is>
      </c>
      <c r="C621" s="20" t="inlineStr">
        <is>
          <t>B09VCMMNMH</t>
        </is>
      </c>
      <c r="D621" s="44" t="n"/>
      <c r="E621" s="23" t="inlineStr">
        <is>
          <t>?th=1&amp;psc=1&amp;tag=sdcdeals03-20</t>
        </is>
      </c>
      <c r="F621" s="19">
        <f>HYPERLINK("https://redirect.sdcdeals.com/redirect?destination=https%3A%2F%2Fwww.amazon.com%2Fdp%2FB09VCMMNMH%3Fth%3D1%26psc%3D1%26tag%3Dsdcdeals03-20", "Amazon Link")</f>
        <v/>
      </c>
      <c r="G621" s="19" t="inlineStr">
        <is>
          <t>https://www.jcpenney.com/s?searchTerm={search_term}</t>
        </is>
      </c>
      <c r="H621" s="23" t="inlineStr">
        <is>
          <t>195748952312</t>
        </is>
      </c>
      <c r="I621" s="19">
        <f>HYPERLINK("https://www.jcpenney.com/s?searchTerm=195748952312", "Retail Link")</f>
        <v/>
      </c>
      <c r="J621" s="23" t="inlineStr">
        <is>
          <t>n/a</t>
        </is>
      </c>
      <c r="K621" s="21" t="inlineStr">
        <is>
          <t>adidas Women's Terrex Eastrail 2 Sneaker, Grey/Dash Grey/Mint Ton, 10</t>
        </is>
      </c>
      <c r="L621" s="24" t="n">
        <v>47.4905</v>
      </c>
      <c r="M621" s="24" t="n">
        <v>41</v>
      </c>
      <c r="N621" s="24" t="n">
        <v>-20.5005</v>
      </c>
      <c r="O621" s="24">
        <f>V621-M621</f>
        <v/>
      </c>
      <c r="P621" s="25">
        <f>N621/L621</f>
        <v/>
      </c>
      <c r="Q621" s="23" t="n">
        <v>887642</v>
      </c>
      <c r="R621" s="23" t="n"/>
      <c r="S621" s="26" t="n">
        <v>2.20021076</v>
      </c>
      <c r="T621" s="24" t="n">
        <v>41</v>
      </c>
      <c r="U621" s="24" t="n">
        <v>66.02</v>
      </c>
      <c r="V621" s="24" t="n">
        <v>68.55</v>
      </c>
      <c r="W621" s="26" t="inlineStr">
        <is>
          <t>adidas Womens Terrex Easttrail 2 Hiking Shoes</t>
        </is>
      </c>
      <c r="X621" s="23" t="n">
        <v>4</v>
      </c>
      <c r="Y621" s="18">
        <f>AC621-AB621</f>
        <v/>
      </c>
      <c r="Z621" s="27" t="n">
        <v>25</v>
      </c>
      <c r="AA621" s="27" t="n">
        <v>73</v>
      </c>
      <c r="AB621" s="27" t="n">
        <v>3</v>
      </c>
      <c r="AC621" s="27" t="n">
        <v>60</v>
      </c>
      <c r="AD621" s="1" t="inlineStr">
        <is>
          <t>LTG30</t>
        </is>
      </c>
      <c r="AE621" s="1" t="inlineStr">
        <is>
          <t>Grey/Dash Grey/Mint Ton</t>
        </is>
      </c>
      <c r="AF621" s="4" t="n">
        <v>6.15</v>
      </c>
      <c r="AG621" s="4" t="n">
        <v>7.86</v>
      </c>
    </row>
    <row r="622" ht="47.25" customHeight="1">
      <c r="A622" s="18" t="inlineStr">
        <is>
          <t>195748952299</t>
        </is>
      </c>
      <c r="B622" s="19" t="inlineStr">
        <is>
          <t>https://www.amazon.com/dp/</t>
        </is>
      </c>
      <c r="C622" s="20" t="inlineStr">
        <is>
          <t>B09VCNPC5P</t>
        </is>
      </c>
      <c r="D622" s="44" t="n"/>
      <c r="E622" s="23" t="inlineStr">
        <is>
          <t>?th=1&amp;psc=1&amp;tag=sdcdeals03-20</t>
        </is>
      </c>
      <c r="F622" s="19">
        <f>HYPERLINK("https://redirect.sdcdeals.com/redirect?destination=https%3A%2F%2Fwww.amazon.com%2Fdp%2FB09VCNPC5P%3Fth%3D1%26psc%3D1%26tag%3Dsdcdeals03-20", "Amazon Link")</f>
        <v/>
      </c>
      <c r="G622" s="19" t="inlineStr">
        <is>
          <t>https://www.jcpenney.com/s?searchTerm={search_term}</t>
        </is>
      </c>
      <c r="H622" s="23" t="inlineStr">
        <is>
          <t>195748952299</t>
        </is>
      </c>
      <c r="I622" s="19">
        <f>HYPERLINK("https://www.jcpenney.com/s?searchTerm=195748952299", "Retail Link")</f>
        <v/>
      </c>
      <c r="J622" s="23" t="inlineStr">
        <is>
          <t>n/a</t>
        </is>
      </c>
      <c r="K622" s="21" t="inlineStr">
        <is>
          <t>adidas Women's Terrex Eastrail 2 Sneaker, Grey/Dash Grey/Mint Ton, 11</t>
        </is>
      </c>
      <c r="L622" s="24" t="n">
        <v>47.4905</v>
      </c>
      <c r="M622" s="24" t="n">
        <v>80.64</v>
      </c>
      <c r="N622" s="24" t="n">
        <v>13.1935</v>
      </c>
      <c r="O622" s="24">
        <f>V622-M622</f>
        <v/>
      </c>
      <c r="P622" s="25">
        <f>N622/L622</f>
        <v/>
      </c>
      <c r="Q622" s="23" t="n">
        <v>871626</v>
      </c>
      <c r="R622" s="23" t="n"/>
      <c r="S622" s="26" t="n">
        <v>2.23107544</v>
      </c>
      <c r="T622" s="24" t="n">
        <v>80.64</v>
      </c>
      <c r="U622" s="24" t="n">
        <v>74.73999999999999</v>
      </c>
      <c r="V622" s="24" t="n">
        <v>72.22</v>
      </c>
      <c r="W622" s="26" t="inlineStr">
        <is>
          <t>adidas Womens Terrex Easttrail 2 Hiking Shoes</t>
        </is>
      </c>
      <c r="X622" s="23" t="n">
        <v>3</v>
      </c>
      <c r="Y622" s="18">
        <f>AC622-AB622</f>
        <v/>
      </c>
      <c r="Z622" s="27" t="n">
        <v>18</v>
      </c>
      <c r="AA622" s="27" t="n">
        <v>54</v>
      </c>
      <c r="AB622" s="27" t="n">
        <v>1</v>
      </c>
      <c r="AC622" s="27" t="n">
        <v>59</v>
      </c>
      <c r="AD622" s="1" t="inlineStr">
        <is>
          <t>LTG30</t>
        </is>
      </c>
      <c r="AE622" s="1" t="inlineStr">
        <is>
          <t>Grey/Dash Grey/Mint Ton</t>
        </is>
      </c>
      <c r="AF622" s="4" t="n">
        <v>12.1</v>
      </c>
      <c r="AG622" s="4" t="n">
        <v>7.86</v>
      </c>
    </row>
    <row r="623" ht="47.25" customHeight="1">
      <c r="A623" s="18" t="inlineStr">
        <is>
          <t>196471105792</t>
        </is>
      </c>
      <c r="B623" s="19" t="inlineStr">
        <is>
          <t>https://www.amazon.com/dp/</t>
        </is>
      </c>
      <c r="C623" s="20" t="inlineStr">
        <is>
          <t>B0BTZBDXGF</t>
        </is>
      </c>
      <c r="D623" s="44" t="n"/>
      <c r="E623" s="23" t="inlineStr">
        <is>
          <t>?th=1&amp;psc=1&amp;tag=sdcdeals03-20</t>
        </is>
      </c>
      <c r="F623" s="19">
        <f>HYPERLINK("https://redirect.sdcdeals.com/redirect?destination=https%3A%2F%2Fwww.amazon.com%2Fdp%2FB0BTZBDXGF%3Fth%3D1%26psc%3D1%26tag%3Dsdcdeals03-20", "Amazon Link")</f>
        <v/>
      </c>
      <c r="G623" s="19" t="inlineStr">
        <is>
          <t>https://www.jcpenney.com/s?searchTerm={search_term}</t>
        </is>
      </c>
      <c r="H623" s="23" t="inlineStr">
        <is>
          <t>196471105792</t>
        </is>
      </c>
      <c r="I623" s="19">
        <f>HYPERLINK("https://www.jcpenney.com/s?searchTerm=196471105792", "Retail Link")</f>
        <v/>
      </c>
      <c r="J623" s="23" t="inlineStr">
        <is>
          <t>n/a</t>
        </is>
      </c>
      <c r="K623" s="21" t="inlineStr">
        <is>
          <t>adidas Women's Kaptir Flow Sneaker</t>
        </is>
      </c>
      <c r="L623" s="24" t="n"/>
      <c r="M623" s="24" t="n">
        <v>89.95</v>
      </c>
      <c r="N623" s="24" t="n"/>
      <c r="O623" s="24">
        <f>V623-M623</f>
        <v/>
      </c>
      <c r="P623" s="25">
        <f>N623/L623</f>
        <v/>
      </c>
      <c r="Q623" s="23" t="n">
        <v>33858</v>
      </c>
      <c r="R623" s="23" t="n"/>
      <c r="S623" s="26" t="n">
        <v>1.2676565</v>
      </c>
      <c r="T623" s="24" t="n">
        <v>89.95</v>
      </c>
      <c r="U623" s="24" t="n">
        <v>81.37</v>
      </c>
      <c r="V623" s="24" t="n">
        <v>84.3</v>
      </c>
      <c r="W623" s="26" t="inlineStr">
        <is>
          <t>adidas Kaptir Flow Womens Sneakers</t>
        </is>
      </c>
      <c r="X623" s="23" t="n">
        <v>4</v>
      </c>
      <c r="Y623" s="18">
        <f>AC623-AB623</f>
        <v/>
      </c>
      <c r="Z623" s="27" t="n">
        <v>47</v>
      </c>
      <c r="AA623" s="27" t="n">
        <v>124</v>
      </c>
      <c r="AB623" s="27" t="n">
        <v>1</v>
      </c>
      <c r="AC623" s="27" t="n">
        <v>320</v>
      </c>
      <c r="AD623" s="1" t="inlineStr">
        <is>
          <t>NKH14</t>
        </is>
      </c>
      <c r="AE623" s="1" t="inlineStr">
        <is>
          <t>Off White/Wonder Beige/Off White</t>
        </is>
      </c>
      <c r="AF623" s="4" t="n">
        <v>13.49</v>
      </c>
      <c r="AG623" s="4" t="n">
        <v>7.54</v>
      </c>
    </row>
    <row r="624" ht="47.25" customHeight="1">
      <c r="A624" s="18" t="inlineStr">
        <is>
          <t>196471109462</t>
        </is>
      </c>
      <c r="B624" s="19" t="inlineStr">
        <is>
          <t>https://www.amazon.com/dp/</t>
        </is>
      </c>
      <c r="C624" s="20" t="inlineStr">
        <is>
          <t>B0BTZBDKGC</t>
        </is>
      </c>
      <c r="D624" s="44" t="n"/>
      <c r="E624" s="23" t="inlineStr">
        <is>
          <t>?th=1&amp;psc=1&amp;tag=sdcdeals03-20</t>
        </is>
      </c>
      <c r="F624" s="19">
        <f>HYPERLINK("https://redirect.sdcdeals.com/redirect?destination=https%3A%2F%2Fwww.amazon.com%2Fdp%2FB0BTZBDKGC%3Fth%3D1%26psc%3D1%26tag%3Dsdcdeals03-20", "Amazon Link")</f>
        <v/>
      </c>
      <c r="G624" s="19" t="inlineStr">
        <is>
          <t>https://www.jcpenney.com/s?searchTerm={search_term}</t>
        </is>
      </c>
      <c r="H624" s="23" t="inlineStr">
        <is>
          <t>196471109462</t>
        </is>
      </c>
      <c r="I624" s="19">
        <f>HYPERLINK("https://www.jcpenney.com/s?searchTerm=196471109462", "Retail Link")</f>
        <v/>
      </c>
      <c r="J624" s="23" t="inlineStr">
        <is>
          <t>n/a</t>
        </is>
      </c>
      <c r="K624" s="21" t="inlineStr">
        <is>
          <t>adidas Women's Kaptir Flow Sneaker</t>
        </is>
      </c>
      <c r="L624" s="24" t="n"/>
      <c r="M624" s="24" t="n">
        <v>89.36</v>
      </c>
      <c r="N624" s="24" t="n"/>
      <c r="O624" s="24">
        <f>V624-M624</f>
        <v/>
      </c>
      <c r="P624" s="25">
        <f>N624/L624</f>
        <v/>
      </c>
      <c r="Q624" s="23" t="n">
        <v>482121</v>
      </c>
      <c r="R624" s="23" t="n"/>
      <c r="S624" s="26" t="n">
        <v>1.2566334</v>
      </c>
      <c r="T624" s="24" t="n">
        <v>89.36</v>
      </c>
      <c r="U624" s="24" t="n">
        <v>86.70999999999999</v>
      </c>
      <c r="V624" s="24" t="n">
        <v>87.98999999999999</v>
      </c>
      <c r="W624" s="26" t="inlineStr">
        <is>
          <t>adidas Kaptir Flow Womens Sneakers</t>
        </is>
      </c>
      <c r="X624" s="23" t="n">
        <v>5</v>
      </c>
      <c r="Y624" s="18">
        <f>AC624-AB624</f>
        <v/>
      </c>
      <c r="Z624" s="27" t="n">
        <v>28</v>
      </c>
      <c r="AA624" s="27" t="n">
        <v>72</v>
      </c>
      <c r="AB624" s="27" t="n">
        <v>1</v>
      </c>
      <c r="AC624" s="27" t="n">
        <v>29</v>
      </c>
      <c r="AD624" s="1" t="inlineStr">
        <is>
          <t>NKH14</t>
        </is>
      </c>
      <c r="AE624" s="1" t="inlineStr">
        <is>
          <t>Off White/Wonder Beige/Off White</t>
        </is>
      </c>
      <c r="AF624" s="4" t="n">
        <v>13.4</v>
      </c>
      <c r="AG624" s="4" t="n">
        <v>7.54</v>
      </c>
    </row>
    <row r="625" ht="47.25" customHeight="1">
      <c r="A625" s="18" t="inlineStr">
        <is>
          <t>196471105778</t>
        </is>
      </c>
      <c r="B625" s="19" t="inlineStr">
        <is>
          <t>https://www.amazon.com/dp/</t>
        </is>
      </c>
      <c r="C625" s="20" t="inlineStr">
        <is>
          <t>B0BTZ9RD4K</t>
        </is>
      </c>
      <c r="D625" s="44" t="n"/>
      <c r="E625" s="23" t="inlineStr">
        <is>
          <t>?th=1&amp;psc=1&amp;tag=sdcdeals03-20</t>
        </is>
      </c>
      <c r="F625" s="19">
        <f>HYPERLINK("https://redirect.sdcdeals.com/redirect?destination=https%3A%2F%2Fwww.amazon.com%2Fdp%2FB0BTZ9RD4K%3Fth%3D1%26psc%3D1%26tag%3Dsdcdeals03-20", "Amazon Link")</f>
        <v/>
      </c>
      <c r="G625" s="19" t="inlineStr">
        <is>
          <t>https://www.jcpenney.com/s?searchTerm={search_term}</t>
        </is>
      </c>
      <c r="H625" s="23" t="inlineStr">
        <is>
          <t>196471105778</t>
        </is>
      </c>
      <c r="I625" s="19">
        <f>HYPERLINK("https://www.jcpenney.com/s?searchTerm=196471105778", "Retail Link")</f>
        <v/>
      </c>
      <c r="J625" s="23" t="inlineStr">
        <is>
          <t>n/a</t>
        </is>
      </c>
      <c r="K625" s="21" t="inlineStr">
        <is>
          <t>adidas Women's Kaptir Flow Sneaker</t>
        </is>
      </c>
      <c r="L625" s="24" t="n"/>
      <c r="M625" s="24" t="n">
        <v>68.98</v>
      </c>
      <c r="N625" s="24" t="n"/>
      <c r="O625" s="24">
        <f>V625-M625</f>
        <v/>
      </c>
      <c r="P625" s="25">
        <f>N625/L625</f>
        <v/>
      </c>
      <c r="Q625" s="23" t="n">
        <v>482121</v>
      </c>
      <c r="R625" s="23" t="n"/>
      <c r="S625" s="26" t="n">
        <v>1.3337951</v>
      </c>
      <c r="T625" s="24" t="n">
        <v>68.98</v>
      </c>
      <c r="U625" s="24" t="n">
        <v>73.05</v>
      </c>
      <c r="V625" s="24" t="n">
        <v>77.39</v>
      </c>
      <c r="W625" s="26" t="inlineStr">
        <is>
          <t>adidas Kaptir Flow Womens Sneakers</t>
        </is>
      </c>
      <c r="X625" s="23" t="n">
        <v>9</v>
      </c>
      <c r="Y625" s="18">
        <f>AC625-AB625</f>
        <v/>
      </c>
      <c r="Z625" s="27" t="n">
        <v>28</v>
      </c>
      <c r="AA625" s="27" t="n">
        <v>88</v>
      </c>
      <c r="AB625" s="27" t="n">
        <v>2</v>
      </c>
      <c r="AC625" s="27" t="n">
        <v>29</v>
      </c>
      <c r="AD625" s="1" t="inlineStr">
        <is>
          <t>NKH14</t>
        </is>
      </c>
      <c r="AE625" s="1" t="inlineStr">
        <is>
          <t>Off White/Wonder Beige/Off White</t>
        </is>
      </c>
      <c r="AF625" s="4" t="n">
        <v>10.35</v>
      </c>
      <c r="AG625" s="4" t="n">
        <v>7.54</v>
      </c>
    </row>
    <row r="626" ht="47.25" customHeight="1">
      <c r="A626" s="18" t="inlineStr">
        <is>
          <t>196471109448</t>
        </is>
      </c>
      <c r="B626" s="19" t="inlineStr">
        <is>
          <t>https://www.amazon.com/dp/</t>
        </is>
      </c>
      <c r="C626" s="20" t="inlineStr">
        <is>
          <t>B0BTZCHQPZ</t>
        </is>
      </c>
      <c r="D626" s="44" t="n"/>
      <c r="E626" s="23" t="inlineStr">
        <is>
          <t>?th=1&amp;psc=1&amp;tag=sdcdeals03-20</t>
        </is>
      </c>
      <c r="F626" s="19">
        <f>HYPERLINK("https://redirect.sdcdeals.com/redirect?destination=https%3A%2F%2Fwww.amazon.com%2Fdp%2FB0BTZCHQPZ%3Fth%3D1%26psc%3D1%26tag%3Dsdcdeals03-20", "Amazon Link")</f>
        <v/>
      </c>
      <c r="G626" s="19" t="inlineStr">
        <is>
          <t>https://www.jcpenney.com/s?searchTerm={search_term}</t>
        </is>
      </c>
      <c r="H626" s="23" t="inlineStr">
        <is>
          <t>196471109448</t>
        </is>
      </c>
      <c r="I626" s="19">
        <f>HYPERLINK("https://www.jcpenney.com/s?searchTerm=196471109448", "Retail Link")</f>
        <v/>
      </c>
      <c r="J626" s="23" t="inlineStr">
        <is>
          <t>n/a</t>
        </is>
      </c>
      <c r="K626" s="21" t="inlineStr">
        <is>
          <t>adidas Women's Kaptir Flow Sneaker</t>
        </is>
      </c>
      <c r="L626" s="24" t="n"/>
      <c r="M626" s="24" t="n">
        <v>79.98999999999999</v>
      </c>
      <c r="N626" s="24" t="n"/>
      <c r="O626" s="24">
        <f>V626-M626</f>
        <v/>
      </c>
      <c r="P626" s="25">
        <f>N626/L626</f>
        <v/>
      </c>
      <c r="Q626" s="23" t="n">
        <v>33858</v>
      </c>
      <c r="R626" s="23" t="n"/>
      <c r="S626" s="26" t="n">
        <v>1.3007258</v>
      </c>
      <c r="T626" s="24" t="n">
        <v>79.83</v>
      </c>
      <c r="U626" s="24" t="n">
        <v>74.91</v>
      </c>
      <c r="V626" s="24" t="n">
        <v>77.59999999999999</v>
      </c>
      <c r="W626" s="26" t="inlineStr">
        <is>
          <t>adidas Kaptir Flow Womens Sneakers</t>
        </is>
      </c>
      <c r="X626" s="23" t="n">
        <v>8</v>
      </c>
      <c r="Y626" s="18">
        <f>AC626-AB626</f>
        <v/>
      </c>
      <c r="Z626" s="27" t="n">
        <v>48</v>
      </c>
      <c r="AA626" s="27" t="n">
        <v>132</v>
      </c>
      <c r="AB626" s="27" t="n">
        <v>4</v>
      </c>
      <c r="AC626" s="27" t="n">
        <v>320</v>
      </c>
      <c r="AD626" s="1" t="inlineStr">
        <is>
          <t>NKH14</t>
        </is>
      </c>
      <c r="AE626" s="1" t="inlineStr">
        <is>
          <t>Off White/Wonder Beige/Off White</t>
        </is>
      </c>
      <c r="AF626" s="4" t="n">
        <v>12</v>
      </c>
      <c r="AG626" s="4" t="n">
        <v>7.54</v>
      </c>
    </row>
    <row r="627" ht="47.25" customHeight="1">
      <c r="A627" s="18" t="inlineStr">
        <is>
          <t>196471105808</t>
        </is>
      </c>
      <c r="B627" s="19" t="inlineStr">
        <is>
          <t>https://www.amazon.com/dp/</t>
        </is>
      </c>
      <c r="C627" s="20" t="inlineStr">
        <is>
          <t>B0BTZ9FM8T</t>
        </is>
      </c>
      <c r="D627" s="44" t="n"/>
      <c r="E627" s="23" t="inlineStr">
        <is>
          <t>?th=1&amp;psc=1&amp;tag=sdcdeals03-20</t>
        </is>
      </c>
      <c r="F627" s="19">
        <f>HYPERLINK("https://redirect.sdcdeals.com/redirect?destination=https%3A%2F%2Fwww.amazon.com%2Fdp%2FB0BTZ9FM8T%3Fth%3D1%26psc%3D1%26tag%3Dsdcdeals03-20", "Amazon Link")</f>
        <v/>
      </c>
      <c r="G627" s="19" t="inlineStr">
        <is>
          <t>https://www.jcpenney.com/s?searchTerm={search_term}</t>
        </is>
      </c>
      <c r="H627" s="23" t="inlineStr">
        <is>
          <t>196471105808</t>
        </is>
      </c>
      <c r="I627" s="19">
        <f>HYPERLINK("https://www.jcpenney.com/s?searchTerm=196471105808", "Retail Link")</f>
        <v/>
      </c>
      <c r="J627" s="23" t="inlineStr">
        <is>
          <t>n/a</t>
        </is>
      </c>
      <c r="K627" s="21" t="inlineStr">
        <is>
          <t>adidas Women's Kaptir Flow Sneaker</t>
        </is>
      </c>
      <c r="L627" s="24" t="n"/>
      <c r="M627" s="24" t="n">
        <v>79.98999999999999</v>
      </c>
      <c r="N627" s="24" t="n"/>
      <c r="O627" s="24">
        <f>V627-M627</f>
        <v/>
      </c>
      <c r="P627" s="25">
        <f>N627/L627</f>
        <v/>
      </c>
      <c r="Q627" s="23" t="n">
        <v>33858</v>
      </c>
      <c r="R627" s="23" t="n">
        <v>50</v>
      </c>
      <c r="S627" s="26" t="n">
        <v>1.4109568</v>
      </c>
      <c r="T627" s="24" t="n">
        <v>60</v>
      </c>
      <c r="U627" s="24" t="n">
        <v>72.09999999999999</v>
      </c>
      <c r="V627" s="24" t="n">
        <v>77.12</v>
      </c>
      <c r="W627" s="26" t="inlineStr">
        <is>
          <t>adidas Kaptir Flow Womens Sneakers</t>
        </is>
      </c>
      <c r="X627" s="23" t="n">
        <v>8</v>
      </c>
      <c r="Y627" s="18">
        <f>AC627-AB627</f>
        <v/>
      </c>
      <c r="Z627" s="27" t="n">
        <v>54</v>
      </c>
      <c r="AA627" s="27" t="n">
        <v>138</v>
      </c>
      <c r="AB627" s="27" t="n">
        <v>6</v>
      </c>
      <c r="AC627" s="27" t="n">
        <v>320</v>
      </c>
      <c r="AD627" s="1" t="inlineStr">
        <is>
          <t>NKH14</t>
        </is>
      </c>
      <c r="AE627" s="1" t="inlineStr">
        <is>
          <t>Off White/Wonder Beige/Off White</t>
        </is>
      </c>
      <c r="AF627" s="4" t="n">
        <v>12</v>
      </c>
      <c r="AG627" s="4" t="n">
        <v>7.54</v>
      </c>
    </row>
    <row r="628" ht="47.25" customHeight="1">
      <c r="A628" s="18" t="inlineStr">
        <is>
          <t>196471109424</t>
        </is>
      </c>
      <c r="B628" s="19" t="inlineStr">
        <is>
          <t>https://www.amazon.com/dp/</t>
        </is>
      </c>
      <c r="C628" s="20" t="inlineStr">
        <is>
          <t>B0BTZCGHDL</t>
        </is>
      </c>
      <c r="D628" s="44" t="n"/>
      <c r="E628" s="23" t="inlineStr">
        <is>
          <t>?th=1&amp;psc=1&amp;tag=sdcdeals03-20</t>
        </is>
      </c>
      <c r="F628" s="19">
        <f>HYPERLINK("https://redirect.sdcdeals.com/redirect?destination=https%3A%2F%2Fwww.amazon.com%2Fdp%2FB0BTZCGHDL%3Fth%3D1%26psc%3D1%26tag%3Dsdcdeals03-20", "Amazon Link")</f>
        <v/>
      </c>
      <c r="G628" s="19" t="inlineStr">
        <is>
          <t>https://www.jcpenney.com/s?searchTerm={search_term}</t>
        </is>
      </c>
      <c r="H628" s="23" t="inlineStr">
        <is>
          <t>196471109424</t>
        </is>
      </c>
      <c r="I628" s="19">
        <f>HYPERLINK("https://www.jcpenney.com/s?searchTerm=196471109424", "Retail Link")</f>
        <v/>
      </c>
      <c r="J628" s="23" t="inlineStr">
        <is>
          <t>n/a</t>
        </is>
      </c>
      <c r="K628" s="21" t="inlineStr">
        <is>
          <t>adidas Women's Kaptir Flow Sneaker</t>
        </is>
      </c>
      <c r="L628" s="24" t="n"/>
      <c r="M628" s="24" t="n">
        <v>79.98999999999999</v>
      </c>
      <c r="N628" s="24" t="n"/>
      <c r="O628" s="24">
        <f>V628-M628</f>
        <v/>
      </c>
      <c r="P628" s="25">
        <f>N628/L628</f>
        <v/>
      </c>
      <c r="Q628" s="23" t="n">
        <v>33858</v>
      </c>
      <c r="R628" s="23" t="n">
        <v>50</v>
      </c>
      <c r="S628" s="26" t="n">
        <v>1.3999337</v>
      </c>
      <c r="T628" s="24" t="n">
        <v>79.59</v>
      </c>
      <c r="U628" s="24" t="n">
        <v>72.86</v>
      </c>
      <c r="V628" s="24" t="n">
        <v>76.48999999999999</v>
      </c>
      <c r="W628" s="26" t="inlineStr">
        <is>
          <t>adidas Kaptir Flow Womens Sneakers</t>
        </is>
      </c>
      <c r="X628" s="23" t="n">
        <v>9</v>
      </c>
      <c r="Y628" s="18">
        <f>AC628-AB628</f>
        <v/>
      </c>
      <c r="Z628" s="27" t="n">
        <v>55</v>
      </c>
      <c r="AA628" s="27" t="n">
        <v>133</v>
      </c>
      <c r="AB628" s="27" t="n">
        <v>5</v>
      </c>
      <c r="AC628" s="27" t="n">
        <v>320</v>
      </c>
      <c r="AD628" s="1" t="inlineStr">
        <is>
          <t>NKH14</t>
        </is>
      </c>
      <c r="AE628" s="1" t="inlineStr">
        <is>
          <t>Off White/Wonder Beige/Off White</t>
        </is>
      </c>
      <c r="AF628" s="4" t="n">
        <v>12</v>
      </c>
      <c r="AG628" s="4" t="n">
        <v>7.86</v>
      </c>
    </row>
    <row r="629" ht="47.25" customHeight="1">
      <c r="A629" s="18" t="inlineStr">
        <is>
          <t>196471105754</t>
        </is>
      </c>
      <c r="B629" s="19" t="inlineStr">
        <is>
          <t>https://www.amazon.com/dp/</t>
        </is>
      </c>
      <c r="C629" s="20" t="inlineStr">
        <is>
          <t>B0BTZBY5H7</t>
        </is>
      </c>
      <c r="D629" s="44" t="n"/>
      <c r="E629" s="23" t="inlineStr">
        <is>
          <t>?th=1&amp;psc=1&amp;tag=sdcdeals03-20</t>
        </is>
      </c>
      <c r="F629" s="19">
        <f>HYPERLINK("https://redirect.sdcdeals.com/redirect?destination=https%3A%2F%2Fwww.amazon.com%2Fdp%2FB0BTZBY5H7%3Fth%3D1%26psc%3D1%26tag%3Dsdcdeals03-20", "Amazon Link")</f>
        <v/>
      </c>
      <c r="G629" s="19" t="inlineStr">
        <is>
          <t>https://www.jcpenney.com/s?searchTerm={search_term}</t>
        </is>
      </c>
      <c r="H629" s="23" t="inlineStr">
        <is>
          <t>196471105754</t>
        </is>
      </c>
      <c r="I629" s="19">
        <f>HYPERLINK("https://www.jcpenney.com/s?searchTerm=196471105754", "Retail Link")</f>
        <v/>
      </c>
      <c r="J629" s="23" t="inlineStr">
        <is>
          <t>n/a</t>
        </is>
      </c>
      <c r="K629" s="21" t="inlineStr">
        <is>
          <t>adidas Women's Kaptir Flow Sneaker</t>
        </is>
      </c>
      <c r="L629" s="24" t="n"/>
      <c r="M629" s="24" t="n">
        <v>79.98999999999999</v>
      </c>
      <c r="N629" s="24" t="n"/>
      <c r="O629" s="24">
        <f>V629-M629</f>
        <v/>
      </c>
      <c r="P629" s="25">
        <f>N629/L629</f>
        <v/>
      </c>
      <c r="Q629" s="23" t="n">
        <v>33858</v>
      </c>
      <c r="R629" s="23" t="n">
        <v>50</v>
      </c>
      <c r="S629" s="26" t="n">
        <v>1.51898318</v>
      </c>
      <c r="T629" s="24" t="n">
        <v>76.04000000000001</v>
      </c>
      <c r="U629" s="24" t="n">
        <v>73.92</v>
      </c>
      <c r="V629" s="24" t="n">
        <v>76.31</v>
      </c>
      <c r="W629" s="26" t="inlineStr">
        <is>
          <t>adidas Kaptir Flow Womens Sneakers</t>
        </is>
      </c>
      <c r="X629" s="23" t="n">
        <v>12</v>
      </c>
      <c r="Y629" s="18">
        <f>AC629-AB629</f>
        <v/>
      </c>
      <c r="Z629" s="27" t="n">
        <v>64</v>
      </c>
      <c r="AA629" s="27" t="n">
        <v>153</v>
      </c>
      <c r="AB629" s="27" t="n">
        <v>9</v>
      </c>
      <c r="AC629" s="27" t="n">
        <v>320</v>
      </c>
      <c r="AD629" s="1" t="inlineStr">
        <is>
          <t>NKH14</t>
        </is>
      </c>
      <c r="AE629" s="1" t="inlineStr">
        <is>
          <t>Off White/Wonder Beige/Off White</t>
        </is>
      </c>
      <c r="AF629" s="4" t="n">
        <v>12</v>
      </c>
      <c r="AG629" s="4" t="n">
        <v>7.86</v>
      </c>
    </row>
    <row r="630" ht="47.25" customHeight="1">
      <c r="A630" s="18" t="inlineStr">
        <is>
          <t>196471105747</t>
        </is>
      </c>
      <c r="B630" s="19" t="inlineStr">
        <is>
          <t>https://www.amazon.com/dp/</t>
        </is>
      </c>
      <c r="C630" s="20" t="inlineStr">
        <is>
          <t>B0BTZCT57L</t>
        </is>
      </c>
      <c r="D630" s="44" t="n"/>
      <c r="E630" s="23" t="inlineStr">
        <is>
          <t>?th=1&amp;psc=1&amp;tag=sdcdeals03-20</t>
        </is>
      </c>
      <c r="F630" s="19">
        <f>HYPERLINK("https://redirect.sdcdeals.com/redirect?destination=https%3A%2F%2Fwww.amazon.com%2Fdp%2FB0BTZCT57L%3Fth%3D1%26psc%3D1%26tag%3Dsdcdeals03-20", "Amazon Link")</f>
        <v/>
      </c>
      <c r="G630" s="19" t="inlineStr">
        <is>
          <t>https://www.jcpenney.com/s?searchTerm={search_term}</t>
        </is>
      </c>
      <c r="H630" s="23" t="inlineStr">
        <is>
          <t>196471105747</t>
        </is>
      </c>
      <c r="I630" s="19">
        <f>HYPERLINK("https://www.jcpenney.com/s?searchTerm=196471105747", "Retail Link")</f>
        <v/>
      </c>
      <c r="J630" s="23" t="inlineStr">
        <is>
          <t>n/a</t>
        </is>
      </c>
      <c r="K630" s="21" t="inlineStr">
        <is>
          <t>adidas Women's Kaptir Flow Sneaker</t>
        </is>
      </c>
      <c r="L630" s="24" t="n"/>
      <c r="M630" s="24" t="n">
        <v>79.98999999999999</v>
      </c>
      <c r="N630" s="24" t="n"/>
      <c r="O630" s="24">
        <f>V630-M630</f>
        <v/>
      </c>
      <c r="P630" s="25">
        <f>N630/L630</f>
        <v/>
      </c>
      <c r="Q630" s="23" t="n">
        <v>33858</v>
      </c>
      <c r="R630" s="23" t="n"/>
      <c r="S630" s="26" t="n">
        <v>1.5101647</v>
      </c>
      <c r="T630" s="24" t="n">
        <v>79.98999999999999</v>
      </c>
      <c r="U630" s="24" t="n">
        <v>76.31</v>
      </c>
      <c r="V630" s="24" t="n">
        <v>78.15000000000001</v>
      </c>
      <c r="W630" s="26" t="inlineStr">
        <is>
          <t>adidas Kaptir Flow Womens Sneakers</t>
        </is>
      </c>
      <c r="X630" s="23" t="n">
        <v>8</v>
      </c>
      <c r="Y630" s="18">
        <f>AC630-AB630</f>
        <v/>
      </c>
      <c r="Z630" s="27" t="n">
        <v>49</v>
      </c>
      <c r="AA630" s="27" t="n">
        <v>117</v>
      </c>
      <c r="AB630" s="27" t="n">
        <v>5</v>
      </c>
      <c r="AC630" s="27" t="n">
        <v>320</v>
      </c>
      <c r="AD630" s="1" t="inlineStr">
        <is>
          <t>NKH14</t>
        </is>
      </c>
      <c r="AE630" s="1" t="inlineStr">
        <is>
          <t>Off White/Wonder Beige/Off White</t>
        </is>
      </c>
      <c r="AF630" s="4" t="n">
        <v>12</v>
      </c>
      <c r="AG630" s="4" t="n">
        <v>8.02</v>
      </c>
    </row>
    <row r="631" ht="47.25" customHeight="1">
      <c r="A631" s="18" t="inlineStr">
        <is>
          <t>196471105761</t>
        </is>
      </c>
      <c r="B631" s="19" t="inlineStr">
        <is>
          <t>https://www.amazon.com/dp/</t>
        </is>
      </c>
      <c r="C631" s="20" t="inlineStr">
        <is>
          <t>B0BTZ9LPVT</t>
        </is>
      </c>
      <c r="D631" s="44" t="n"/>
      <c r="E631" s="23" t="inlineStr">
        <is>
          <t>?th=1&amp;psc=1&amp;tag=sdcdeals03-20</t>
        </is>
      </c>
      <c r="F631" s="19">
        <f>HYPERLINK("https://redirect.sdcdeals.com/redirect?destination=https%3A%2F%2Fwww.amazon.com%2Fdp%2FB0BTZ9LPVT%3Fth%3D1%26psc%3D1%26tag%3Dsdcdeals03-20", "Amazon Link")</f>
        <v/>
      </c>
      <c r="G631" s="19" t="inlineStr">
        <is>
          <t>https://www.jcpenney.com/s?searchTerm={search_term}</t>
        </is>
      </c>
      <c r="H631" s="23" t="inlineStr">
        <is>
          <t>196471105761</t>
        </is>
      </c>
      <c r="I631" s="19">
        <f>HYPERLINK("https://www.jcpenney.com/s?searchTerm=196471105761", "Retail Link")</f>
        <v/>
      </c>
      <c r="J631" s="23" t="inlineStr">
        <is>
          <t>n/a</t>
        </is>
      </c>
      <c r="K631" s="21" t="inlineStr">
        <is>
          <t>adidas Women's Kaptir Flow Sneaker</t>
        </is>
      </c>
      <c r="L631" s="24" t="n"/>
      <c r="M631" s="24" t="n">
        <v>79.98999999999999</v>
      </c>
      <c r="N631" s="24" t="n"/>
      <c r="O631" s="24">
        <f>V631-M631</f>
        <v/>
      </c>
      <c r="P631" s="25">
        <f>N631/L631</f>
        <v/>
      </c>
      <c r="Q631" s="23" t="n">
        <v>33858</v>
      </c>
      <c r="R631" s="23" t="n"/>
      <c r="S631" s="26" t="n">
        <v>1.5652802</v>
      </c>
      <c r="T631" s="24" t="n">
        <v>74.98999999999999</v>
      </c>
      <c r="U631" s="24" t="n">
        <v>76.81999999999999</v>
      </c>
      <c r="V631" s="24" t="n">
        <v>78.31999999999999</v>
      </c>
      <c r="W631" s="26" t="inlineStr">
        <is>
          <t>adidas Kaptir Flow Womens Sneakers</t>
        </is>
      </c>
      <c r="X631" s="23" t="n">
        <v>9</v>
      </c>
      <c r="Y631" s="18">
        <f>AC631-AB631</f>
        <v/>
      </c>
      <c r="Z631" s="27" t="n">
        <v>56</v>
      </c>
      <c r="AA631" s="27" t="n">
        <v>139</v>
      </c>
      <c r="AB631" s="27" t="n">
        <v>6</v>
      </c>
      <c r="AC631" s="27" t="n">
        <v>320</v>
      </c>
      <c r="AD631" s="1" t="inlineStr">
        <is>
          <t>NKH14</t>
        </is>
      </c>
      <c r="AE631" s="1" t="inlineStr">
        <is>
          <t>Off White/Wonder Beige/Off White</t>
        </is>
      </c>
      <c r="AF631" s="4" t="n">
        <v>12</v>
      </c>
      <c r="AG631" s="4" t="n">
        <v>7.86</v>
      </c>
    </row>
    <row r="632" ht="47.25" customHeight="1">
      <c r="A632" s="18" t="inlineStr">
        <is>
          <t>196471105815</t>
        </is>
      </c>
      <c r="B632" s="19" t="inlineStr">
        <is>
          <t>https://www.amazon.com/dp/</t>
        </is>
      </c>
      <c r="C632" s="20" t="inlineStr">
        <is>
          <t>B0BTZ9Y8ZK</t>
        </is>
      </c>
      <c r="D632" s="44" t="n"/>
      <c r="E632" s="23" t="inlineStr">
        <is>
          <t>?th=1&amp;psc=1&amp;tag=sdcdeals03-20</t>
        </is>
      </c>
      <c r="F632" s="19">
        <f>HYPERLINK("https://redirect.sdcdeals.com/redirect?destination=https%3A%2F%2Fwww.amazon.com%2Fdp%2FB0BTZ9Y8ZK%3Fth%3D1%26psc%3D1%26tag%3Dsdcdeals03-20", "Amazon Link")</f>
        <v/>
      </c>
      <c r="G632" s="19" t="inlineStr">
        <is>
          <t>https://www.jcpenney.com/s?searchTerm={search_term}</t>
        </is>
      </c>
      <c r="H632" s="23" t="inlineStr">
        <is>
          <t>196471105815</t>
        </is>
      </c>
      <c r="I632" s="19">
        <f>HYPERLINK("https://www.jcpenney.com/s?searchTerm=196471105815", "Retail Link")</f>
        <v/>
      </c>
      <c r="J632" s="23" t="inlineStr">
        <is>
          <t>n/a</t>
        </is>
      </c>
      <c r="K632" s="21" t="inlineStr">
        <is>
          <t>adidas Women's Kaptir Flow Sneaker</t>
        </is>
      </c>
      <c r="L632" s="24" t="n"/>
      <c r="M632" s="24" t="n">
        <v>79.2</v>
      </c>
      <c r="N632" s="24" t="n"/>
      <c r="O632" s="24">
        <f>V632-M632</f>
        <v/>
      </c>
      <c r="P632" s="25">
        <f>N632/L632</f>
        <v/>
      </c>
      <c r="Q632" s="23" t="n">
        <v>28347</v>
      </c>
      <c r="R632" s="23" t="n"/>
      <c r="S632" s="26" t="n">
        <v>1.5983495</v>
      </c>
      <c r="T632" s="24" t="n">
        <v>78.98999999999999</v>
      </c>
      <c r="U632" s="24" t="n">
        <v>78.43000000000001</v>
      </c>
      <c r="V632" s="24" t="n">
        <v>82.23</v>
      </c>
      <c r="W632" s="26" t="inlineStr">
        <is>
          <t>adidas Kaptir Flow Womens Sneakers</t>
        </is>
      </c>
      <c r="X632" s="23" t="n">
        <v>8</v>
      </c>
      <c r="Y632" s="18">
        <f>AC632-AB632</f>
        <v/>
      </c>
      <c r="Z632" s="27" t="n">
        <v>43</v>
      </c>
      <c r="AA632" s="27" t="n">
        <v>123</v>
      </c>
      <c r="AB632" s="27" t="n">
        <v>4</v>
      </c>
      <c r="AC632" s="27" t="n">
        <v>320</v>
      </c>
      <c r="AD632" s="1" t="inlineStr">
        <is>
          <t>NKH14</t>
        </is>
      </c>
      <c r="AE632" s="1" t="inlineStr">
        <is>
          <t>Off White/Wonder Beige/Off White</t>
        </is>
      </c>
      <c r="AF632" s="4" t="n">
        <v>11.88</v>
      </c>
      <c r="AG632" s="4" t="n">
        <v>8.1</v>
      </c>
    </row>
    <row r="633" ht="47.25" customHeight="1">
      <c r="A633" s="18" t="inlineStr">
        <is>
          <t>196471105785</t>
        </is>
      </c>
      <c r="B633" s="19" t="inlineStr">
        <is>
          <t>https://www.amazon.com/dp/</t>
        </is>
      </c>
      <c r="C633" s="20" t="inlineStr">
        <is>
          <t>B0BTZCQB2K</t>
        </is>
      </c>
      <c r="D633" s="44" t="n"/>
      <c r="E633" s="23" t="inlineStr">
        <is>
          <t>?th=1&amp;psc=1&amp;tag=sdcdeals03-20</t>
        </is>
      </c>
      <c r="F633" s="19">
        <f>HYPERLINK("https://redirect.sdcdeals.com/redirect?destination=https%3A%2F%2Fwww.amazon.com%2Fdp%2FB0BTZCQB2K%3Fth%3D1%26psc%3D1%26tag%3Dsdcdeals03-20", "Amazon Link")</f>
        <v/>
      </c>
      <c r="G633" s="19" t="inlineStr">
        <is>
          <t>https://www.jcpenney.com/s?searchTerm={search_term}</t>
        </is>
      </c>
      <c r="H633" s="23" t="inlineStr">
        <is>
          <t>196471105785</t>
        </is>
      </c>
      <c r="I633" s="19">
        <f>HYPERLINK("https://www.jcpenney.com/s?searchTerm=196471105785", "Retail Link")</f>
        <v/>
      </c>
      <c r="J633" s="23" t="inlineStr">
        <is>
          <t>n/a</t>
        </is>
      </c>
      <c r="K633" s="21" t="inlineStr">
        <is>
          <t>adidas Women's Kaptir Flow Sneaker</t>
        </is>
      </c>
      <c r="L633" s="24" t="n"/>
      <c r="M633" s="24" t="n">
        <v>79.98999999999999</v>
      </c>
      <c r="N633" s="24" t="n"/>
      <c r="O633" s="24">
        <f>V633-M633</f>
        <v/>
      </c>
      <c r="P633" s="25">
        <f>N633/L633</f>
        <v/>
      </c>
      <c r="Q633" s="23" t="n">
        <v>31995</v>
      </c>
      <c r="R633" s="23" t="n"/>
      <c r="S633" s="26" t="n">
        <v>1.6093726</v>
      </c>
      <c r="T633" s="24" t="n">
        <v>79.98999999999999</v>
      </c>
      <c r="U633" s="24" t="n">
        <v>75.94</v>
      </c>
      <c r="V633" s="24" t="n">
        <v>80.34</v>
      </c>
      <c r="W633" s="26" t="inlineStr">
        <is>
          <t>adidas Kaptir Flow Womens Sneakers</t>
        </is>
      </c>
      <c r="X633" s="23" t="n">
        <v>7</v>
      </c>
      <c r="Y633" s="18">
        <f>AC633-AB633</f>
        <v/>
      </c>
      <c r="Z633" s="27" t="n">
        <v>41</v>
      </c>
      <c r="AA633" s="27" t="n">
        <v>150</v>
      </c>
      <c r="AB633" s="27" t="n">
        <v>5</v>
      </c>
      <c r="AC633" s="27" t="n">
        <v>320</v>
      </c>
      <c r="AD633" s="1" t="inlineStr">
        <is>
          <t>NKH14</t>
        </is>
      </c>
      <c r="AE633" s="1" t="inlineStr">
        <is>
          <t>Off White/Wonder Beige/Off White</t>
        </is>
      </c>
      <c r="AF633" s="4" t="n">
        <v>12</v>
      </c>
      <c r="AG633" s="4" t="n">
        <v>7.86</v>
      </c>
    </row>
    <row r="634" ht="47.25" customHeight="1">
      <c r="A634" s="18" t="inlineStr">
        <is>
          <t>196471109455</t>
        </is>
      </c>
      <c r="B634" s="19" t="inlineStr">
        <is>
          <t>https://www.amazon.com/dp/</t>
        </is>
      </c>
      <c r="C634" s="20" t="inlineStr">
        <is>
          <t>B0BTZBWRJ3</t>
        </is>
      </c>
      <c r="D634" s="44" t="n"/>
      <c r="E634" s="23" t="inlineStr">
        <is>
          <t>?th=1&amp;psc=1&amp;tag=sdcdeals03-20</t>
        </is>
      </c>
      <c r="F634" s="19">
        <f>HYPERLINK("https://redirect.sdcdeals.com/redirect?destination=https%3A%2F%2Fwww.amazon.com%2Fdp%2FB0BTZBWRJ3%3Fth%3D1%26psc%3D1%26tag%3Dsdcdeals03-20", "Amazon Link")</f>
        <v/>
      </c>
      <c r="G634" s="19" t="inlineStr">
        <is>
          <t>https://www.jcpenney.com/s?searchTerm={search_term}</t>
        </is>
      </c>
      <c r="H634" s="23" t="inlineStr">
        <is>
          <t>196471109455</t>
        </is>
      </c>
      <c r="I634" s="19">
        <f>HYPERLINK("https://www.jcpenney.com/s?searchTerm=196471109455", "Retail Link")</f>
        <v/>
      </c>
      <c r="J634" s="23" t="inlineStr">
        <is>
          <t>n/a</t>
        </is>
      </c>
      <c r="K634" s="21" t="inlineStr">
        <is>
          <t>adidas Women's Kaptir Flow Sneaker</t>
        </is>
      </c>
      <c r="L634" s="24" t="n"/>
      <c r="M634" s="24" t="n">
        <v>75.05</v>
      </c>
      <c r="N634" s="24" t="n"/>
      <c r="O634" s="24">
        <f>V634-M634</f>
        <v/>
      </c>
      <c r="P634" s="25">
        <f>N634/L634</f>
        <v/>
      </c>
      <c r="Q634" s="23" t="n">
        <v>33858</v>
      </c>
      <c r="R634" s="23" t="n"/>
      <c r="S634" s="26" t="n">
        <v>1.67992044</v>
      </c>
      <c r="T634" s="24" t="n">
        <v>75.04000000000001</v>
      </c>
      <c r="U634" s="24" t="n">
        <v>78.68000000000001</v>
      </c>
      <c r="V634" s="24" t="n">
        <v>82.92</v>
      </c>
      <c r="W634" s="26" t="inlineStr">
        <is>
          <t>adidas Kaptir Flow Womens Sneakers</t>
        </is>
      </c>
      <c r="X634" s="23" t="n">
        <v>6</v>
      </c>
      <c r="Y634" s="18">
        <f>AC634-AB634</f>
        <v/>
      </c>
      <c r="Z634" s="27" t="n">
        <v>40</v>
      </c>
      <c r="AA634" s="27" t="n">
        <v>111</v>
      </c>
      <c r="AB634" s="27" t="n">
        <v>2</v>
      </c>
      <c r="AC634" s="27" t="n">
        <v>320</v>
      </c>
      <c r="AD634" s="1" t="inlineStr">
        <is>
          <t>NKH14</t>
        </is>
      </c>
      <c r="AE634" s="1" t="inlineStr">
        <is>
          <t>Off White/Wonder Beige/Off White</t>
        </is>
      </c>
      <c r="AF634" s="4" t="n">
        <v>11.26</v>
      </c>
      <c r="AG634" s="4" t="n">
        <v>7.94</v>
      </c>
    </row>
    <row r="635" ht="47.25" customHeight="1">
      <c r="A635" s="18" t="inlineStr">
        <is>
          <t>193525445323</t>
        </is>
      </c>
      <c r="B635" s="19" t="inlineStr">
        <is>
          <t>https://www.amazon.com/dp/</t>
        </is>
      </c>
      <c r="C635" s="20" t="inlineStr">
        <is>
          <t>B07TR6GV3L</t>
        </is>
      </c>
      <c r="D635" s="44" t="n"/>
      <c r="E635" s="23" t="inlineStr">
        <is>
          <t>?th=1&amp;psc=1&amp;tag=sdcdeals03-20</t>
        </is>
      </c>
      <c r="F635" s="19">
        <f>HYPERLINK("https://redirect.sdcdeals.com/redirect?destination=https%3A%2F%2Fwww.amazon.com%2Fdp%2FB07TR6GV3L%3Fth%3D1%26psc%3D1%26tag%3Dsdcdeals03-20", "Amazon Link")</f>
        <v/>
      </c>
      <c r="G635" s="19" t="inlineStr">
        <is>
          <t>https://www.jcpenney.com/s?searchTerm={search_term}</t>
        </is>
      </c>
      <c r="H635" s="23" t="inlineStr">
        <is>
          <t>193525445323</t>
        </is>
      </c>
      <c r="I635" s="19">
        <f>HYPERLINK("https://www.jcpenney.com/s?searchTerm=193525445323", "Retail Link")</f>
        <v/>
      </c>
      <c r="J635" s="23" t="inlineStr">
        <is>
          <t>n/a</t>
        </is>
      </c>
      <c r="K635" s="21" t="inlineStr">
        <is>
          <t>PUMA Womens Prowl Slip On Cross Trainer, PUMA Womens black-PUMA Womens white, 5.5</t>
        </is>
      </c>
      <c r="L635" s="24" t="n">
        <v>61.75</v>
      </c>
      <c r="M635" s="24" t="n">
        <v>32.5</v>
      </c>
      <c r="N635" s="24" t="n">
        <v>-41.155</v>
      </c>
      <c r="O635" s="24">
        <f>V635-M635</f>
        <v/>
      </c>
      <c r="P635" s="25">
        <f>N635/L635</f>
        <v/>
      </c>
      <c r="Q635" s="23" t="n">
        <v>17278</v>
      </c>
      <c r="R635" s="23" t="n"/>
      <c r="S635" s="26" t="n">
        <v>0.99648824</v>
      </c>
      <c r="T635" s="24" t="n">
        <v>32.45</v>
      </c>
      <c r="U635" s="24" t="n">
        <v>48.38</v>
      </c>
      <c r="V635" s="24" t="n">
        <v>53.63</v>
      </c>
      <c r="W635" s="26" t="inlineStr">
        <is>
          <t>PUMA Prowl Alt Womens Training Shoes</t>
        </is>
      </c>
      <c r="X635" s="23" t="n">
        <v>3</v>
      </c>
      <c r="Y635" s="18">
        <f>AC635-AB635</f>
        <v/>
      </c>
      <c r="Z635" s="27" t="n">
        <v>19</v>
      </c>
      <c r="AA635" s="27" t="n">
        <v>53</v>
      </c>
      <c r="AB635" s="27" t="n">
        <v>67</v>
      </c>
      <c r="AC635" s="27" t="n">
        <v>2677</v>
      </c>
      <c r="AD635" s="1" t="inlineStr">
        <is>
          <t>19307801</t>
        </is>
      </c>
      <c r="AE635" s="1" t="inlineStr">
        <is>
          <t>Black/White</t>
        </is>
      </c>
      <c r="AF635" s="4" t="n">
        <v>4.88</v>
      </c>
      <c r="AG635" s="4" t="n">
        <v>7.03</v>
      </c>
    </row>
    <row r="636" ht="47.25" customHeight="1">
      <c r="A636" s="18" t="inlineStr">
        <is>
          <t>193525445491</t>
        </is>
      </c>
      <c r="B636" s="19" t="inlineStr">
        <is>
          <t>https://www.amazon.com/dp/</t>
        </is>
      </c>
      <c r="C636" s="20" t="inlineStr">
        <is>
          <t>B07TLXWVHN</t>
        </is>
      </c>
      <c r="D636" s="44" t="n"/>
      <c r="E636" s="23" t="inlineStr">
        <is>
          <t>?th=1&amp;psc=1&amp;tag=sdcdeals03-20</t>
        </is>
      </c>
      <c r="F636" s="19">
        <f>HYPERLINK("https://redirect.sdcdeals.com/redirect?destination=https%3A%2F%2Fwww.amazon.com%2Fdp%2FB07TLXWVHN%3Fth%3D1%26psc%3D1%26tag%3Dsdcdeals03-20", "Amazon Link")</f>
        <v/>
      </c>
      <c r="G636" s="19" t="inlineStr">
        <is>
          <t>https://www.jcpenney.com/s?searchTerm={search_term}</t>
        </is>
      </c>
      <c r="H636" s="23" t="inlineStr">
        <is>
          <t>193525445491</t>
        </is>
      </c>
      <c r="I636" s="19">
        <f>HYPERLINK("https://www.jcpenney.com/s?searchTerm=193525445491", "Retail Link")</f>
        <v/>
      </c>
      <c r="J636" s="23" t="inlineStr">
        <is>
          <t>n/a</t>
        </is>
      </c>
      <c r="K636" s="21" t="inlineStr">
        <is>
          <t>PUMA Womens Prowl Slip On Cross Trainer, PUMA Womens black-PUMA Womens white, 6</t>
        </is>
      </c>
      <c r="L636" s="24" t="n">
        <v>61.75</v>
      </c>
      <c r="M636" s="24" t="n">
        <v>32.5</v>
      </c>
      <c r="N636" s="24" t="n">
        <v>-40.735</v>
      </c>
      <c r="O636" s="24">
        <f>V636-M636</f>
        <v/>
      </c>
      <c r="P636" s="25">
        <f>N636/L636</f>
        <v/>
      </c>
      <c r="Q636" s="23" t="n">
        <v>17278</v>
      </c>
      <c r="R636" s="23" t="n">
        <v>50</v>
      </c>
      <c r="S636" s="26" t="n">
        <v>1.06042222</v>
      </c>
      <c r="T636" s="24" t="n">
        <v>32.5</v>
      </c>
      <c r="U636" s="24" t="n">
        <v>51.33</v>
      </c>
      <c r="V636" s="24" t="n">
        <v>55.71</v>
      </c>
      <c r="W636" s="26" t="inlineStr">
        <is>
          <t>PUMA Prowl Alt Womens Training Shoes</t>
        </is>
      </c>
      <c r="X636" s="23" t="n">
        <v>2</v>
      </c>
      <c r="Y636" s="18">
        <f>AC636-AB636</f>
        <v/>
      </c>
      <c r="Z636" s="27" t="n">
        <v>52</v>
      </c>
      <c r="AA636" s="27" t="n">
        <v>99</v>
      </c>
      <c r="AB636" s="27" t="n">
        <v>102</v>
      </c>
      <c r="AC636" s="27" t="n">
        <v>2677</v>
      </c>
      <c r="AD636" s="1" t="inlineStr">
        <is>
          <t>19307801</t>
        </is>
      </c>
      <c r="AE636" s="1" t="inlineStr">
        <is>
          <t>Black/White</t>
        </is>
      </c>
      <c r="AF636" s="4" t="n">
        <v>4.88</v>
      </c>
      <c r="AG636" s="4" t="n">
        <v>6.61</v>
      </c>
    </row>
    <row r="637" ht="47.25" customHeight="1">
      <c r="A637" s="18" t="inlineStr">
        <is>
          <t>193525445682</t>
        </is>
      </c>
      <c r="B637" s="19" t="inlineStr">
        <is>
          <t>https://www.amazon.com/dp/</t>
        </is>
      </c>
      <c r="C637" s="20" t="inlineStr">
        <is>
          <t>B07TLXZXC7</t>
        </is>
      </c>
      <c r="D637" s="44" t="n"/>
      <c r="E637" s="23" t="inlineStr">
        <is>
          <t>?th=1&amp;psc=1&amp;tag=sdcdeals03-20</t>
        </is>
      </c>
      <c r="F637" s="19">
        <f>HYPERLINK("https://redirect.sdcdeals.com/redirect?destination=https%3A%2F%2Fwww.amazon.com%2Fdp%2FB07TLXZXC7%3Fth%3D1%26psc%3D1%26tag%3Dsdcdeals03-20", "Amazon Link")</f>
        <v/>
      </c>
      <c r="G637" s="19" t="inlineStr">
        <is>
          <t>https://www.jcpenney.com/s?searchTerm={search_term}</t>
        </is>
      </c>
      <c r="H637" s="23" t="inlineStr">
        <is>
          <t>193525445682</t>
        </is>
      </c>
      <c r="I637" s="19">
        <f>HYPERLINK("https://www.jcpenney.com/s?searchTerm=193525445682", "Retail Link")</f>
        <v/>
      </c>
      <c r="J637" s="23" t="inlineStr">
        <is>
          <t>n/a</t>
        </is>
      </c>
      <c r="K637" s="21" t="inlineStr">
        <is>
          <t>PUMA Womens Prowl Slip On Cross Trainer, PUMA Womens black-PUMA Womens white, 6.5</t>
        </is>
      </c>
      <c r="L637" s="24" t="n">
        <v>61.75</v>
      </c>
      <c r="M637" s="24" t="n">
        <v>32.5</v>
      </c>
      <c r="N637" s="24" t="n">
        <v>-41.155</v>
      </c>
      <c r="O637" s="24">
        <f>V637-M637</f>
        <v/>
      </c>
      <c r="P637" s="25">
        <f>N637/L637</f>
        <v/>
      </c>
      <c r="Q637" s="23" t="n">
        <v>17278</v>
      </c>
      <c r="R637" s="23" t="n">
        <v>50</v>
      </c>
      <c r="S637" s="26" t="n">
        <v>1.06042222</v>
      </c>
      <c r="T637" s="24" t="n">
        <v>32.5</v>
      </c>
      <c r="U637" s="24" t="n">
        <v>51.59</v>
      </c>
      <c r="V637" s="24" t="n">
        <v>54.4</v>
      </c>
      <c r="W637" s="26" t="inlineStr">
        <is>
          <t>PUMA Prowl Alt Womens Training Shoes</t>
        </is>
      </c>
      <c r="X637" s="23" t="n">
        <v>3</v>
      </c>
      <c r="Y637" s="18">
        <f>AC637-AB637</f>
        <v/>
      </c>
      <c r="Z637" s="27" t="n">
        <v>44</v>
      </c>
      <c r="AA637" s="27" t="n">
        <v>115</v>
      </c>
      <c r="AB637" s="27" t="n">
        <v>114</v>
      </c>
      <c r="AC637" s="27" t="n">
        <v>2677</v>
      </c>
      <c r="AD637" s="1" t="inlineStr">
        <is>
          <t>19307801</t>
        </is>
      </c>
      <c r="AE637" s="1" t="inlineStr">
        <is>
          <t>Black/White</t>
        </is>
      </c>
      <c r="AF637" s="4" t="n">
        <v>4.88</v>
      </c>
      <c r="AG637" s="4" t="n">
        <v>7.03</v>
      </c>
    </row>
    <row r="638" ht="47.25" customHeight="1">
      <c r="A638" s="18" t="inlineStr">
        <is>
          <t>193525445859</t>
        </is>
      </c>
      <c r="B638" s="19" t="inlineStr">
        <is>
          <t>https://www.amazon.com/dp/</t>
        </is>
      </c>
      <c r="C638" s="20" t="inlineStr">
        <is>
          <t>B07TR6GTY2</t>
        </is>
      </c>
      <c r="D638" s="44" t="n"/>
      <c r="E638" s="23" t="inlineStr">
        <is>
          <t>?th=1&amp;psc=1&amp;tag=sdcdeals03-20</t>
        </is>
      </c>
      <c r="F638" s="19">
        <f>HYPERLINK("https://redirect.sdcdeals.com/redirect?destination=https%3A%2F%2Fwww.amazon.com%2Fdp%2FB07TR6GTY2%3Fth%3D1%26psc%3D1%26tag%3Dsdcdeals03-20", "Amazon Link")</f>
        <v/>
      </c>
      <c r="G638" s="19" t="inlineStr">
        <is>
          <t>https://www.jcpenney.com/s?searchTerm={search_term}</t>
        </is>
      </c>
      <c r="H638" s="23" t="inlineStr">
        <is>
          <t>193525445859</t>
        </is>
      </c>
      <c r="I638" s="19">
        <f>HYPERLINK("https://www.jcpenney.com/s?searchTerm=193525445859", "Retail Link")</f>
        <v/>
      </c>
      <c r="J638" s="23" t="inlineStr">
        <is>
          <t>n/a</t>
        </is>
      </c>
      <c r="K638" s="21" t="inlineStr">
        <is>
          <t>PUMA Womens Prowl Slip On Cross Trainer, Womens Black Womens White, 7</t>
        </is>
      </c>
      <c r="L638" s="24" t="n">
        <v>61.75</v>
      </c>
      <c r="M638" s="24" t="n">
        <v>32.5</v>
      </c>
      <c r="N638" s="24" t="n">
        <v>-41.745</v>
      </c>
      <c r="O638" s="24">
        <f>V638-M638</f>
        <v/>
      </c>
      <c r="P638" s="25">
        <f>N638/L638</f>
        <v/>
      </c>
      <c r="Q638" s="23" t="n">
        <v>17278</v>
      </c>
      <c r="R638" s="23" t="n">
        <v>100</v>
      </c>
      <c r="S638" s="26" t="n">
        <v>1.80999302</v>
      </c>
      <c r="T638" s="24" t="n">
        <v>32.5</v>
      </c>
      <c r="U638" s="24" t="n">
        <v>50.55</v>
      </c>
      <c r="V638" s="24" t="n">
        <v>52.51</v>
      </c>
      <c r="W638" s="26" t="inlineStr">
        <is>
          <t>PUMA Prowl Alt Womens Training Shoes</t>
        </is>
      </c>
      <c r="X638" s="23" t="n">
        <v>6</v>
      </c>
      <c r="Y638" s="18">
        <f>AC638-AB638</f>
        <v/>
      </c>
      <c r="Z638" s="27" t="n">
        <v>57</v>
      </c>
      <c r="AA638" s="27" t="n">
        <v>102</v>
      </c>
      <c r="AB638" s="27" t="n">
        <v>236</v>
      </c>
      <c r="AC638" s="27" t="n">
        <v>2677</v>
      </c>
      <c r="AD638" s="1" t="inlineStr">
        <is>
          <t>19307801</t>
        </is>
      </c>
      <c r="AE638" s="1" t="inlineStr">
        <is>
          <t>Black/White</t>
        </is>
      </c>
      <c r="AF638" s="4" t="n">
        <v>4.88</v>
      </c>
      <c r="AG638" s="4" t="n">
        <v>7.62</v>
      </c>
    </row>
    <row r="639" ht="47.25" customHeight="1">
      <c r="A639" s="18" t="inlineStr">
        <is>
          <t>193525446009</t>
        </is>
      </c>
      <c r="B639" s="19" t="inlineStr">
        <is>
          <t>https://www.amazon.com/dp/</t>
        </is>
      </c>
      <c r="C639" s="20" t="inlineStr">
        <is>
          <t>B07TKWZP32</t>
        </is>
      </c>
      <c r="D639" s="44" t="n"/>
      <c r="E639" s="23" t="inlineStr">
        <is>
          <t>?th=1&amp;psc=1&amp;tag=sdcdeals03-20</t>
        </is>
      </c>
      <c r="F639" s="19">
        <f>HYPERLINK("https://redirect.sdcdeals.com/redirect?destination=https%3A%2F%2Fwww.amazon.com%2Fdp%2FB07TKWZP32%3Fth%3D1%26psc%3D1%26tag%3Dsdcdeals03-20", "Amazon Link")</f>
        <v/>
      </c>
      <c r="G639" s="19" t="inlineStr">
        <is>
          <t>https://www.jcpenney.com/s?searchTerm={search_term}</t>
        </is>
      </c>
      <c r="H639" s="23" t="inlineStr">
        <is>
          <t>193525446009</t>
        </is>
      </c>
      <c r="I639" s="19">
        <f>HYPERLINK("https://www.jcpenney.com/s?searchTerm=193525446009", "Retail Link")</f>
        <v/>
      </c>
      <c r="J639" s="23" t="inlineStr">
        <is>
          <t>n/a</t>
        </is>
      </c>
      <c r="K639" s="21" t="inlineStr">
        <is>
          <t>PUMA Womens Prowl Slip On Cross Trainer, PUMA Womens black-PUMA Womens white, 7.5</t>
        </is>
      </c>
      <c r="L639" s="24" t="n">
        <v>61.75</v>
      </c>
      <c r="M639" s="24" t="n">
        <v>32.5</v>
      </c>
      <c r="N639" s="24" t="n">
        <v>-40.365</v>
      </c>
      <c r="O639" s="24">
        <f>V639-M639</f>
        <v/>
      </c>
      <c r="P639" s="25">
        <f>N639/L639</f>
        <v/>
      </c>
      <c r="Q639" s="23" t="n">
        <v>17278</v>
      </c>
      <c r="R639" s="23" t="n">
        <v>200</v>
      </c>
      <c r="S639" s="26" t="n">
        <v>1.1243562</v>
      </c>
      <c r="T639" s="24" t="n">
        <v>32.5</v>
      </c>
      <c r="U639" s="24" t="n">
        <v>49.16</v>
      </c>
      <c r="V639" s="24" t="n">
        <v>53.43</v>
      </c>
      <c r="W639" s="26" t="inlineStr">
        <is>
          <t>PUMA Prowl Alt Womens Training Shoes</t>
        </is>
      </c>
      <c r="X639" s="23" t="n">
        <v>4</v>
      </c>
      <c r="Y639" s="18">
        <f>AC639-AB639</f>
        <v/>
      </c>
      <c r="Z639" s="27" t="n">
        <v>37</v>
      </c>
      <c r="AA639" s="27" t="n">
        <v>102</v>
      </c>
      <c r="AB639" s="27" t="n">
        <v>325</v>
      </c>
      <c r="AC639" s="27" t="n">
        <v>2677</v>
      </c>
      <c r="AD639" s="1" t="inlineStr">
        <is>
          <t>19307801</t>
        </is>
      </c>
      <c r="AE639" s="1" t="inlineStr">
        <is>
          <t>Black/White</t>
        </is>
      </c>
      <c r="AF639" s="4" t="n">
        <v>4.88</v>
      </c>
      <c r="AG639" s="4" t="n">
        <v>6.24</v>
      </c>
    </row>
    <row r="640" ht="47.25" customHeight="1">
      <c r="A640" s="18" t="inlineStr">
        <is>
          <t>193525446160</t>
        </is>
      </c>
      <c r="B640" s="19" t="inlineStr">
        <is>
          <t>https://www.amazon.com/dp/</t>
        </is>
      </c>
      <c r="C640" s="20" t="inlineStr">
        <is>
          <t>B07TKX2L82</t>
        </is>
      </c>
      <c r="D640" s="44" t="n"/>
      <c r="E640" s="23" t="inlineStr">
        <is>
          <t>?th=1&amp;psc=1&amp;tag=sdcdeals03-20</t>
        </is>
      </c>
      <c r="F640" s="19">
        <f>HYPERLINK("https://redirect.sdcdeals.com/redirect?destination=https%3A%2F%2Fwww.amazon.com%2Fdp%2FB07TKX2L82%3Fth%3D1%26psc%3D1%26tag%3Dsdcdeals03-20", "Amazon Link")</f>
        <v/>
      </c>
      <c r="G640" s="19" t="inlineStr">
        <is>
          <t>https://www.jcpenney.com/s?searchTerm={search_term}</t>
        </is>
      </c>
      <c r="H640" s="23" t="inlineStr">
        <is>
          <t>193525446160</t>
        </is>
      </c>
      <c r="I640" s="19">
        <f>HYPERLINK("https://www.jcpenney.com/s?searchTerm=193525446160", "Retail Link")</f>
        <v/>
      </c>
      <c r="J640" s="23" t="inlineStr">
        <is>
          <t>n/a</t>
        </is>
      </c>
      <c r="K640" s="21" t="inlineStr">
        <is>
          <t>PUMA Womens Prowl Slip On Cross Trainer, PUMA Womens black-PUMA Womens white, 8</t>
        </is>
      </c>
      <c r="L640" s="24" t="n">
        <v>61.75</v>
      </c>
      <c r="M640" s="24" t="n">
        <v>32.5</v>
      </c>
      <c r="N640" s="24" t="n">
        <v>-41.665</v>
      </c>
      <c r="O640" s="24">
        <f>V640-M640</f>
        <v/>
      </c>
      <c r="P640" s="25">
        <f>N640/L640</f>
        <v/>
      </c>
      <c r="Q640" s="23" t="n">
        <v>17278</v>
      </c>
      <c r="R640" s="23" t="n">
        <v>100</v>
      </c>
      <c r="S640" s="26" t="n">
        <v>1.0802638</v>
      </c>
      <c r="T640" s="24" t="n">
        <v>32.5</v>
      </c>
      <c r="U640" s="24" t="n">
        <v>50.93</v>
      </c>
      <c r="V640" s="24" t="n">
        <v>55.36</v>
      </c>
      <c r="W640" s="26" t="inlineStr">
        <is>
          <t>PUMA Prowl Alt Womens Training Shoes</t>
        </is>
      </c>
      <c r="X640" s="23" t="n">
        <v>3</v>
      </c>
      <c r="Y640" s="18">
        <f>AC640-AB640</f>
        <v/>
      </c>
      <c r="Z640" s="27" t="n">
        <v>44</v>
      </c>
      <c r="AA640" s="27" t="n">
        <v>78</v>
      </c>
      <c r="AB640" s="27" t="n">
        <v>244</v>
      </c>
      <c r="AC640" s="27" t="n">
        <v>2677</v>
      </c>
      <c r="AD640" s="1" t="inlineStr">
        <is>
          <t>19307801</t>
        </is>
      </c>
      <c r="AE640" s="1" t="inlineStr">
        <is>
          <t>Black/White</t>
        </is>
      </c>
      <c r="AF640" s="4" t="n">
        <v>4.88</v>
      </c>
      <c r="AG640" s="4" t="n">
        <v>7.54</v>
      </c>
    </row>
    <row r="641" ht="47.25" customHeight="1">
      <c r="A641" s="18" t="inlineStr">
        <is>
          <t>193525446306</t>
        </is>
      </c>
      <c r="B641" s="19" t="inlineStr">
        <is>
          <t>https://www.amazon.com/dp/</t>
        </is>
      </c>
      <c r="C641" s="20" t="inlineStr">
        <is>
          <t>B07TP4BZWX</t>
        </is>
      </c>
      <c r="D641" s="44" t="n"/>
      <c r="E641" s="23" t="inlineStr">
        <is>
          <t>?th=1&amp;psc=1&amp;tag=sdcdeals03-20</t>
        </is>
      </c>
      <c r="F641" s="19">
        <f>HYPERLINK("https://redirect.sdcdeals.com/redirect?destination=https%3A%2F%2Fwww.amazon.com%2Fdp%2FB07TP4BZWX%3Fth%3D1%26psc%3D1%26tag%3Dsdcdeals03-20", "Amazon Link")</f>
        <v/>
      </c>
      <c r="G641" s="19" t="inlineStr">
        <is>
          <t>https://www.jcpenney.com/s?searchTerm={search_term}</t>
        </is>
      </c>
      <c r="H641" s="23" t="inlineStr">
        <is>
          <t>193525446306</t>
        </is>
      </c>
      <c r="I641" s="19">
        <f>HYPERLINK("https://www.jcpenney.com/s?searchTerm=193525446306", "Retail Link")</f>
        <v/>
      </c>
      <c r="J641" s="23" t="inlineStr">
        <is>
          <t>n/a</t>
        </is>
      </c>
      <c r="K641" s="21" t="inlineStr">
        <is>
          <t>PUMA Womens Prowl Slip On Cross Trainer, PUMA Womens black-PUMA Womens white, 8.5</t>
        </is>
      </c>
      <c r="L641" s="24" t="n">
        <v>61.75</v>
      </c>
      <c r="M641" s="24" t="n">
        <v>32.5</v>
      </c>
      <c r="N641" s="24" t="n">
        <v>-41.825</v>
      </c>
      <c r="O641" s="24">
        <f>V641-M641</f>
        <v/>
      </c>
      <c r="P641" s="25">
        <f>N641/L641</f>
        <v/>
      </c>
      <c r="Q641" s="23" t="n">
        <v>17278</v>
      </c>
      <c r="R641" s="23" t="n">
        <v>200</v>
      </c>
      <c r="S641" s="26" t="n">
        <v>1.11994696</v>
      </c>
      <c r="T641" s="24" t="n">
        <v>32.5</v>
      </c>
      <c r="U641" s="24" t="n">
        <v>51.06</v>
      </c>
      <c r="V641" s="24" t="n">
        <v>54.74</v>
      </c>
      <c r="W641" s="26" t="inlineStr">
        <is>
          <t>PUMA Prowl Alt Womens Training Shoes</t>
        </is>
      </c>
      <c r="X641" s="23" t="n">
        <v>5</v>
      </c>
      <c r="Y641" s="18">
        <f>AC641-AB641</f>
        <v/>
      </c>
      <c r="Z641" s="27" t="n">
        <v>43</v>
      </c>
      <c r="AA641" s="27" t="n">
        <v>106</v>
      </c>
      <c r="AB641" s="27" t="n">
        <v>360</v>
      </c>
      <c r="AC641" s="27" t="n">
        <v>2677</v>
      </c>
      <c r="AD641" s="1" t="inlineStr">
        <is>
          <t>19307801</t>
        </is>
      </c>
      <c r="AE641" s="1" t="inlineStr">
        <is>
          <t>Black/White</t>
        </is>
      </c>
      <c r="AF641" s="4" t="n">
        <v>4.88</v>
      </c>
      <c r="AG641" s="4" t="n">
        <v>7.7</v>
      </c>
    </row>
    <row r="642" ht="47.25" customHeight="1">
      <c r="A642" s="18" t="inlineStr">
        <is>
          <t>193525446436</t>
        </is>
      </c>
      <c r="B642" s="19" t="inlineStr">
        <is>
          <t>https://www.amazon.com/dp/</t>
        </is>
      </c>
      <c r="C642" s="20" t="inlineStr">
        <is>
          <t>B07TN1L1QR</t>
        </is>
      </c>
      <c r="D642" s="44" t="n"/>
      <c r="E642" s="23" t="inlineStr">
        <is>
          <t>?th=1&amp;psc=1&amp;tag=sdcdeals03-20</t>
        </is>
      </c>
      <c r="F642" s="19">
        <f>HYPERLINK("https://redirect.sdcdeals.com/redirect?destination=https%3A%2F%2Fwww.amazon.com%2Fdp%2FB07TN1L1QR%3Fth%3D1%26psc%3D1%26tag%3Dsdcdeals03-20", "Amazon Link")</f>
        <v/>
      </c>
      <c r="G642" s="19" t="inlineStr">
        <is>
          <t>https://www.jcpenney.com/s?searchTerm={search_term}</t>
        </is>
      </c>
      <c r="H642" s="23" t="inlineStr">
        <is>
          <t>193525446436</t>
        </is>
      </c>
      <c r="I642" s="19">
        <f>HYPERLINK("https://www.jcpenney.com/s?searchTerm=193525446436", "Retail Link")</f>
        <v/>
      </c>
      <c r="J642" s="23" t="inlineStr">
        <is>
          <t>n/a</t>
        </is>
      </c>
      <c r="K642" s="21" t="inlineStr">
        <is>
          <t>PUMA Womens Prowl Slip On Cross Trainer, PUMA Womens black-PUMA Womens white, 9</t>
        </is>
      </c>
      <c r="L642" s="24" t="n">
        <v>61.75</v>
      </c>
      <c r="M642" s="24" t="n">
        <v>32.5</v>
      </c>
      <c r="N642" s="24" t="n">
        <v>-41.745</v>
      </c>
      <c r="O642" s="24">
        <f>V642-M642</f>
        <v/>
      </c>
      <c r="P642" s="25">
        <f>N642/L642</f>
        <v/>
      </c>
      <c r="Q642" s="23" t="n">
        <v>17278</v>
      </c>
      <c r="R642" s="23" t="n">
        <v>200</v>
      </c>
      <c r="S642" s="26" t="n">
        <v>1.17065322</v>
      </c>
      <c r="T642" s="24" t="n">
        <v>32.5</v>
      </c>
      <c r="U642" s="24" t="n">
        <v>50.73</v>
      </c>
      <c r="V642" s="24" t="n">
        <v>54.75</v>
      </c>
      <c r="W642" s="26" t="inlineStr">
        <is>
          <t>PUMA Prowl Alt Womens Training Shoes</t>
        </is>
      </c>
      <c r="X642" s="23" t="n">
        <v>3</v>
      </c>
      <c r="Y642" s="18">
        <f>AC642-AB642</f>
        <v/>
      </c>
      <c r="Z642" s="27" t="n">
        <v>27</v>
      </c>
      <c r="AA642" s="27" t="n">
        <v>83</v>
      </c>
      <c r="AB642" s="27" t="n">
        <v>339</v>
      </c>
      <c r="AC642" s="27" t="n">
        <v>2677</v>
      </c>
      <c r="AD642" s="1" t="inlineStr">
        <is>
          <t>19307801</t>
        </is>
      </c>
      <c r="AE642" s="1" t="inlineStr">
        <is>
          <t>Black/White</t>
        </is>
      </c>
      <c r="AF642" s="4" t="n">
        <v>4.88</v>
      </c>
      <c r="AG642" s="4" t="n">
        <v>7.62</v>
      </c>
    </row>
    <row r="643" ht="47.25" customHeight="1">
      <c r="A643" s="18" t="inlineStr">
        <is>
          <t>193525446559</t>
        </is>
      </c>
      <c r="B643" s="19" t="inlineStr">
        <is>
          <t>https://www.amazon.com/dp/</t>
        </is>
      </c>
      <c r="C643" s="20" t="inlineStr">
        <is>
          <t>B07TKX53KM</t>
        </is>
      </c>
      <c r="D643" s="44" t="n"/>
      <c r="E643" s="23" t="inlineStr">
        <is>
          <t>?th=1&amp;psc=1&amp;tag=sdcdeals03-20</t>
        </is>
      </c>
      <c r="F643" s="19">
        <f>HYPERLINK("https://redirect.sdcdeals.com/redirect?destination=https%3A%2F%2Fwww.amazon.com%2Fdp%2FB07TKX53KM%3Fth%3D1%26psc%3D1%26tag%3Dsdcdeals03-20", "Amazon Link")</f>
        <v/>
      </c>
      <c r="G643" s="19" t="inlineStr">
        <is>
          <t>https://www.jcpenney.com/s?searchTerm={search_term}</t>
        </is>
      </c>
      <c r="H643" s="23" t="inlineStr">
        <is>
          <t>193525446559</t>
        </is>
      </c>
      <c r="I643" s="19">
        <f>HYPERLINK("https://www.jcpenney.com/s?searchTerm=193525446559", "Retail Link")</f>
        <v/>
      </c>
      <c r="J643" s="23" t="inlineStr">
        <is>
          <t>n/a</t>
        </is>
      </c>
      <c r="K643" s="21" t="inlineStr">
        <is>
          <t>PUMA Womens Prowl Slip On Cross Trainer, PUMA Womens black-PUMA Womens white, 9.5</t>
        </is>
      </c>
      <c r="L643" s="24" t="n">
        <v>61.75</v>
      </c>
      <c r="M643" s="24" t="n">
        <v>32.5</v>
      </c>
      <c r="N643" s="24" t="n">
        <v>-41.825</v>
      </c>
      <c r="O643" s="24">
        <f>V643-M643</f>
        <v/>
      </c>
      <c r="P643" s="25">
        <f>N643/L643</f>
        <v/>
      </c>
      <c r="Q643" s="23" t="n">
        <v>17278</v>
      </c>
      <c r="R643" s="23" t="n">
        <v>50</v>
      </c>
      <c r="S643" s="26" t="n">
        <v>1.2786796</v>
      </c>
      <c r="T643" s="24" t="n">
        <v>26.88</v>
      </c>
      <c r="U643" s="24" t="n">
        <v>50.1</v>
      </c>
      <c r="V643" s="24" t="n">
        <v>51.23</v>
      </c>
      <c r="W643" s="26" t="inlineStr">
        <is>
          <t>PUMA Prowl Alt Womens Training Shoes</t>
        </is>
      </c>
      <c r="X643" s="23" t="n">
        <v>5</v>
      </c>
      <c r="Y643" s="18">
        <f>AC643-AB643</f>
        <v/>
      </c>
      <c r="Z643" s="27" t="n">
        <v>73</v>
      </c>
      <c r="AA643" s="27" t="n">
        <v>138</v>
      </c>
      <c r="AB643" s="27" t="n">
        <v>175</v>
      </c>
      <c r="AC643" s="27" t="n">
        <v>2677</v>
      </c>
      <c r="AD643" s="1" t="inlineStr">
        <is>
          <t>19307801</t>
        </is>
      </c>
      <c r="AE643" s="1" t="inlineStr">
        <is>
          <t>Black/White</t>
        </is>
      </c>
      <c r="AF643" s="4" t="n">
        <v>4.88</v>
      </c>
      <c r="AG643" s="4" t="n">
        <v>7.7</v>
      </c>
    </row>
    <row r="644" ht="47.25" customHeight="1">
      <c r="A644" s="18" t="inlineStr">
        <is>
          <t>193525446641</t>
        </is>
      </c>
      <c r="B644" s="19" t="inlineStr">
        <is>
          <t>https://www.amazon.com/dp/</t>
        </is>
      </c>
      <c r="C644" s="20" t="inlineStr">
        <is>
          <t>B07TKX3PL3</t>
        </is>
      </c>
      <c r="D644" s="44" t="n"/>
      <c r="E644" s="23" t="inlineStr">
        <is>
          <t>?th=1&amp;psc=1&amp;tag=sdcdeals03-20</t>
        </is>
      </c>
      <c r="F644" s="19">
        <f>HYPERLINK("https://redirect.sdcdeals.com/redirect?destination=https%3A%2F%2Fwww.amazon.com%2Fdp%2FB07TKX3PL3%3Fth%3D1%26psc%3D1%26tag%3Dsdcdeals03-20", "Amazon Link")</f>
        <v/>
      </c>
      <c r="G644" s="19" t="inlineStr">
        <is>
          <t>https://www.jcpenney.com/s?searchTerm={search_term}</t>
        </is>
      </c>
      <c r="H644" s="23" t="inlineStr">
        <is>
          <t>193525446641</t>
        </is>
      </c>
      <c r="I644" s="19">
        <f>HYPERLINK("https://www.jcpenney.com/s?searchTerm=193525446641", "Retail Link")</f>
        <v/>
      </c>
      <c r="J644" s="23" t="inlineStr">
        <is>
          <t>n/a</t>
        </is>
      </c>
      <c r="K644" s="21" t="inlineStr">
        <is>
          <t>PUMA Womens Prowl Slip On Cross Trainer, PUMA Womens black-PUMA Womens white, 10</t>
        </is>
      </c>
      <c r="L644" s="24" t="n">
        <v>61.75</v>
      </c>
      <c r="M644" s="24" t="n">
        <v>46.75</v>
      </c>
      <c r="N644" s="24" t="n">
        <v>-29.6325</v>
      </c>
      <c r="O644" s="24">
        <f>V644-M644</f>
        <v/>
      </c>
      <c r="P644" s="25">
        <f>N644/L644</f>
        <v/>
      </c>
      <c r="Q644" s="23" t="n">
        <v>17278</v>
      </c>
      <c r="R644" s="23" t="n">
        <v>100</v>
      </c>
      <c r="S644" s="26" t="n">
        <v>1.21033638</v>
      </c>
      <c r="T644" s="24" t="n">
        <v>46.75</v>
      </c>
      <c r="U644" s="24" t="n">
        <v>53.14</v>
      </c>
      <c r="V644" s="24" t="n">
        <v>56.52</v>
      </c>
      <c r="W644" s="26" t="inlineStr">
        <is>
          <t>PUMA Prowl Alt Womens Training Shoes</t>
        </is>
      </c>
      <c r="X644" s="23" t="n">
        <v>2</v>
      </c>
      <c r="Y644" s="18">
        <f>AC644-AB644</f>
        <v/>
      </c>
      <c r="Z644" s="27" t="n">
        <v>46</v>
      </c>
      <c r="AA644" s="27" t="n">
        <v>84</v>
      </c>
      <c r="AB644" s="27" t="n">
        <v>139</v>
      </c>
      <c r="AC644" s="27" t="n">
        <v>2677</v>
      </c>
      <c r="AD644" s="1" t="inlineStr">
        <is>
          <t>19307801</t>
        </is>
      </c>
      <c r="AE644" s="1" t="inlineStr">
        <is>
          <t>Black/White</t>
        </is>
      </c>
      <c r="AF644" s="4" t="inlineStr"/>
      <c r="AG644" s="4" t="n">
        <v>7.62</v>
      </c>
    </row>
    <row r="645" ht="47.25" customHeight="1">
      <c r="A645" s="18" t="inlineStr">
        <is>
          <t>193525446764</t>
        </is>
      </c>
      <c r="B645" s="19" t="inlineStr">
        <is>
          <t>https://www.amazon.com/dp/</t>
        </is>
      </c>
      <c r="C645" s="20" t="inlineStr">
        <is>
          <t>B07TN1MLW5</t>
        </is>
      </c>
      <c r="D645" s="44" t="n"/>
      <c r="E645" s="23" t="inlineStr">
        <is>
          <t>?th=1&amp;psc=1&amp;tag=sdcdeals03-20</t>
        </is>
      </c>
      <c r="F645" s="19">
        <f>HYPERLINK("https://redirect.sdcdeals.com/redirect?destination=https%3A%2F%2Fwww.amazon.com%2Fdp%2FB07TN1MLW5%3Fth%3D1%26psc%3D1%26tag%3Dsdcdeals03-20", "Amazon Link")</f>
        <v/>
      </c>
      <c r="G645" s="19" t="inlineStr">
        <is>
          <t>https://www.jcpenney.com/s?searchTerm={search_term}</t>
        </is>
      </c>
      <c r="H645" s="23" t="inlineStr">
        <is>
          <t>193525446764</t>
        </is>
      </c>
      <c r="I645" s="19">
        <f>HYPERLINK("https://www.jcpenney.com/s?searchTerm=193525446764", "Retail Link")</f>
        <v/>
      </c>
      <c r="J645" s="23" t="inlineStr">
        <is>
          <t>n/a</t>
        </is>
      </c>
      <c r="K645" s="21" t="inlineStr">
        <is>
          <t>PUMA Womens Prowl Slip On Cross Trainer, PUMA Womens black-PUMA Womens white, 11</t>
        </is>
      </c>
      <c r="L645" s="24" t="n">
        <v>61.75</v>
      </c>
      <c r="M645" s="24" t="n">
        <v>32.5</v>
      </c>
      <c r="N645" s="24" t="n">
        <v>-41.745</v>
      </c>
      <c r="O645" s="24">
        <f>V645-M645</f>
        <v/>
      </c>
      <c r="P645" s="25">
        <f>N645/L645</f>
        <v/>
      </c>
      <c r="Q645" s="23" t="n">
        <v>17278</v>
      </c>
      <c r="R645" s="23" t="n">
        <v>50</v>
      </c>
      <c r="S645" s="26" t="n">
        <v>1.28088422</v>
      </c>
      <c r="T645" s="24" t="n">
        <v>32.5</v>
      </c>
      <c r="U645" s="24" t="n">
        <v>50.22</v>
      </c>
      <c r="V645" s="24" t="n">
        <v>53.72</v>
      </c>
      <c r="W645" s="26" t="inlineStr">
        <is>
          <t>PUMA Prowl Alt Womens Training Shoes</t>
        </is>
      </c>
      <c r="X645" s="23" t="n">
        <v>2</v>
      </c>
      <c r="Y645" s="18">
        <f>AC645-AB645</f>
        <v/>
      </c>
      <c r="Z645" s="27" t="n">
        <v>42</v>
      </c>
      <c r="AA645" s="27" t="n">
        <v>95</v>
      </c>
      <c r="AB645" s="27" t="n">
        <v>107</v>
      </c>
      <c r="AC645" s="27" t="n">
        <v>2677</v>
      </c>
      <c r="AD645" s="1" t="inlineStr">
        <is>
          <t>19307801</t>
        </is>
      </c>
      <c r="AE645" s="1" t="inlineStr">
        <is>
          <t>Black/White</t>
        </is>
      </c>
      <c r="AF645" s="4" t="n">
        <v>4.88</v>
      </c>
      <c r="AG645" s="4" t="n">
        <v>7.62</v>
      </c>
    </row>
    <row r="646" ht="47.25" customHeight="1">
      <c r="A646" s="18" t="inlineStr">
        <is>
          <t>195102411776</t>
        </is>
      </c>
      <c r="B646" s="19" t="inlineStr">
        <is>
          <t>https://www.amazon.com/dp/</t>
        </is>
      </c>
      <c r="C646" s="20" t="inlineStr">
        <is>
          <t>B0BXTD7SZ8</t>
        </is>
      </c>
      <c r="D646" s="44" t="n"/>
      <c r="E646" s="23" t="inlineStr">
        <is>
          <t>?th=1&amp;psc=1&amp;tag=sdcdeals03-20</t>
        </is>
      </c>
      <c r="F646" s="19">
        <f>HYPERLINK("https://redirect.sdcdeals.com/redirect?destination=https%3A%2F%2Fwww.amazon.com%2Fdp%2FB0BXTD7SZ8%3Fth%3D1%26psc%3D1%26tag%3Dsdcdeals03-20", "Amazon Link")</f>
        <v/>
      </c>
      <c r="G646" s="19" t="inlineStr">
        <is>
          <t>https://www.jcpenney.com/s?searchTerm={search_term}</t>
        </is>
      </c>
      <c r="H646" s="23" t="inlineStr">
        <is>
          <t>195102411776</t>
        </is>
      </c>
      <c r="I646" s="19">
        <f>HYPERLINK("https://www.jcpenney.com/s?searchTerm=195102411776", "Retail Link")</f>
        <v/>
      </c>
      <c r="J646" s="23" t="inlineStr">
        <is>
          <t>n/a</t>
        </is>
      </c>
      <c r="K646" s="21" t="inlineStr">
        <is>
          <t>PUMA Womens Carina 2.0 Sneaker, PUMA Womens White-PUMA Womens White-PUMA Womens Silver, 5.5</t>
        </is>
      </c>
      <c r="L646" s="24" t="n">
        <v>66.5</v>
      </c>
      <c r="M646" s="24" t="n">
        <v>69.95</v>
      </c>
      <c r="N646" s="24" t="n">
        <v>-15.7025</v>
      </c>
      <c r="O646" s="24">
        <f>V646-M646</f>
        <v/>
      </c>
      <c r="P646" s="25">
        <f>N646/L646</f>
        <v/>
      </c>
      <c r="Q646" s="23" t="n">
        <v>21288</v>
      </c>
      <c r="R646" s="23" t="n"/>
      <c r="S646" s="26" t="n">
        <v>1.7857422</v>
      </c>
      <c r="T646" s="24" t="n">
        <v>59.18</v>
      </c>
      <c r="U646" s="24" t="n">
        <v>47.24</v>
      </c>
      <c r="V646" s="24" t="n">
        <v>49.75</v>
      </c>
      <c r="W646" s="26" t="inlineStr">
        <is>
          <t>PUMA Carina 2.0 Womens Sneakers</t>
        </is>
      </c>
      <c r="X646" s="23" t="n">
        <v>8</v>
      </c>
      <c r="Y646" s="18">
        <f>AC646-AB646</f>
        <v/>
      </c>
      <c r="Z646" s="27" t="n">
        <v>55</v>
      </c>
      <c r="AA646" s="27" t="n">
        <v>134</v>
      </c>
      <c r="AB646" s="27" t="n">
        <v>5</v>
      </c>
      <c r="AC646" s="27" t="n">
        <v>710</v>
      </c>
      <c r="AD646" s="1" t="inlineStr">
        <is>
          <t>38584902</t>
        </is>
      </c>
      <c r="AE646" s="1" t="inlineStr">
        <is>
          <t>Puma White-puma White-puma Silver</t>
        </is>
      </c>
      <c r="AF646" s="4" t="n">
        <v>10.49</v>
      </c>
      <c r="AG646" s="4" t="n">
        <v>8.66</v>
      </c>
    </row>
    <row r="647" ht="47.25" customHeight="1">
      <c r="A647" s="18" t="inlineStr">
        <is>
          <t>195102411783</t>
        </is>
      </c>
      <c r="B647" s="19" t="inlineStr">
        <is>
          <t>https://www.amazon.com/dp/</t>
        </is>
      </c>
      <c r="C647" s="20" t="inlineStr">
        <is>
          <t>B0BCHJXJ82</t>
        </is>
      </c>
      <c r="D647" s="44" t="n"/>
      <c r="E647" s="23" t="inlineStr">
        <is>
          <t>?th=1&amp;psc=1&amp;tag=sdcdeals03-20</t>
        </is>
      </c>
      <c r="F647" s="19">
        <f>HYPERLINK("https://redirect.sdcdeals.com/redirect?destination=https%3A%2F%2Fwww.amazon.com%2Fdp%2FB0BCHJXJ82%3Fth%3D1%26psc%3D1%26tag%3Dsdcdeals03-20", "Amazon Link")</f>
        <v/>
      </c>
      <c r="G647" s="19" t="inlineStr">
        <is>
          <t>https://www.jcpenney.com/s?searchTerm={search_term}</t>
        </is>
      </c>
      <c r="H647" s="23" t="inlineStr">
        <is>
          <t>195102411783</t>
        </is>
      </c>
      <c r="I647" s="19">
        <f>HYPERLINK("https://www.jcpenney.com/s?searchTerm=195102411783", "Retail Link")</f>
        <v/>
      </c>
      <c r="J647" s="23" t="inlineStr">
        <is>
          <t>n/a</t>
        </is>
      </c>
      <c r="K647" s="21" t="inlineStr">
        <is>
          <t>PUMA Womens Carina 2.0 Sneaker, PUMA Womens White-PUMA Womens White-PUMA Womens Silver, 6</t>
        </is>
      </c>
      <c r="L647" s="24" t="n">
        <v>66.5</v>
      </c>
      <c r="M647" s="24" t="n">
        <v>40</v>
      </c>
      <c r="N647" s="24" t="n">
        <v>-38.74</v>
      </c>
      <c r="O647" s="24">
        <f>V647-M647</f>
        <v/>
      </c>
      <c r="P647" s="25">
        <f>N647/L647</f>
        <v/>
      </c>
      <c r="Q647" s="23" t="n">
        <v>20139</v>
      </c>
      <c r="R647" s="23" t="n">
        <v>50</v>
      </c>
      <c r="S647" s="26" t="n">
        <v>1.54102938</v>
      </c>
      <c r="T647" s="24" t="n">
        <v>40</v>
      </c>
      <c r="U647" s="24" t="n">
        <v>43.43</v>
      </c>
      <c r="V647" s="24" t="n">
        <v>47.28</v>
      </c>
      <c r="W647" s="26" t="inlineStr">
        <is>
          <t>PUMA Carina 2.0 Womens Sneakers</t>
        </is>
      </c>
      <c r="X647" s="23" t="n">
        <v>11</v>
      </c>
      <c r="Y647" s="18">
        <f>AC647-AB647</f>
        <v/>
      </c>
      <c r="Z647" s="27" t="n">
        <v>44</v>
      </c>
      <c r="AA647" s="27" t="n">
        <v>127</v>
      </c>
      <c r="AB647" s="27" t="n">
        <v>34</v>
      </c>
      <c r="AC647" s="27" t="n">
        <v>711</v>
      </c>
      <c r="AD647" s="1" t="inlineStr">
        <is>
          <t>38584902</t>
        </is>
      </c>
      <c r="AE647" s="1" t="inlineStr">
        <is>
          <t>Puma White-puma White-puma Silver</t>
        </is>
      </c>
      <c r="AF647" s="4" t="n">
        <v>6</v>
      </c>
      <c r="AG647" s="4" t="n">
        <v>6.24</v>
      </c>
    </row>
    <row r="648" ht="47.25" customHeight="1">
      <c r="A648" s="18" t="inlineStr">
        <is>
          <t>195102411790</t>
        </is>
      </c>
      <c r="B648" s="19" t="inlineStr">
        <is>
          <t>https://www.amazon.com/dp/</t>
        </is>
      </c>
      <c r="C648" s="20" t="inlineStr">
        <is>
          <t>B0BCHG364Z</t>
        </is>
      </c>
      <c r="D648" s="44" t="n"/>
      <c r="E648" s="23" t="inlineStr">
        <is>
          <t>?th=1&amp;psc=1&amp;tag=sdcdeals03-20</t>
        </is>
      </c>
      <c r="F648" s="19">
        <f>HYPERLINK("https://redirect.sdcdeals.com/redirect?destination=https%3A%2F%2Fwww.amazon.com%2Fdp%2FB0BCHG364Z%3Fth%3D1%26psc%3D1%26tag%3Dsdcdeals03-20", "Amazon Link")</f>
        <v/>
      </c>
      <c r="G648" s="19" t="inlineStr">
        <is>
          <t>https://www.jcpenney.com/s?searchTerm={search_term}</t>
        </is>
      </c>
      <c r="H648" s="23" t="inlineStr">
        <is>
          <t>195102411790</t>
        </is>
      </c>
      <c r="I648" s="19">
        <f>HYPERLINK("https://www.jcpenney.com/s?searchTerm=195102411790", "Retail Link")</f>
        <v/>
      </c>
      <c r="J648" s="23" t="inlineStr">
        <is>
          <t>n/a</t>
        </is>
      </c>
      <c r="K648" s="21" t="inlineStr">
        <is>
          <t>PUMA Womens Carina 2.0 Sneaker, PUMA Womens White-PUMA Womens White-PUMA Womens Silver, 6.5</t>
        </is>
      </c>
      <c r="L648" s="24" t="n">
        <v>66.5</v>
      </c>
      <c r="M648" s="24" t="n">
        <v>40</v>
      </c>
      <c r="N648" s="24" t="n">
        <v>-38.74</v>
      </c>
      <c r="O648" s="24">
        <f>V648-M648</f>
        <v/>
      </c>
      <c r="P648" s="25">
        <f>N648/L648</f>
        <v/>
      </c>
      <c r="Q648" s="23" t="n">
        <v>24227</v>
      </c>
      <c r="R648" s="23" t="n">
        <v>50</v>
      </c>
      <c r="S648" s="26" t="n">
        <v>1.4991416</v>
      </c>
      <c r="T648" s="24" t="n">
        <v>43.38</v>
      </c>
      <c r="U648" s="24" t="n">
        <v>46.6</v>
      </c>
      <c r="V648" s="24" t="n">
        <v>49.59</v>
      </c>
      <c r="W648" s="26" t="inlineStr">
        <is>
          <t>PUMA Carina 2.0 Womens Sneakers</t>
        </is>
      </c>
      <c r="X648" s="23" t="n">
        <v>9</v>
      </c>
      <c r="Y648" s="18">
        <f>AC648-AB648</f>
        <v/>
      </c>
      <c r="Z648" s="27" t="n">
        <v>37</v>
      </c>
      <c r="AA648" s="27" t="n">
        <v>99</v>
      </c>
      <c r="AB648" s="27" t="n">
        <v>27</v>
      </c>
      <c r="AC648" s="27" t="n">
        <v>710</v>
      </c>
      <c r="AD648" s="1" t="inlineStr">
        <is>
          <t>38584902</t>
        </is>
      </c>
      <c r="AE648" s="1" t="inlineStr">
        <is>
          <t>Puma White-puma White-puma Silver</t>
        </is>
      </c>
      <c r="AF648" s="4" t="n">
        <v>6</v>
      </c>
      <c r="AG648" s="4" t="n">
        <v>6.24</v>
      </c>
    </row>
    <row r="649" ht="47.25" customHeight="1">
      <c r="A649" s="18" t="inlineStr">
        <is>
          <t>195102411806</t>
        </is>
      </c>
      <c r="B649" s="19" t="inlineStr">
        <is>
          <t>https://www.amazon.com/dp/</t>
        </is>
      </c>
      <c r="C649" s="20" t="inlineStr">
        <is>
          <t>B0BCHDPV99</t>
        </is>
      </c>
      <c r="D649" s="44" t="n"/>
      <c r="E649" s="23" t="inlineStr">
        <is>
          <t>?th=1&amp;psc=1&amp;tag=sdcdeals03-20</t>
        </is>
      </c>
      <c r="F649" s="19">
        <f>HYPERLINK("https://redirect.sdcdeals.com/redirect?destination=https%3A%2F%2Fwww.amazon.com%2Fdp%2FB0BCHDPV99%3Fth%3D1%26psc%3D1%26tag%3Dsdcdeals03-20", "Amazon Link")</f>
        <v/>
      </c>
      <c r="G649" s="19" t="inlineStr">
        <is>
          <t>https://www.jcpenney.com/s?searchTerm={search_term}</t>
        </is>
      </c>
      <c r="H649" s="23" t="inlineStr">
        <is>
          <t>195102411806</t>
        </is>
      </c>
      <c r="I649" s="19">
        <f>HYPERLINK("https://www.jcpenney.com/s?searchTerm=195102411806", "Retail Link")</f>
        <v/>
      </c>
      <c r="J649" s="23" t="inlineStr">
        <is>
          <t>n/a</t>
        </is>
      </c>
      <c r="K649" s="21" t="inlineStr">
        <is>
          <t>PUMA Womens Carina 2.0 Sneaker, PUMA Womens White-PUMA Womens White-PUMA Womens Silver, 7</t>
        </is>
      </c>
      <c r="L649" s="24" t="n">
        <v>66.5</v>
      </c>
      <c r="M649" s="24" t="n">
        <v>40</v>
      </c>
      <c r="N649" s="24" t="n">
        <v>-39.11</v>
      </c>
      <c r="O649" s="24">
        <f>V649-M649</f>
        <v/>
      </c>
      <c r="P649" s="25">
        <f>N649/L649</f>
        <v/>
      </c>
      <c r="Q649" s="23" t="n">
        <v>19451</v>
      </c>
      <c r="R649" s="23" t="n">
        <v>100</v>
      </c>
      <c r="S649" s="26" t="n">
        <v>1.58953102</v>
      </c>
      <c r="T649" s="24" t="n">
        <v>40</v>
      </c>
      <c r="U649" s="24" t="n">
        <v>44.19</v>
      </c>
      <c r="V649" s="24" t="n">
        <v>50.73</v>
      </c>
      <c r="W649" s="26" t="inlineStr">
        <is>
          <t>PUMA Carina 2.0 Womens Sneakers</t>
        </is>
      </c>
      <c r="X649" s="23" t="n">
        <v>9</v>
      </c>
      <c r="Y649" s="18">
        <f>AC649-AB649</f>
        <v/>
      </c>
      <c r="Z649" s="27" t="n">
        <v>34</v>
      </c>
      <c r="AA649" s="27" t="n">
        <v>114</v>
      </c>
      <c r="AB649" s="27" t="n">
        <v>62</v>
      </c>
      <c r="AC649" s="27" t="n">
        <v>710</v>
      </c>
      <c r="AD649" s="1" t="inlineStr">
        <is>
          <t>38584902</t>
        </is>
      </c>
      <c r="AE649" s="1" t="inlineStr">
        <is>
          <t>Puma White-puma White-puma Silver</t>
        </is>
      </c>
      <c r="AF649" s="4" t="n">
        <v>6</v>
      </c>
      <c r="AG649" s="4" t="n">
        <v>6.61</v>
      </c>
    </row>
    <row r="650" ht="47.25" customHeight="1">
      <c r="A650" s="18" t="inlineStr">
        <is>
          <t>195102411813</t>
        </is>
      </c>
      <c r="B650" s="19" t="inlineStr">
        <is>
          <t>https://www.amazon.com/dp/</t>
        </is>
      </c>
      <c r="C650" s="20" t="inlineStr">
        <is>
          <t>B0BCHFQQ4D</t>
        </is>
      </c>
      <c r="D650" s="44" t="n"/>
      <c r="E650" s="23" t="inlineStr">
        <is>
          <t>?th=1&amp;psc=1&amp;tag=sdcdeals03-20</t>
        </is>
      </c>
      <c r="F650" s="19">
        <f>HYPERLINK("https://redirect.sdcdeals.com/redirect?destination=https%3A%2F%2Fwww.amazon.com%2Fdp%2FB0BCHFQQ4D%3Fth%3D1%26psc%3D1%26tag%3Dsdcdeals03-20", "Amazon Link")</f>
        <v/>
      </c>
      <c r="G650" s="19" t="inlineStr">
        <is>
          <t>https://www.jcpenney.com/s?searchTerm={search_term}</t>
        </is>
      </c>
      <c r="H650" s="23" t="inlineStr">
        <is>
          <t>195102411813</t>
        </is>
      </c>
      <c r="I650" s="19">
        <f>HYPERLINK("https://www.jcpenney.com/s?searchTerm=195102411813", "Retail Link")</f>
        <v/>
      </c>
      <c r="J650" s="23" t="inlineStr">
        <is>
          <t>n/a</t>
        </is>
      </c>
      <c r="K650" s="21" t="inlineStr">
        <is>
          <t>PUMA Womens Carina 2.0 Sneaker, PUMA Womens White-PUMA Womens White-PUMA Womens Silver, 7.5</t>
        </is>
      </c>
      <c r="L650" s="24" t="n">
        <v>66.5</v>
      </c>
      <c r="M650" s="24" t="n">
        <v>39.95</v>
      </c>
      <c r="N650" s="24" t="n">
        <v>-39.5725</v>
      </c>
      <c r="O650" s="24">
        <f>V650-M650</f>
        <v/>
      </c>
      <c r="P650" s="25">
        <f>N650/L650</f>
        <v/>
      </c>
      <c r="Q650" s="23" t="n">
        <v>18578</v>
      </c>
      <c r="R650" s="23" t="n">
        <v>100</v>
      </c>
      <c r="S650" s="26" t="n">
        <v>1.62921418</v>
      </c>
      <c r="T650" s="24" t="n">
        <v>39.95</v>
      </c>
      <c r="U650" s="24" t="n">
        <v>47.08</v>
      </c>
      <c r="V650" s="24" t="n">
        <v>50.99</v>
      </c>
      <c r="W650" s="26" t="inlineStr">
        <is>
          <t>PUMA Carina 2.0 Womens Sneakers</t>
        </is>
      </c>
      <c r="X650" s="23" t="n">
        <v>12</v>
      </c>
      <c r="Y650" s="18">
        <f>AC650-AB650</f>
        <v/>
      </c>
      <c r="Z650" s="27" t="n">
        <v>44</v>
      </c>
      <c r="AA650" s="27" t="n">
        <v>134</v>
      </c>
      <c r="AB650" s="27" t="n">
        <v>52</v>
      </c>
      <c r="AC650" s="27" t="n">
        <v>710</v>
      </c>
      <c r="AD650" s="1" t="inlineStr">
        <is>
          <t>38584902</t>
        </is>
      </c>
      <c r="AE650" s="1" t="inlineStr">
        <is>
          <t>Puma White-puma White-puma Silver</t>
        </is>
      </c>
      <c r="AF650" s="4" t="n">
        <v>5.99</v>
      </c>
      <c r="AG650" s="4" t="n">
        <v>7.03</v>
      </c>
    </row>
    <row r="651" ht="47.25" customHeight="1">
      <c r="A651" s="18" t="inlineStr">
        <is>
          <t>195102411820</t>
        </is>
      </c>
      <c r="B651" s="19" t="inlineStr">
        <is>
          <t>https://www.amazon.com/dp/</t>
        </is>
      </c>
      <c r="C651" s="20" t="inlineStr">
        <is>
          <t>B0BCHDJJ18</t>
        </is>
      </c>
      <c r="D651" s="44" t="n"/>
      <c r="E651" s="23" t="inlineStr">
        <is>
          <t>?th=1&amp;psc=1&amp;tag=sdcdeals03-20</t>
        </is>
      </c>
      <c r="F651" s="19">
        <f>HYPERLINK("https://redirect.sdcdeals.com/redirect?destination=https%3A%2F%2Fwww.amazon.com%2Fdp%2FB0BCHDJJ18%3Fth%3D1%26psc%3D1%26tag%3Dsdcdeals03-20", "Amazon Link")</f>
        <v/>
      </c>
      <c r="G651" s="19" t="inlineStr">
        <is>
          <t>https://www.jcpenney.com/s?searchTerm={search_term}</t>
        </is>
      </c>
      <c r="H651" s="23" t="inlineStr">
        <is>
          <t>195102411820</t>
        </is>
      </c>
      <c r="I651" s="19">
        <f>HYPERLINK("https://www.jcpenney.com/s?searchTerm=195102411820", "Retail Link")</f>
        <v/>
      </c>
      <c r="J651" s="23" t="inlineStr">
        <is>
          <t>n/a</t>
        </is>
      </c>
      <c r="K651" s="21" t="inlineStr">
        <is>
          <t>PUMA Womens Carina 2.0 Sneaker, PUMA Womens White-PUMA Womens White-PUMA Womens Silver, 8</t>
        </is>
      </c>
      <c r="L651" s="24" t="n">
        <v>66.5</v>
      </c>
      <c r="M651" s="24" t="n">
        <v>40</v>
      </c>
      <c r="N651" s="24" t="n">
        <v>-39.11</v>
      </c>
      <c r="O651" s="24">
        <f>V651-M651</f>
        <v/>
      </c>
      <c r="P651" s="25">
        <f>N651/L651</f>
        <v/>
      </c>
      <c r="Q651" s="23" t="n">
        <v>18795</v>
      </c>
      <c r="R651" s="23" t="n">
        <v>100</v>
      </c>
      <c r="S651" s="26" t="n">
        <v>1.6093726</v>
      </c>
      <c r="T651" s="24" t="n">
        <v>40</v>
      </c>
      <c r="U651" s="24" t="n">
        <v>44.69</v>
      </c>
      <c r="V651" s="24" t="n">
        <v>51.25</v>
      </c>
      <c r="W651" s="26" t="inlineStr">
        <is>
          <t>PUMA Carina 2.0 Womens Sneakers</t>
        </is>
      </c>
      <c r="X651" s="23" t="n">
        <v>9</v>
      </c>
      <c r="Y651" s="18">
        <f>AC651-AB651</f>
        <v/>
      </c>
      <c r="Z651" s="27" t="n">
        <v>38</v>
      </c>
      <c r="AA651" s="27" t="n">
        <v>129</v>
      </c>
      <c r="AB651" s="27" t="n">
        <v>65</v>
      </c>
      <c r="AC651" s="27" t="n">
        <v>710</v>
      </c>
      <c r="AD651" s="1" t="inlineStr">
        <is>
          <t>38584902</t>
        </is>
      </c>
      <c r="AE651" s="1" t="inlineStr">
        <is>
          <t>Puma White-puma White-puma Silver</t>
        </is>
      </c>
      <c r="AF651" s="4" t="n">
        <v>6</v>
      </c>
      <c r="AG651" s="4" t="n">
        <v>6.61</v>
      </c>
    </row>
    <row r="652" ht="47.25" customHeight="1">
      <c r="A652" s="18" t="inlineStr">
        <is>
          <t>195102411837</t>
        </is>
      </c>
      <c r="B652" s="19" t="inlineStr">
        <is>
          <t>https://www.amazon.com/dp/</t>
        </is>
      </c>
      <c r="C652" s="20" t="inlineStr">
        <is>
          <t>B0BCHDBXFH</t>
        </is>
      </c>
      <c r="D652" s="44" t="n"/>
      <c r="E652" s="23" t="inlineStr">
        <is>
          <t>?th=1&amp;psc=1&amp;tag=sdcdeals03-20</t>
        </is>
      </c>
      <c r="F652" s="19">
        <f>HYPERLINK("https://redirect.sdcdeals.com/redirect?destination=https%3A%2F%2Fwww.amazon.com%2Fdp%2FB0BCHDBXFH%3Fth%3D1%26psc%3D1%26tag%3Dsdcdeals03-20", "Amazon Link")</f>
        <v/>
      </c>
      <c r="G652" s="19" t="inlineStr">
        <is>
          <t>https://www.jcpenney.com/s?searchTerm={search_term}</t>
        </is>
      </c>
      <c r="H652" s="23" t="inlineStr">
        <is>
          <t>195102411837</t>
        </is>
      </c>
      <c r="I652" s="19">
        <f>HYPERLINK("https://www.jcpenney.com/s?searchTerm=195102411837", "Retail Link")</f>
        <v/>
      </c>
      <c r="J652" s="23" t="inlineStr">
        <is>
          <t>n/a</t>
        </is>
      </c>
      <c r="K652" s="21" t="inlineStr">
        <is>
          <t>PUMA Womens Carina 2.0 Sneaker, PUMA Womens White-PUMA Womens White-PUMA Womens Silver, 8.5</t>
        </is>
      </c>
      <c r="L652" s="24" t="n">
        <v>66.5</v>
      </c>
      <c r="M652" s="24" t="n">
        <v>49.95</v>
      </c>
      <c r="N652" s="24" t="n">
        <v>-30.6525</v>
      </c>
      <c r="O652" s="24">
        <f>V652-M652</f>
        <v/>
      </c>
      <c r="P652" s="25">
        <f>N652/L652</f>
        <v/>
      </c>
      <c r="Q652" s="23" t="n">
        <v>21288</v>
      </c>
      <c r="R652" s="23" t="n">
        <v>100</v>
      </c>
      <c r="S652" s="26" t="n">
        <v>1.763696</v>
      </c>
      <c r="T652" s="24" t="n">
        <v>49.9</v>
      </c>
      <c r="U652" s="24" t="n">
        <v>43.75</v>
      </c>
      <c r="V652" s="24" t="n">
        <v>48.21</v>
      </c>
      <c r="W652" s="26" t="inlineStr">
        <is>
          <t>PUMA Carina 2.0 Womens Sneakers</t>
        </is>
      </c>
      <c r="X652" s="23" t="n">
        <v>14</v>
      </c>
      <c r="Y652" s="18">
        <f>AC652-AB652</f>
        <v/>
      </c>
      <c r="Z652" s="27" t="n">
        <v>51</v>
      </c>
      <c r="AA652" s="27" t="n">
        <v>143</v>
      </c>
      <c r="AB652" s="27" t="n">
        <v>61</v>
      </c>
      <c r="AC652" s="27" t="n">
        <v>711</v>
      </c>
      <c r="AD652" s="1" t="inlineStr">
        <is>
          <t>38584902</t>
        </is>
      </c>
      <c r="AE652" s="1" t="inlineStr">
        <is>
          <t>Puma White-puma White-puma Silver</t>
        </is>
      </c>
      <c r="AF652" s="4" t="n">
        <v>7.49</v>
      </c>
      <c r="AG652" s="4" t="n">
        <v>6.61</v>
      </c>
    </row>
    <row r="653" ht="47.25" customHeight="1">
      <c r="A653" s="18" t="inlineStr">
        <is>
          <t>195102411844</t>
        </is>
      </c>
      <c r="B653" s="19" t="inlineStr">
        <is>
          <t>https://www.amazon.com/dp/</t>
        </is>
      </c>
      <c r="C653" s="20" t="inlineStr">
        <is>
          <t>B0BCH8P9KL</t>
        </is>
      </c>
      <c r="D653" s="44" t="n"/>
      <c r="E653" s="23" t="inlineStr">
        <is>
          <t>?th=1&amp;psc=1&amp;tag=sdcdeals03-20</t>
        </is>
      </c>
      <c r="F653" s="19">
        <f>HYPERLINK("https://redirect.sdcdeals.com/redirect?destination=https%3A%2F%2Fwww.amazon.com%2Fdp%2FB0BCH8P9KL%3Fth%3D1%26psc%3D1%26tag%3Dsdcdeals03-20", "Amazon Link")</f>
        <v/>
      </c>
      <c r="G653" s="19" t="inlineStr">
        <is>
          <t>https://www.jcpenney.com/s?searchTerm={search_term}</t>
        </is>
      </c>
      <c r="H653" s="23" t="inlineStr">
        <is>
          <t>195102411844</t>
        </is>
      </c>
      <c r="I653" s="19">
        <f>HYPERLINK("https://www.jcpenney.com/s?searchTerm=195102411844", "Retail Link")</f>
        <v/>
      </c>
      <c r="J653" s="23" t="inlineStr">
        <is>
          <t>n/a</t>
        </is>
      </c>
      <c r="K653" s="21" t="inlineStr">
        <is>
          <t>PUMA Womens Carina 2.0 Sneaker, PUMA Womens White-PUMA Womens White-PUMA Womens Silver, 9</t>
        </is>
      </c>
      <c r="L653" s="24" t="n">
        <v>66.5</v>
      </c>
      <c r="M653" s="24" t="n">
        <v>49.95</v>
      </c>
      <c r="N653" s="24" t="n">
        <v>-31.0725</v>
      </c>
      <c r="O653" s="24">
        <f>V653-M653</f>
        <v/>
      </c>
      <c r="P653" s="25">
        <f>N653/L653</f>
        <v/>
      </c>
      <c r="Q653" s="23" t="n">
        <v>20139</v>
      </c>
      <c r="R653" s="23" t="n">
        <v>100</v>
      </c>
      <c r="S653" s="26" t="n">
        <v>1.73944518</v>
      </c>
      <c r="T653" s="24" t="n">
        <v>49.95</v>
      </c>
      <c r="U653" s="24" t="n">
        <v>42.99</v>
      </c>
      <c r="V653" s="24" t="n">
        <v>46.49</v>
      </c>
      <c r="W653" s="26" t="inlineStr">
        <is>
          <t>PUMA Carina 2.0 Womens Sneakers</t>
        </is>
      </c>
      <c r="X653" s="23" t="n">
        <v>12</v>
      </c>
      <c r="Y653" s="18">
        <f>AC653-AB653</f>
        <v/>
      </c>
      <c r="Z653" s="27" t="n">
        <v>49</v>
      </c>
      <c r="AA653" s="27" t="n">
        <v>119</v>
      </c>
      <c r="AB653" s="27" t="n">
        <v>57</v>
      </c>
      <c r="AC653" s="27" t="n">
        <v>711</v>
      </c>
      <c r="AD653" s="1" t="inlineStr">
        <is>
          <t>38584902</t>
        </is>
      </c>
      <c r="AE653" s="1" t="inlineStr">
        <is>
          <t>Puma White-puma White-puma Silver</t>
        </is>
      </c>
      <c r="AF653" s="4" t="inlineStr"/>
      <c r="AG653" s="4" t="n">
        <v>7.03</v>
      </c>
    </row>
    <row r="654" ht="47.25" customHeight="1">
      <c r="A654" s="18" t="inlineStr">
        <is>
          <t>195102411851</t>
        </is>
      </c>
      <c r="B654" s="19" t="inlineStr">
        <is>
          <t>https://www.amazon.com/dp/</t>
        </is>
      </c>
      <c r="C654" s="20" t="inlineStr">
        <is>
          <t>B0BCHJFCLR</t>
        </is>
      </c>
      <c r="D654" s="44" t="n"/>
      <c r="E654" s="23" t="inlineStr">
        <is>
          <t>?th=1&amp;psc=1&amp;tag=sdcdeals03-20</t>
        </is>
      </c>
      <c r="F654" s="19">
        <f>HYPERLINK("https://redirect.sdcdeals.com/redirect?destination=https%3A%2F%2Fwww.amazon.com%2Fdp%2FB0BCHJFCLR%3Fth%3D1%26psc%3D1%26tag%3Dsdcdeals03-20", "Amazon Link")</f>
        <v/>
      </c>
      <c r="G654" s="19" t="inlineStr">
        <is>
          <t>https://www.jcpenney.com/s?searchTerm={search_term}</t>
        </is>
      </c>
      <c r="H654" s="23" t="inlineStr">
        <is>
          <t>195102411851</t>
        </is>
      </c>
      <c r="I654" s="19">
        <f>HYPERLINK("https://www.jcpenney.com/s?searchTerm=195102411851", "Retail Link")</f>
        <v/>
      </c>
      <c r="J654" s="23" t="inlineStr">
        <is>
          <t>n/a</t>
        </is>
      </c>
      <c r="K654" s="21" t="inlineStr">
        <is>
          <t>PUMA Womens Carina 2.0 Sneaker, PUMA Womens White-PUMA Womens White-PUMA Womens Silver, 9.5</t>
        </is>
      </c>
      <c r="L654" s="24" t="n">
        <v>66.5</v>
      </c>
      <c r="M654" s="24" t="n">
        <v>40</v>
      </c>
      <c r="N654" s="24" t="n">
        <v>-39.53</v>
      </c>
      <c r="O654" s="24">
        <f>V654-M654</f>
        <v/>
      </c>
      <c r="P654" s="25">
        <f>N654/L654</f>
        <v/>
      </c>
      <c r="Q654" s="23" t="n">
        <v>20139</v>
      </c>
      <c r="R654" s="23" t="n">
        <v>100</v>
      </c>
      <c r="S654" s="26" t="n">
        <v>1.8518808</v>
      </c>
      <c r="T654" s="24" t="n">
        <v>40</v>
      </c>
      <c r="U654" s="24" t="n">
        <v>44.54</v>
      </c>
      <c r="V654" s="24" t="n">
        <v>48.34</v>
      </c>
      <c r="W654" s="26" t="inlineStr">
        <is>
          <t>PUMA Carina 2.0 Womens Sneakers</t>
        </is>
      </c>
      <c r="X654" s="23" t="n">
        <v>10</v>
      </c>
      <c r="Y654" s="18">
        <f>AC654-AB654</f>
        <v/>
      </c>
      <c r="Z654" s="27" t="n">
        <v>43</v>
      </c>
      <c r="AA654" s="27" t="n">
        <v>111</v>
      </c>
      <c r="AB654" s="27" t="n">
        <v>28</v>
      </c>
      <c r="AC654" s="27" t="n">
        <v>711</v>
      </c>
      <c r="AD654" s="1" t="inlineStr">
        <is>
          <t>38584902</t>
        </is>
      </c>
      <c r="AE654" s="1" t="inlineStr">
        <is>
          <t>Puma White-puma White-puma Silver</t>
        </is>
      </c>
      <c r="AF654" s="4" t="n">
        <v>6</v>
      </c>
      <c r="AG654" s="4" t="n">
        <v>7.03</v>
      </c>
    </row>
    <row r="655" ht="47.25" customHeight="1">
      <c r="A655" s="18" t="inlineStr">
        <is>
          <t>195102411868</t>
        </is>
      </c>
      <c r="B655" s="19" t="inlineStr">
        <is>
          <t>https://www.amazon.com/dp/</t>
        </is>
      </c>
      <c r="C655" s="20" t="inlineStr">
        <is>
          <t>B0BCHF96X4</t>
        </is>
      </c>
      <c r="D655" s="44" t="n"/>
      <c r="E655" s="23" t="inlineStr">
        <is>
          <t>?th=1&amp;psc=1&amp;tag=sdcdeals03-20</t>
        </is>
      </c>
      <c r="F655" s="19">
        <f>HYPERLINK("https://redirect.sdcdeals.com/redirect?destination=https%3A%2F%2Fwww.amazon.com%2Fdp%2FB0BCHF96X4%3Fth%3D1%26psc%3D1%26tag%3Dsdcdeals03-20", "Amazon Link")</f>
        <v/>
      </c>
      <c r="G655" s="19" t="inlineStr">
        <is>
          <t>https://www.jcpenney.com/s?searchTerm={search_term}</t>
        </is>
      </c>
      <c r="H655" s="23" t="inlineStr">
        <is>
          <t>195102411868</t>
        </is>
      </c>
      <c r="I655" s="19">
        <f>HYPERLINK("https://www.jcpenney.com/s?searchTerm=195102411868", "Retail Link")</f>
        <v/>
      </c>
      <c r="J655" s="23" t="inlineStr">
        <is>
          <t>n/a</t>
        </is>
      </c>
      <c r="K655" s="21" t="inlineStr">
        <is>
          <t>PUMA Womens Carina 2.0 Sneaker, PUMA Womens White-PUMA Womens White-PUMA Womens Silver, 10</t>
        </is>
      </c>
      <c r="L655" s="24" t="n">
        <v>66.5</v>
      </c>
      <c r="M655" s="24" t="n">
        <v>40</v>
      </c>
      <c r="N655" s="24" t="n">
        <v>-39.53</v>
      </c>
      <c r="O655" s="24">
        <f>V655-M655</f>
        <v/>
      </c>
      <c r="P655" s="25">
        <f>N655/L655</f>
        <v/>
      </c>
      <c r="Q655" s="23" t="n">
        <v>20139</v>
      </c>
      <c r="R655" s="23" t="n">
        <v>50</v>
      </c>
      <c r="S655" s="26" t="n">
        <v>1.84967618</v>
      </c>
      <c r="T655" s="24" t="n">
        <v>40</v>
      </c>
      <c r="U655" s="24" t="n">
        <v>43.37</v>
      </c>
      <c r="V655" s="24" t="n">
        <v>49.66</v>
      </c>
      <c r="W655" s="26" t="inlineStr">
        <is>
          <t>PUMA Carina 2.0 Womens Sneakers</t>
        </is>
      </c>
      <c r="X655" s="23" t="n">
        <v>12</v>
      </c>
      <c r="Y655" s="18">
        <f>AC655-AB655</f>
        <v/>
      </c>
      <c r="Z655" s="27" t="n">
        <v>39</v>
      </c>
      <c r="AA655" s="27" t="n">
        <v>101</v>
      </c>
      <c r="AB655" s="27" t="n">
        <v>34</v>
      </c>
      <c r="AC655" s="27" t="n">
        <v>711</v>
      </c>
      <c r="AD655" s="1" t="inlineStr">
        <is>
          <t>38584902</t>
        </is>
      </c>
      <c r="AE655" s="1" t="inlineStr">
        <is>
          <t>Puma White-puma White-puma Silver</t>
        </is>
      </c>
      <c r="AF655" s="4" t="n">
        <v>6</v>
      </c>
      <c r="AG655" s="4" t="n">
        <v>7.03</v>
      </c>
    </row>
    <row r="656" ht="47.25" customHeight="1">
      <c r="A656" s="18" t="inlineStr">
        <is>
          <t>195102411882</t>
        </is>
      </c>
      <c r="B656" s="19" t="inlineStr">
        <is>
          <t>https://www.amazon.com/dp/</t>
        </is>
      </c>
      <c r="C656" s="20" t="inlineStr">
        <is>
          <t>B0BLXZBRDK</t>
        </is>
      </c>
      <c r="D656" s="44" t="n"/>
      <c r="E656" s="23" t="inlineStr">
        <is>
          <t>?th=1&amp;psc=1&amp;tag=sdcdeals03-20</t>
        </is>
      </c>
      <c r="F656" s="19">
        <f>HYPERLINK("https://redirect.sdcdeals.com/redirect?destination=https%3A%2F%2Fwww.amazon.com%2Fdp%2FB0BLXZBRDK%3Fth%3D1%26psc%3D1%26tag%3Dsdcdeals03-20", "Amazon Link")</f>
        <v/>
      </c>
      <c r="G656" s="19" t="inlineStr">
        <is>
          <t>https://www.jcpenney.com/s?searchTerm={search_term}</t>
        </is>
      </c>
      <c r="H656" s="23" t="inlineStr">
        <is>
          <t>195102411882</t>
        </is>
      </c>
      <c r="I656" s="19">
        <f>HYPERLINK("https://www.jcpenney.com/s?searchTerm=195102411882", "Retail Link")</f>
        <v/>
      </c>
      <c r="J656" s="23" t="inlineStr">
        <is>
          <t>n/a</t>
        </is>
      </c>
      <c r="K656" s="21" t="inlineStr">
        <is>
          <t>PUMA Womens Carina 2.0 Sneaker, PUMA Womens White-PUMA Womens White-PUMA Womens Silver, 11</t>
        </is>
      </c>
      <c r="L656" s="24" t="n">
        <v>66.5</v>
      </c>
      <c r="M656" s="24" t="n">
        <v>59.99</v>
      </c>
      <c r="N656" s="24" t="n">
        <v>-23.2085</v>
      </c>
      <c r="O656" s="24">
        <f>V656-M656</f>
        <v/>
      </c>
      <c r="P656" s="25">
        <f>N656/L656</f>
        <v/>
      </c>
      <c r="Q656" s="23" t="n">
        <v>21288</v>
      </c>
      <c r="R656" s="23" t="n"/>
      <c r="S656" s="26" t="n">
        <v>2.03045502</v>
      </c>
      <c r="T656" s="24" t="n">
        <v>59.99</v>
      </c>
      <c r="U656" s="24" t="n">
        <v>44.39</v>
      </c>
      <c r="V656" s="24" t="n">
        <v>51.92</v>
      </c>
      <c r="W656" s="26" t="inlineStr">
        <is>
          <t>PUMA Carina 2.0 Womens Sneakers</t>
        </is>
      </c>
      <c r="X656" s="23" t="n">
        <v>8</v>
      </c>
      <c r="Y656" s="18">
        <f>AC656-AB656</f>
        <v/>
      </c>
      <c r="Z656" s="27" t="n">
        <v>46</v>
      </c>
      <c r="AA656" s="27" t="n">
        <v>133</v>
      </c>
      <c r="AB656" s="27" t="n">
        <v>11</v>
      </c>
      <c r="AC656" s="27" t="n">
        <v>710</v>
      </c>
      <c r="AD656" s="1" t="inlineStr">
        <is>
          <t>38584902</t>
        </is>
      </c>
      <c r="AE656" s="1" t="inlineStr">
        <is>
          <t>Puma White-puma White-puma Silver</t>
        </is>
      </c>
      <c r="AF656" s="4" t="n">
        <v>9</v>
      </c>
      <c r="AG656" s="4" t="n">
        <v>7.7</v>
      </c>
    </row>
    <row r="657" ht="47.25" customHeight="1">
      <c r="A657" s="18" t="inlineStr">
        <is>
          <t>197646408397</t>
        </is>
      </c>
      <c r="B657" s="19" t="inlineStr">
        <is>
          <t>https://www.amazon.com/dp/</t>
        </is>
      </c>
      <c r="C657" s="20" t="inlineStr">
        <is>
          <t>B0CV9GK6RX</t>
        </is>
      </c>
      <c r="D657" s="44" t="n"/>
      <c r="E657" s="23" t="inlineStr">
        <is>
          <t>?th=1&amp;psc=1&amp;tag=sdcdeals03-20</t>
        </is>
      </c>
      <c r="F657" s="19">
        <f>HYPERLINK("https://redirect.sdcdeals.com/redirect?destination=https%3A%2F%2Fwww.amazon.com%2Fdp%2FB0CV9GK6RX%3Fth%3D1%26psc%3D1%26tag%3Dsdcdeals03-20", "Amazon Link")</f>
        <v/>
      </c>
      <c r="G657" s="19" t="inlineStr">
        <is>
          <t>https://www.jcpenney.com/s?searchTerm={search_term}</t>
        </is>
      </c>
      <c r="H657" s="23" t="inlineStr">
        <is>
          <t>197646408397</t>
        </is>
      </c>
      <c r="I657" s="19">
        <f>HYPERLINK("https://www.jcpenney.com/s?searchTerm=197646408397", "Retail Link")</f>
        <v/>
      </c>
      <c r="J657" s="23" t="inlineStr">
        <is>
          <t>n/a</t>
        </is>
      </c>
      <c r="K657" s="21" t="inlineStr">
        <is>
          <t>PUMA Women's Court Classic Vulc Sneaker, First Class White Gold, 5.5</t>
        </is>
      </c>
      <c r="L657" s="24" t="n">
        <v>57</v>
      </c>
      <c r="M657" s="24" t="n">
        <v>59.15</v>
      </c>
      <c r="N657" s="24" t="n">
        <v>-13.3325</v>
      </c>
      <c r="O657" s="24">
        <f>V657-M657</f>
        <v/>
      </c>
      <c r="P657" s="25">
        <f>N657/L657</f>
        <v/>
      </c>
      <c r="Q657" s="23" t="n">
        <v>726231</v>
      </c>
      <c r="R657" s="23" t="n"/>
      <c r="S657" s="26" t="n">
        <v>1.80999302</v>
      </c>
      <c r="T657" s="24" t="inlineStr"/>
      <c r="U657" s="24" t="n">
        <v>59.15</v>
      </c>
      <c r="V657" s="24" t="n">
        <v>58.79</v>
      </c>
      <c r="W657" s="26" t="inlineStr">
        <is>
          <t>PUMA Court Classic Vulc Womens Sneakers</t>
        </is>
      </c>
      <c r="X657" s="23" t="n">
        <v>2</v>
      </c>
      <c r="Y657" s="18">
        <f>AC657-AB657</f>
        <v/>
      </c>
      <c r="Z657" s="27" t="n">
        <v>9</v>
      </c>
      <c r="AA657" s="27" t="n">
        <v>37</v>
      </c>
      <c r="AB657" s="27" t="n">
        <v>1</v>
      </c>
      <c r="AC657" s="27" t="n">
        <v>22</v>
      </c>
      <c r="AD657" s="1" t="inlineStr">
        <is>
          <t>39861501</t>
        </is>
      </c>
      <c r="AE657" s="1" t="inlineStr">
        <is>
          <t>First Class-puma White-puma Gold</t>
        </is>
      </c>
      <c r="AF657" s="4" t="inlineStr"/>
      <c r="AG657" s="4" t="n">
        <v>6.61</v>
      </c>
    </row>
    <row r="658" ht="47.25" customHeight="1">
      <c r="A658" s="18" t="inlineStr">
        <is>
          <t>197646408465</t>
        </is>
      </c>
      <c r="B658" s="19" t="inlineStr">
        <is>
          <t>https://www.amazon.com/dp/</t>
        </is>
      </c>
      <c r="C658" s="20" t="inlineStr">
        <is>
          <t>B0CV9TX7D5</t>
        </is>
      </c>
      <c r="D658" s="44" t="n"/>
      <c r="E658" s="23" t="inlineStr">
        <is>
          <t>?th=1&amp;psc=1&amp;tag=sdcdeals03-20</t>
        </is>
      </c>
      <c r="F658" s="19">
        <f>HYPERLINK("https://redirect.sdcdeals.com/redirect?destination=https%3A%2F%2Fwww.amazon.com%2Fdp%2FB0CV9TX7D5%3Fth%3D1%26psc%3D1%26tag%3Dsdcdeals03-20", "Amazon Link")</f>
        <v/>
      </c>
      <c r="G658" s="19" t="inlineStr">
        <is>
          <t>https://www.jcpenney.com/s?searchTerm={search_term}</t>
        </is>
      </c>
      <c r="H658" s="23" t="inlineStr">
        <is>
          <t>197646408465</t>
        </is>
      </c>
      <c r="I658" s="19">
        <f>HYPERLINK("https://www.jcpenney.com/s?searchTerm=197646408465", "Retail Link")</f>
        <v/>
      </c>
      <c r="J658" s="23" t="inlineStr">
        <is>
          <t>n/a</t>
        </is>
      </c>
      <c r="K658" s="21" t="inlineStr">
        <is>
          <t>PUMA Women's Court Classic Vulc Sneaker, First Class White Gold, 6</t>
        </is>
      </c>
      <c r="L658" s="24" t="n">
        <v>57</v>
      </c>
      <c r="M658" s="24" t="n">
        <v>58.55</v>
      </c>
      <c r="N658" s="24" t="n">
        <v>-13.8425</v>
      </c>
      <c r="O658" s="24">
        <f>V658-M658</f>
        <v/>
      </c>
      <c r="P658" s="25">
        <f>N658/L658</f>
        <v/>
      </c>
      <c r="Q658" s="23" t="n">
        <v>525806</v>
      </c>
      <c r="R658" s="23" t="n"/>
      <c r="S658" s="26" t="n">
        <v>1.86951776</v>
      </c>
      <c r="T658" s="24" t="n">
        <v>58.17</v>
      </c>
      <c r="U658" s="24" t="n">
        <v>53.58</v>
      </c>
      <c r="V658" s="24" t="n">
        <v>55.7</v>
      </c>
      <c r="W658" s="26" t="inlineStr">
        <is>
          <t>PUMA Court Classic Vulc Womens Sneakers</t>
        </is>
      </c>
      <c r="X658" s="23" t="n">
        <v>3</v>
      </c>
      <c r="Y658" s="18">
        <f>AC658-AB658</f>
        <v/>
      </c>
      <c r="Z658" s="27" t="n">
        <v>16</v>
      </c>
      <c r="AA658" s="27" t="n">
        <v>50</v>
      </c>
      <c r="AB658" s="27" t="n">
        <v>4</v>
      </c>
      <c r="AC658" s="27" t="n">
        <v>24</v>
      </c>
      <c r="AD658" s="1" t="inlineStr">
        <is>
          <t>39861501</t>
        </is>
      </c>
      <c r="AE658" s="1" t="inlineStr">
        <is>
          <t>First Class-puma White-puma Gold</t>
        </is>
      </c>
      <c r="AF658" s="4" t="n">
        <v>8.779999999999999</v>
      </c>
      <c r="AG658" s="4" t="n">
        <v>6.61</v>
      </c>
    </row>
    <row r="659" ht="47.25" customHeight="1">
      <c r="A659" s="18" t="inlineStr">
        <is>
          <t>197646408496</t>
        </is>
      </c>
      <c r="B659" s="19" t="inlineStr">
        <is>
          <t>https://www.amazon.com/dp/</t>
        </is>
      </c>
      <c r="C659" s="20" t="inlineStr">
        <is>
          <t>B0CV9R62W3</t>
        </is>
      </c>
      <c r="D659" s="44" t="n"/>
      <c r="E659" s="23" t="inlineStr">
        <is>
          <t>?th=1&amp;psc=1&amp;tag=sdcdeals03-20</t>
        </is>
      </c>
      <c r="F659" s="19">
        <f>HYPERLINK("https://redirect.sdcdeals.com/redirect?destination=https%3A%2F%2Fwww.amazon.com%2Fdp%2FB0CV9R62W3%3Fth%3D1%26psc%3D1%26tag%3Dsdcdeals03-20", "Amazon Link")</f>
        <v/>
      </c>
      <c r="G659" s="19" t="inlineStr">
        <is>
          <t>https://www.jcpenney.com/s?searchTerm={search_term}</t>
        </is>
      </c>
      <c r="H659" s="23" t="inlineStr">
        <is>
          <t>197646408496</t>
        </is>
      </c>
      <c r="I659" s="19">
        <f>HYPERLINK("https://www.jcpenney.com/s?searchTerm=197646408496", "Retail Link")</f>
        <v/>
      </c>
      <c r="J659" s="23" t="inlineStr">
        <is>
          <t>n/a</t>
        </is>
      </c>
      <c r="K659" s="21" t="inlineStr">
        <is>
          <t>PUMA Women's Court Classic Vulc Sneaker, First Class White Gold, 6.5</t>
        </is>
      </c>
      <c r="L659" s="24" t="n">
        <v>57</v>
      </c>
      <c r="M659" s="24" t="n">
        <v>50.16</v>
      </c>
      <c r="N659" s="24" t="n">
        <v>-20.974</v>
      </c>
      <c r="O659" s="24">
        <f>V659-M659</f>
        <v/>
      </c>
      <c r="P659" s="25">
        <f>N659/L659</f>
        <v/>
      </c>
      <c r="Q659" s="23" t="n">
        <v>498252</v>
      </c>
      <c r="R659" s="23" t="n"/>
      <c r="S659" s="26" t="n">
        <v>1.86951776</v>
      </c>
      <c r="T659" s="24" t="n">
        <v>49.82</v>
      </c>
      <c r="U659" s="24" t="n">
        <v>53.59</v>
      </c>
      <c r="V659" s="24" t="n">
        <v>56.26</v>
      </c>
      <c r="W659" s="26" t="inlineStr">
        <is>
          <t>PUMA Court Classic Vulc Womens Sneakers</t>
        </is>
      </c>
      <c r="X659" s="23" t="n">
        <v>3</v>
      </c>
      <c r="Y659" s="18">
        <f>AC659-AB659</f>
        <v/>
      </c>
      <c r="Z659" s="27" t="n">
        <v>13</v>
      </c>
      <c r="AA659" s="27" t="n">
        <v>57</v>
      </c>
      <c r="AB659" s="27" t="n">
        <v>3</v>
      </c>
      <c r="AC659" s="27" t="n">
        <v>24</v>
      </c>
      <c r="AD659" s="1" t="inlineStr">
        <is>
          <t>39861501</t>
        </is>
      </c>
      <c r="AE659" s="1" t="inlineStr">
        <is>
          <t>First Class-puma White-puma Gold</t>
        </is>
      </c>
      <c r="AF659" s="4" t="n">
        <v>7.52</v>
      </c>
      <c r="AG659" s="4" t="n">
        <v>6.61</v>
      </c>
    </row>
    <row r="660" ht="47.25" customHeight="1">
      <c r="A660" s="18" t="inlineStr">
        <is>
          <t>197646408458</t>
        </is>
      </c>
      <c r="B660" s="19" t="inlineStr">
        <is>
          <t>https://www.amazon.com/dp/</t>
        </is>
      </c>
      <c r="C660" s="20" t="inlineStr">
        <is>
          <t>B0CV9P1D19</t>
        </is>
      </c>
      <c r="D660" s="44" t="n"/>
      <c r="E660" s="23" t="inlineStr">
        <is>
          <t>?th=1&amp;psc=1&amp;tag=sdcdeals03-20</t>
        </is>
      </c>
      <c r="F660" s="19">
        <f>HYPERLINK("https://redirect.sdcdeals.com/redirect?destination=https%3A%2F%2Fwww.amazon.com%2Fdp%2FB0CV9P1D19%3Fth%3D1%26psc%3D1%26tag%3Dsdcdeals03-20", "Amazon Link")</f>
        <v/>
      </c>
      <c r="G660" s="19" t="inlineStr">
        <is>
          <t>https://www.jcpenney.com/s?searchTerm={search_term}</t>
        </is>
      </c>
      <c r="H660" s="23" t="inlineStr">
        <is>
          <t>197646408458</t>
        </is>
      </c>
      <c r="I660" s="19">
        <f>HYPERLINK("https://www.jcpenney.com/s?searchTerm=197646408458", "Retail Link")</f>
        <v/>
      </c>
      <c r="J660" s="23" t="inlineStr">
        <is>
          <t>n/a</t>
        </is>
      </c>
      <c r="K660" s="21" t="inlineStr">
        <is>
          <t>PUMA Women's Court Classic Vulc Sneaker, First Class White Gold, 7</t>
        </is>
      </c>
      <c r="L660" s="24" t="n">
        <v>57</v>
      </c>
      <c r="M660" s="24" t="n">
        <v>58.32</v>
      </c>
      <c r="N660" s="24" t="n">
        <v>-14.038</v>
      </c>
      <c r="O660" s="24">
        <f>V660-M660</f>
        <v/>
      </c>
      <c r="P660" s="25">
        <f>N660/L660</f>
        <v/>
      </c>
      <c r="Q660" s="23" t="n">
        <v>573308</v>
      </c>
      <c r="R660" s="23" t="n"/>
      <c r="S660" s="26" t="n">
        <v>1.97974876</v>
      </c>
      <c r="T660" s="24" t="n">
        <v>58.32</v>
      </c>
      <c r="U660" s="24" t="n">
        <v>57.21</v>
      </c>
      <c r="V660" s="24" t="n">
        <v>58.19</v>
      </c>
      <c r="W660" s="26" t="inlineStr">
        <is>
          <t>PUMA Court Classic Vulc Womens Sneakers</t>
        </is>
      </c>
      <c r="X660" s="23" t="n">
        <v>3</v>
      </c>
      <c r="Y660" s="18">
        <f>AC660-AB660</f>
        <v/>
      </c>
      <c r="Z660" s="27" t="n">
        <v>19</v>
      </c>
      <c r="AA660" s="27" t="n">
        <v>62</v>
      </c>
      <c r="AB660" s="27" t="n">
        <v>0</v>
      </c>
      <c r="AC660" s="27" t="n">
        <v>22</v>
      </c>
      <c r="AD660" s="1" t="inlineStr">
        <is>
          <t>39861501</t>
        </is>
      </c>
      <c r="AE660" s="1" t="inlineStr">
        <is>
          <t>First Class-puma White-puma Gold</t>
        </is>
      </c>
      <c r="AF660" s="4" t="n">
        <v>8.75</v>
      </c>
      <c r="AG660" s="4" t="n">
        <v>6.61</v>
      </c>
    </row>
    <row r="661" ht="47.25" customHeight="1">
      <c r="A661" s="18" t="inlineStr">
        <is>
          <t>197646408502</t>
        </is>
      </c>
      <c r="B661" s="19" t="inlineStr">
        <is>
          <t>https://www.amazon.com/dp/</t>
        </is>
      </c>
      <c r="C661" s="20" t="inlineStr">
        <is>
          <t>B0CV9TF13X</t>
        </is>
      </c>
      <c r="D661" s="44" t="n"/>
      <c r="E661" s="23" t="inlineStr">
        <is>
          <t>?th=1&amp;psc=1&amp;tag=sdcdeals03-20</t>
        </is>
      </c>
      <c r="F661" s="19">
        <f>HYPERLINK("https://redirect.sdcdeals.com/redirect?destination=https%3A%2F%2Fwww.amazon.com%2Fdp%2FB0CV9TF13X%3Fth%3D1%26psc%3D1%26tag%3Dsdcdeals03-20", "Amazon Link")</f>
        <v/>
      </c>
      <c r="G661" s="19" t="inlineStr">
        <is>
          <t>https://www.jcpenney.com/s?searchTerm={search_term}</t>
        </is>
      </c>
      <c r="H661" s="23" t="inlineStr">
        <is>
          <t>197646408502</t>
        </is>
      </c>
      <c r="I661" s="19">
        <f>HYPERLINK("https://www.jcpenney.com/s?searchTerm=197646408502", "Retail Link")</f>
        <v/>
      </c>
      <c r="J661" s="23" t="inlineStr">
        <is>
          <t>n/a</t>
        </is>
      </c>
      <c r="K661" s="21" t="inlineStr">
        <is>
          <t>PUMA Women's Court Classic Vulc Sneaker, First Class White Gold, 7.5</t>
        </is>
      </c>
      <c r="L661" s="24" t="n">
        <v>57</v>
      </c>
      <c r="M661" s="24" t="n">
        <v>53.12</v>
      </c>
      <c r="N661" s="24" t="n">
        <v>-18.87800000000001</v>
      </c>
      <c r="O661" s="24">
        <f>V661-M661</f>
        <v/>
      </c>
      <c r="P661" s="25">
        <f>N661/L661</f>
        <v/>
      </c>
      <c r="Q661" s="23" t="n">
        <v>525806</v>
      </c>
      <c r="R661" s="23" t="n"/>
      <c r="S661" s="26" t="n">
        <v>1.873927</v>
      </c>
      <c r="T661" s="24" t="n">
        <v>52.77</v>
      </c>
      <c r="U661" s="24" t="n">
        <v>55.06</v>
      </c>
      <c r="V661" s="24" t="n">
        <v>57.13</v>
      </c>
      <c r="W661" s="26" t="inlineStr">
        <is>
          <t>PUMA Court Classic Vulc Womens Sneakers</t>
        </is>
      </c>
      <c r="X661" s="23" t="n">
        <v>3</v>
      </c>
      <c r="Y661" s="18">
        <f>AC661-AB661</f>
        <v/>
      </c>
      <c r="Z661" s="27" t="n">
        <v>14</v>
      </c>
      <c r="AA661" s="27" t="n">
        <v>57</v>
      </c>
      <c r="AB661" s="27" t="n">
        <v>3</v>
      </c>
      <c r="AC661" s="27" t="n">
        <v>24</v>
      </c>
      <c r="AD661" s="1" t="inlineStr">
        <is>
          <t>39861501</t>
        </is>
      </c>
      <c r="AE661" s="1" t="inlineStr">
        <is>
          <t>First Class-puma White-puma Gold</t>
        </is>
      </c>
      <c r="AF661" s="4" t="n">
        <v>7.97</v>
      </c>
      <c r="AG661" s="4" t="n">
        <v>7.03</v>
      </c>
    </row>
    <row r="662" ht="47.25" customHeight="1">
      <c r="A662" s="18" t="inlineStr">
        <is>
          <t>197646408403</t>
        </is>
      </c>
      <c r="B662" s="19" t="inlineStr">
        <is>
          <t>https://www.amazon.com/dp/</t>
        </is>
      </c>
      <c r="C662" s="20" t="inlineStr">
        <is>
          <t>B0CV9S87BZ</t>
        </is>
      </c>
      <c r="D662" s="44" t="n"/>
      <c r="E662" s="23" t="inlineStr">
        <is>
          <t>?th=1&amp;psc=1&amp;tag=sdcdeals03-20</t>
        </is>
      </c>
      <c r="F662" s="19">
        <f>HYPERLINK("https://redirect.sdcdeals.com/redirect?destination=https%3A%2F%2Fwww.amazon.com%2Fdp%2FB0CV9S87BZ%3Fth%3D1%26psc%3D1%26tag%3Dsdcdeals03-20", "Amazon Link")</f>
        <v/>
      </c>
      <c r="G662" s="19" t="inlineStr">
        <is>
          <t>https://www.jcpenney.com/s?searchTerm={search_term}</t>
        </is>
      </c>
      <c r="H662" s="23" t="inlineStr">
        <is>
          <t>197646408403</t>
        </is>
      </c>
      <c r="I662" s="19">
        <f>HYPERLINK("https://www.jcpenney.com/s?searchTerm=197646408403", "Retail Link")</f>
        <v/>
      </c>
      <c r="J662" s="23" t="inlineStr">
        <is>
          <t>n/a</t>
        </is>
      </c>
      <c r="K662" s="21" t="inlineStr">
        <is>
          <t>PUMA Women's Court Classic Vulc Sneaker, First Class White Gold, 8</t>
        </is>
      </c>
      <c r="L662" s="24" t="n">
        <v>57</v>
      </c>
      <c r="M662" s="24" t="n">
        <v>57.25</v>
      </c>
      <c r="N662" s="24" t="n">
        <v>-15.8775</v>
      </c>
      <c r="O662" s="24">
        <f>V662-M662</f>
        <v/>
      </c>
      <c r="P662" s="25">
        <f>N662/L662</f>
        <v/>
      </c>
      <c r="Q662" s="23" t="n">
        <v>452991</v>
      </c>
      <c r="R662" s="23" t="n"/>
      <c r="S662" s="26" t="n">
        <v>1.97974876</v>
      </c>
      <c r="T662" s="24" t="n">
        <v>56.88</v>
      </c>
      <c r="U662" s="24" t="n">
        <v>54.53</v>
      </c>
      <c r="V662" s="24" t="n">
        <v>56.63</v>
      </c>
      <c r="W662" s="26" t="inlineStr">
        <is>
          <t>PUMA Court Classic Vulc Womens Sneakers</t>
        </is>
      </c>
      <c r="X662" s="23" t="n">
        <v>3</v>
      </c>
      <c r="Y662" s="18">
        <f>AC662-AB662</f>
        <v/>
      </c>
      <c r="Z662" s="27" t="n">
        <v>20</v>
      </c>
      <c r="AA662" s="27" t="n">
        <v>76</v>
      </c>
      <c r="AB662" s="27" t="n">
        <v>6</v>
      </c>
      <c r="AC662" s="27" t="n">
        <v>24</v>
      </c>
      <c r="AD662" s="1" t="inlineStr">
        <is>
          <t>39861501</t>
        </is>
      </c>
      <c r="AE662" s="1" t="inlineStr">
        <is>
          <t>First Class-puma White-puma Gold</t>
        </is>
      </c>
      <c r="AF662" s="4" t="n">
        <v>8.59</v>
      </c>
      <c r="AG662" s="4" t="n">
        <v>7.54</v>
      </c>
    </row>
    <row r="663" ht="47.25" customHeight="1">
      <c r="A663" s="18" t="inlineStr">
        <is>
          <t>197646408410</t>
        </is>
      </c>
      <c r="B663" s="19" t="inlineStr">
        <is>
          <t>https://www.amazon.com/dp/</t>
        </is>
      </c>
      <c r="C663" s="20" t="inlineStr">
        <is>
          <t>B0CV9KMNRX</t>
        </is>
      </c>
      <c r="D663" s="44" t="n"/>
      <c r="E663" s="23" t="inlineStr">
        <is>
          <t>?th=1&amp;psc=1&amp;tag=sdcdeals03-20</t>
        </is>
      </c>
      <c r="F663" s="19">
        <f>HYPERLINK("https://redirect.sdcdeals.com/redirect?destination=https%3A%2F%2Fwww.amazon.com%2Fdp%2FB0CV9KMNRX%3Fth%3D1%26psc%3D1%26tag%3Dsdcdeals03-20", "Amazon Link")</f>
        <v/>
      </c>
      <c r="G663" s="19" t="inlineStr">
        <is>
          <t>https://www.jcpenney.com/s?searchTerm={search_term}</t>
        </is>
      </c>
      <c r="H663" s="23" t="inlineStr">
        <is>
          <t>197646408410</t>
        </is>
      </c>
      <c r="I663" s="19">
        <f>HYPERLINK("https://www.jcpenney.com/s?searchTerm=197646408410", "Retail Link")</f>
        <v/>
      </c>
      <c r="J663" s="23" t="inlineStr">
        <is>
          <t>n/a</t>
        </is>
      </c>
      <c r="K663" s="21" t="inlineStr">
        <is>
          <t>PUMA Women's Court Classic Vulc Sneaker, First Class White Gold, 8.5</t>
        </is>
      </c>
      <c r="L663" s="24" t="n">
        <v>57</v>
      </c>
      <c r="M663" s="24" t="n">
        <v>54.5</v>
      </c>
      <c r="N663" s="24" t="n">
        <v>-18.215</v>
      </c>
      <c r="O663" s="24">
        <f>V663-M663</f>
        <v/>
      </c>
      <c r="P663" s="25">
        <f>N663/L663</f>
        <v/>
      </c>
      <c r="Q663" s="23" t="n">
        <v>498252</v>
      </c>
      <c r="R663" s="23" t="n"/>
      <c r="S663" s="26" t="n">
        <v>1.9621118</v>
      </c>
      <c r="T663" s="24" t="n">
        <v>54.14</v>
      </c>
      <c r="U663" s="24" t="n">
        <v>56.54</v>
      </c>
      <c r="V663" s="24" t="n">
        <v>57.84</v>
      </c>
      <c r="W663" s="26" t="inlineStr">
        <is>
          <t>PUMA Court Classic Vulc Womens Sneakers</t>
        </is>
      </c>
      <c r="X663" s="23" t="n">
        <v>3</v>
      </c>
      <c r="Y663" s="18">
        <f>AC663-AB663</f>
        <v/>
      </c>
      <c r="Z663" s="27" t="n">
        <v>13</v>
      </c>
      <c r="AA663" s="27" t="n">
        <v>53</v>
      </c>
      <c r="AB663" s="27" t="n">
        <v>4</v>
      </c>
      <c r="AC663" s="27" t="n">
        <v>24</v>
      </c>
      <c r="AD663" s="1" t="inlineStr">
        <is>
          <t>39861501</t>
        </is>
      </c>
      <c r="AE663" s="1" t="inlineStr">
        <is>
          <t>First Class-puma White-puma Gold</t>
        </is>
      </c>
      <c r="AF663" s="4" t="n">
        <v>8.18</v>
      </c>
      <c r="AG663" s="4" t="n">
        <v>7.54</v>
      </c>
    </row>
    <row r="664" ht="47.25" customHeight="1">
      <c r="A664" s="18" t="inlineStr">
        <is>
          <t>197646408434</t>
        </is>
      </c>
      <c r="B664" s="19" t="inlineStr">
        <is>
          <t>https://www.amazon.com/dp/</t>
        </is>
      </c>
      <c r="C664" s="20" t="inlineStr">
        <is>
          <t>B0CV9R82TY</t>
        </is>
      </c>
      <c r="D664" s="44" t="n"/>
      <c r="E664" s="23" t="inlineStr">
        <is>
          <t>?th=1&amp;psc=1&amp;tag=sdcdeals03-20</t>
        </is>
      </c>
      <c r="F664" s="19">
        <f>HYPERLINK("https://redirect.sdcdeals.com/redirect?destination=https%3A%2F%2Fwww.amazon.com%2Fdp%2FB0CV9R82TY%3Fth%3D1%26psc%3D1%26tag%3Dsdcdeals03-20", "Amazon Link")</f>
        <v/>
      </c>
      <c r="G664" s="19" t="inlineStr">
        <is>
          <t>https://www.jcpenney.com/s?searchTerm={search_term}</t>
        </is>
      </c>
      <c r="H664" s="23" t="inlineStr">
        <is>
          <t>197646408434</t>
        </is>
      </c>
      <c r="I664" s="19">
        <f>HYPERLINK("https://www.jcpenney.com/s?searchTerm=197646408434", "Retail Link")</f>
        <v/>
      </c>
      <c r="J664" s="23" t="inlineStr">
        <is>
          <t>n/a</t>
        </is>
      </c>
      <c r="K664" s="21" t="inlineStr">
        <is>
          <t>PUMA Women's Court Classic Vulc Sneaker, First Class White Gold, 9</t>
        </is>
      </c>
      <c r="L664" s="24" t="n">
        <v>57</v>
      </c>
      <c r="M664" s="24" t="n">
        <v>54.61</v>
      </c>
      <c r="N664" s="24" t="n">
        <v>-18.1215</v>
      </c>
      <c r="O664" s="24">
        <f>V664-M664</f>
        <v/>
      </c>
      <c r="P664" s="25">
        <f>N664/L664</f>
        <v/>
      </c>
      <c r="Q664" s="23" t="n">
        <v>525806</v>
      </c>
      <c r="R664" s="23" t="n"/>
      <c r="S664" s="26" t="n">
        <v>0.83996022</v>
      </c>
      <c r="T664" s="24" t="n">
        <v>54.61</v>
      </c>
      <c r="U664" s="24" t="n">
        <v>54.5</v>
      </c>
      <c r="V664" s="24" t="n">
        <v>56.86</v>
      </c>
      <c r="W664" s="26" t="inlineStr">
        <is>
          <t>PUMA Court Classic Vulc Womens Sneakers</t>
        </is>
      </c>
      <c r="X664" s="23" t="n">
        <v>3</v>
      </c>
      <c r="Y664" s="18">
        <f>AC664-AB664</f>
        <v/>
      </c>
      <c r="Z664" s="27" t="n">
        <v>10</v>
      </c>
      <c r="AA664" s="27" t="n">
        <v>48</v>
      </c>
      <c r="AB664" s="27" t="n">
        <v>1</v>
      </c>
      <c r="AC664" s="27" t="n">
        <v>24</v>
      </c>
      <c r="AD664" s="1" t="inlineStr">
        <is>
          <t>39861501</t>
        </is>
      </c>
      <c r="AE664" s="1" t="inlineStr">
        <is>
          <t>First Class-puma White-puma Gold</t>
        </is>
      </c>
      <c r="AF664" s="4" t="n">
        <v>8.19</v>
      </c>
      <c r="AG664" s="4" t="n">
        <v>7.54</v>
      </c>
    </row>
    <row r="665" ht="47.25" customHeight="1">
      <c r="A665" s="18" t="inlineStr">
        <is>
          <t>197646408427</t>
        </is>
      </c>
      <c r="B665" s="19" t="inlineStr">
        <is>
          <t>https://www.amazon.com/dp/</t>
        </is>
      </c>
      <c r="C665" s="20" t="inlineStr">
        <is>
          <t>B0CV9VFN9S</t>
        </is>
      </c>
      <c r="D665" s="44" t="n"/>
      <c r="E665" s="23" t="inlineStr">
        <is>
          <t>?th=1&amp;psc=1&amp;tag=sdcdeals03-20</t>
        </is>
      </c>
      <c r="F665" s="19">
        <f>HYPERLINK("https://redirect.sdcdeals.com/redirect?destination=https%3A%2F%2Fwww.amazon.com%2Fdp%2FB0CV9VFN9S%3Fth%3D1%26psc%3D1%26tag%3Dsdcdeals03-20", "Amazon Link")</f>
        <v/>
      </c>
      <c r="G665" s="19" t="inlineStr">
        <is>
          <t>https://www.jcpenney.com/s?searchTerm={search_term}</t>
        </is>
      </c>
      <c r="H665" s="23" t="inlineStr">
        <is>
          <t>197646408427</t>
        </is>
      </c>
      <c r="I665" s="19">
        <f>HYPERLINK("https://www.jcpenney.com/s?searchTerm=197646408427", "Retail Link")</f>
        <v/>
      </c>
      <c r="J665" s="23" t="inlineStr">
        <is>
          <t>n/a</t>
        </is>
      </c>
      <c r="K665" s="21" t="inlineStr">
        <is>
          <t>PUMA Women's Court Classic Vulc Sneaker, First Class White Gold, 9.5</t>
        </is>
      </c>
      <c r="L665" s="24" t="n">
        <v>57</v>
      </c>
      <c r="M665" s="24" t="n">
        <v>60</v>
      </c>
      <c r="N665" s="24" t="n">
        <v>-13.54</v>
      </c>
      <c r="O665" s="24">
        <f>V665-M665</f>
        <v/>
      </c>
      <c r="P665" s="25">
        <f>N665/L665</f>
        <v/>
      </c>
      <c r="Q665" s="23" t="n">
        <v>465486</v>
      </c>
      <c r="R665" s="23" t="n"/>
      <c r="S665" s="26" t="n">
        <v>2.14068602</v>
      </c>
      <c r="T665" s="24" t="n">
        <v>60</v>
      </c>
      <c r="U665" s="24" t="n">
        <v>58.29</v>
      </c>
      <c r="V665" s="24" t="n">
        <v>58.76</v>
      </c>
      <c r="W665" s="26" t="inlineStr">
        <is>
          <t>PUMA Court Classic Vulc Womens Sneakers</t>
        </is>
      </c>
      <c r="X665" s="23" t="n">
        <v>2</v>
      </c>
      <c r="Y665" s="18">
        <f>AC665-AB665</f>
        <v/>
      </c>
      <c r="Z665" s="27" t="n">
        <v>18</v>
      </c>
      <c r="AA665" s="27" t="n">
        <v>56</v>
      </c>
      <c r="AB665" s="27" t="n">
        <v>2</v>
      </c>
      <c r="AC665" s="27" t="n">
        <v>24</v>
      </c>
      <c r="AD665" s="1" t="inlineStr">
        <is>
          <t>39861501</t>
        </is>
      </c>
      <c r="AE665" s="1" t="inlineStr">
        <is>
          <t>First Class-puma White-puma Gold</t>
        </is>
      </c>
      <c r="AF665" s="4" t="n">
        <v>9</v>
      </c>
      <c r="AG665" s="4" t="n">
        <v>7.54</v>
      </c>
    </row>
    <row r="666" ht="47.25" customHeight="1">
      <c r="A666" s="18" t="inlineStr">
        <is>
          <t>197646408472</t>
        </is>
      </c>
      <c r="B666" s="19" t="inlineStr">
        <is>
          <t>https://www.amazon.com/dp/</t>
        </is>
      </c>
      <c r="C666" s="20" t="inlineStr">
        <is>
          <t>B0CV9K1225</t>
        </is>
      </c>
      <c r="D666" s="44" t="n"/>
      <c r="E666" s="23" t="inlineStr">
        <is>
          <t>?th=1&amp;psc=1&amp;tag=sdcdeals03-20</t>
        </is>
      </c>
      <c r="F666" s="19">
        <f>HYPERLINK("https://redirect.sdcdeals.com/redirect?destination=https%3A%2F%2Fwww.amazon.com%2Fdp%2FB0CV9K1225%3Fth%3D1%26psc%3D1%26tag%3Dsdcdeals03-20", "Amazon Link")</f>
        <v/>
      </c>
      <c r="G666" s="19" t="inlineStr">
        <is>
          <t>https://www.jcpenney.com/s?searchTerm={search_term}</t>
        </is>
      </c>
      <c r="H666" s="23" t="inlineStr">
        <is>
          <t>197646408472</t>
        </is>
      </c>
      <c r="I666" s="19">
        <f>HYPERLINK("https://www.jcpenney.com/s?searchTerm=197646408472", "Retail Link")</f>
        <v/>
      </c>
      <c r="J666" s="23" t="inlineStr">
        <is>
          <t>n/a</t>
        </is>
      </c>
      <c r="K666" s="21" t="inlineStr">
        <is>
          <t>PUMA Women's Court Classic Vulc Sneaker, First Class White Gold, 10</t>
        </is>
      </c>
      <c r="L666" s="24" t="n">
        <v>57</v>
      </c>
      <c r="M666" s="24" t="n">
        <v>57.39</v>
      </c>
      <c r="N666" s="24" t="n">
        <v>-15.7585</v>
      </c>
      <c r="O666" s="24">
        <f>V666-M666</f>
        <v/>
      </c>
      <c r="P666" s="25">
        <f>N666/L666</f>
        <v/>
      </c>
      <c r="Q666" s="23" t="n">
        <v>452991</v>
      </c>
      <c r="R666" s="23" t="n"/>
      <c r="S666" s="26" t="n">
        <v>2.12084444</v>
      </c>
      <c r="T666" s="24" t="n">
        <v>57.02</v>
      </c>
      <c r="U666" s="24" t="n">
        <v>56.52</v>
      </c>
      <c r="V666" s="24" t="n">
        <v>57.82</v>
      </c>
      <c r="W666" s="26" t="inlineStr">
        <is>
          <t>PUMA Court Classic Vulc Womens Sneakers</t>
        </is>
      </c>
      <c r="X666" s="23" t="n">
        <v>3</v>
      </c>
      <c r="Y666" s="18">
        <f>AC666-AB666</f>
        <v/>
      </c>
      <c r="Z666" s="27" t="n">
        <v>15</v>
      </c>
      <c r="AA666" s="27" t="n">
        <v>48</v>
      </c>
      <c r="AB666" s="27" t="n">
        <v>0</v>
      </c>
      <c r="AC666" s="27" t="n">
        <v>23</v>
      </c>
      <c r="AD666" s="1" t="inlineStr">
        <is>
          <t>39861501</t>
        </is>
      </c>
      <c r="AE666" s="1" t="inlineStr">
        <is>
          <t>First Class-puma White-puma Gold</t>
        </is>
      </c>
      <c r="AF666" s="4" t="n">
        <v>8.609999999999999</v>
      </c>
      <c r="AG666" s="4" t="n">
        <v>7.54</v>
      </c>
    </row>
    <row r="667" ht="47.25" customHeight="1">
      <c r="A667" s="18" t="inlineStr">
        <is>
          <t>197646408489</t>
        </is>
      </c>
      <c r="B667" s="19" t="inlineStr">
        <is>
          <t>https://www.amazon.com/dp/</t>
        </is>
      </c>
      <c r="C667" s="20" t="inlineStr">
        <is>
          <t>B0CV9GM6GN</t>
        </is>
      </c>
      <c r="D667" s="44" t="n"/>
      <c r="E667" s="23" t="inlineStr">
        <is>
          <t>?th=1&amp;psc=1&amp;tag=sdcdeals03-20</t>
        </is>
      </c>
      <c r="F667" s="19">
        <f>HYPERLINK("https://redirect.sdcdeals.com/redirect?destination=https%3A%2F%2Fwww.amazon.com%2Fdp%2FB0CV9GM6GN%3Fth%3D1%26psc%3D1%26tag%3Dsdcdeals03-20", "Amazon Link")</f>
        <v/>
      </c>
      <c r="G667" s="19" t="inlineStr">
        <is>
          <t>https://www.jcpenney.com/s?searchTerm={search_term}</t>
        </is>
      </c>
      <c r="H667" s="23" t="inlineStr">
        <is>
          <t>197646408489</t>
        </is>
      </c>
      <c r="I667" s="19">
        <f>HYPERLINK("https://www.jcpenney.com/s?searchTerm=197646408489", "Retail Link")</f>
        <v/>
      </c>
      <c r="J667" s="23" t="inlineStr">
        <is>
          <t>n/a</t>
        </is>
      </c>
      <c r="K667" s="21" t="inlineStr">
        <is>
          <t>PUMA Women's Court Classic Vulc Sneaker, First Class White Gold, 11</t>
        </is>
      </c>
      <c r="L667" s="24" t="n">
        <v>57</v>
      </c>
      <c r="M667" s="24" t="n">
        <v>60</v>
      </c>
      <c r="N667" s="24" t="n">
        <v>-13.7</v>
      </c>
      <c r="O667" s="24">
        <f>V667-M667</f>
        <v/>
      </c>
      <c r="P667" s="25">
        <f>N667/L667</f>
        <v/>
      </c>
      <c r="Q667" s="23" t="n">
        <v>465486</v>
      </c>
      <c r="R667" s="23" t="n"/>
      <c r="S667" s="26" t="n">
        <v>2.23107544</v>
      </c>
      <c r="T667" s="24" t="n">
        <v>59.6</v>
      </c>
      <c r="U667" s="24" t="n">
        <v>54.57</v>
      </c>
      <c r="V667" s="24" t="n">
        <v>56.84</v>
      </c>
      <c r="W667" s="26" t="inlineStr">
        <is>
          <t>PUMA Court Classic Vulc Womens Sneakers</t>
        </is>
      </c>
      <c r="X667" s="23" t="n">
        <v>3</v>
      </c>
      <c r="Y667" s="18">
        <f>AC667-AB667</f>
        <v/>
      </c>
      <c r="Z667" s="27" t="n">
        <v>11</v>
      </c>
      <c r="AA667" s="27" t="n">
        <v>48</v>
      </c>
      <c r="AB667" s="27" t="n">
        <v>0</v>
      </c>
      <c r="AC667" s="27" t="n">
        <v>24</v>
      </c>
      <c r="AD667" s="1" t="inlineStr">
        <is>
          <t>39861501</t>
        </is>
      </c>
      <c r="AE667" s="1" t="inlineStr">
        <is>
          <t>First Class-puma White-puma Gold</t>
        </is>
      </c>
      <c r="AF667" s="4" t="n">
        <v>9</v>
      </c>
      <c r="AG667" s="4" t="n">
        <v>7.7</v>
      </c>
    </row>
    <row r="668" ht="47.25" customHeight="1">
      <c r="A668" s="18" t="inlineStr">
        <is>
          <t>196859481081</t>
        </is>
      </c>
      <c r="B668" s="19" t="inlineStr">
        <is>
          <t>https://www.amazon.com/dp/</t>
        </is>
      </c>
      <c r="C668" s="20" t="inlineStr">
        <is>
          <t>B0CLPSQKZ4</t>
        </is>
      </c>
      <c r="D668" s="44" t="n"/>
      <c r="E668" s="23" t="inlineStr">
        <is>
          <t>?th=1&amp;psc=1&amp;tag=sdcdeals03-20</t>
        </is>
      </c>
      <c r="F668" s="19">
        <f>HYPERLINK("https://redirect.sdcdeals.com/redirect?destination=https%3A%2F%2Fwww.amazon.com%2Fdp%2FB0CLPSQKZ4%3Fth%3D1%26psc%3D1%26tag%3Dsdcdeals03-20", "Amazon Link")</f>
        <v/>
      </c>
      <c r="G668" s="19" t="inlineStr">
        <is>
          <t>https://www.jcpenney.com/s?searchTerm={search_term}</t>
        </is>
      </c>
      <c r="H668" s="23" t="inlineStr">
        <is>
          <t>196859481081</t>
        </is>
      </c>
      <c r="I668" s="19">
        <f>HYPERLINK("https://www.jcpenney.com/s?searchTerm=196859481081", "Retail Link")</f>
        <v/>
      </c>
      <c r="J668" s="23" t="inlineStr">
        <is>
          <t>n/a</t>
        </is>
      </c>
      <c r="K668" s="21" t="inlineStr">
        <is>
          <t>PUMA Womens Court Classic Vulc Sneaker, Alpine Snow-Toasted Almond-PUMA Womens White, 5.5</t>
        </is>
      </c>
      <c r="L668" s="24" t="n">
        <v>57</v>
      </c>
      <c r="M668" s="24" t="n">
        <v>57.4</v>
      </c>
      <c r="N668" s="24" t="n">
        <v>-14.65</v>
      </c>
      <c r="O668" s="24">
        <f>V668-M668</f>
        <v/>
      </c>
      <c r="P668" s="25">
        <f>N668/L668</f>
        <v/>
      </c>
      <c r="Q668" s="23" t="n">
        <v>326199</v>
      </c>
      <c r="R668" s="23" t="n"/>
      <c r="S668" s="26" t="n">
        <v>1.10010538</v>
      </c>
      <c r="T668" s="24" t="inlineStr"/>
      <c r="U668" s="24" t="inlineStr"/>
      <c r="V668" s="24" t="n">
        <v>57.4</v>
      </c>
      <c r="W668" s="26" t="inlineStr">
        <is>
          <t>PUMA Court Classic Vulc Womens Sneakers</t>
        </is>
      </c>
      <c r="X668" s="23" t="n"/>
      <c r="Y668" s="18">
        <f>AC668-AB668</f>
        <v/>
      </c>
      <c r="Z668" s="27" t="n">
        <v>19</v>
      </c>
      <c r="AA668" s="27" t="n">
        <v>62</v>
      </c>
      <c r="AB668" s="27" t="n">
        <v>1</v>
      </c>
      <c r="AC668" s="27" t="n">
        <v>1</v>
      </c>
      <c r="AD668" s="1" t="inlineStr">
        <is>
          <t>39763408</t>
        </is>
      </c>
      <c r="AE668" s="1" t="inlineStr">
        <is>
          <t>Alpine Snow-toasted Almond-puma White</t>
        </is>
      </c>
      <c r="AF668" s="4" t="inlineStr"/>
      <c r="AG668" s="4" t="n">
        <v>6.44</v>
      </c>
    </row>
    <row r="669" ht="47.25" customHeight="1">
      <c r="A669" s="18" t="inlineStr">
        <is>
          <t>197670255837</t>
        </is>
      </c>
      <c r="B669" s="19" t="inlineStr">
        <is>
          <t>https://www.amazon.com/dp/</t>
        </is>
      </c>
      <c r="C669" s="20" t="inlineStr">
        <is>
          <t>B0CV9QJDYF</t>
        </is>
      </c>
      <c r="D669" s="44" t="n"/>
      <c r="E669" s="23" t="inlineStr">
        <is>
          <t>?th=1&amp;psc=1&amp;tag=sdcdeals03-20</t>
        </is>
      </c>
      <c r="F669" s="19">
        <f>HYPERLINK("https://redirect.sdcdeals.com/redirect?destination=https%3A%2F%2Fwww.amazon.com%2Fdp%2FB0CV9QJDYF%3Fth%3D1%26psc%3D1%26tag%3Dsdcdeals03-20", "Amazon Link")</f>
        <v/>
      </c>
      <c r="G669" s="19" t="inlineStr">
        <is>
          <t>https://www.jcpenney.com/s?searchTerm={search_term}</t>
        </is>
      </c>
      <c r="H669" s="23" t="inlineStr">
        <is>
          <t>197670255837</t>
        </is>
      </c>
      <c r="I669" s="19">
        <f>HYPERLINK("https://www.jcpenney.com/s?searchTerm=197670255837", "Retail Link")</f>
        <v/>
      </c>
      <c r="J669" s="23" t="inlineStr">
        <is>
          <t>n/a</t>
        </is>
      </c>
      <c r="K669" s="21" t="inlineStr">
        <is>
          <t>PUMA Women's Softride Symmetry Fuzion Sneaker, Feather Gray-Mauve Mist-Rose Gold, 5.5</t>
        </is>
      </c>
      <c r="L669" s="24" t="n">
        <v>66.5</v>
      </c>
      <c r="M669" s="24" t="n">
        <v>70</v>
      </c>
      <c r="N669" s="24" t="n">
        <v>-13.61</v>
      </c>
      <c r="O669" s="24">
        <f>V669-M669</f>
        <v/>
      </c>
      <c r="P669" s="25">
        <f>N669/L669</f>
        <v/>
      </c>
      <c r="Q669" s="23" t="n">
        <v>391714</v>
      </c>
      <c r="R669" s="23" t="n"/>
      <c r="S669" s="26" t="n">
        <v>1.32056738</v>
      </c>
      <c r="T669" s="24" t="n">
        <v>70</v>
      </c>
      <c r="U669" s="24" t="n">
        <v>69.67</v>
      </c>
      <c r="V669" s="24" t="n">
        <v>69.69</v>
      </c>
      <c r="W669" s="26" t="inlineStr">
        <is>
          <t>PUMA Softride Symmetry Fuzion Womens Running Shoes</t>
        </is>
      </c>
      <c r="X669" s="23" t="n">
        <v>1</v>
      </c>
      <c r="Y669" s="18">
        <f>AC669-AB669</f>
        <v/>
      </c>
      <c r="Z669" s="27" t="n">
        <v>13</v>
      </c>
      <c r="AA669" s="27" t="n">
        <v>27</v>
      </c>
      <c r="AB669" s="27" t="n">
        <v>0</v>
      </c>
      <c r="AC669" s="27" t="n">
        <v>3</v>
      </c>
      <c r="AD669" s="1" t="inlineStr">
        <is>
          <t>31046002</t>
        </is>
      </c>
      <c r="AE669" s="1" t="inlineStr">
        <is>
          <t>Feather Gray-mauve Mist-rose Gold</t>
        </is>
      </c>
      <c r="AF669" s="4" t="n">
        <v>10.5</v>
      </c>
      <c r="AG669" s="4" t="n">
        <v>6.61</v>
      </c>
    </row>
    <row r="670" ht="47.25" customHeight="1">
      <c r="A670" s="18" t="inlineStr">
        <is>
          <t>197670255851</t>
        </is>
      </c>
      <c r="B670" s="19" t="inlineStr">
        <is>
          <t>https://www.amazon.com/dp/</t>
        </is>
      </c>
      <c r="C670" s="20" t="inlineStr">
        <is>
          <t>B0CV9KZ5MB</t>
        </is>
      </c>
      <c r="D670" s="44" t="n"/>
      <c r="E670" s="23" t="inlineStr">
        <is>
          <t>?th=1&amp;psc=1&amp;tag=sdcdeals03-20</t>
        </is>
      </c>
      <c r="F670" s="19">
        <f>HYPERLINK("https://redirect.sdcdeals.com/redirect?destination=https%3A%2F%2Fwww.amazon.com%2Fdp%2FB0CV9KZ5MB%3Fth%3D1%26psc%3D1%26tag%3Dsdcdeals03-20", "Amazon Link")</f>
        <v/>
      </c>
      <c r="G670" s="19" t="inlineStr">
        <is>
          <t>https://www.jcpenney.com/s?searchTerm={search_term}</t>
        </is>
      </c>
      <c r="H670" s="23" t="inlineStr">
        <is>
          <t>197670255851</t>
        </is>
      </c>
      <c r="I670" s="19">
        <f>HYPERLINK("https://www.jcpenney.com/s?searchTerm=197670255851", "Retail Link")</f>
        <v/>
      </c>
      <c r="J670" s="23" t="inlineStr">
        <is>
          <t>n/a</t>
        </is>
      </c>
      <c r="K670" s="21" t="inlineStr">
        <is>
          <t>PUMA Women's Softride Symmetry Fuzion Sneaker, Feather Gray-Mauve Mist-Rose Gold, 6</t>
        </is>
      </c>
      <c r="L670" s="24" t="n">
        <v>66.5</v>
      </c>
      <c r="M670" s="24" t="n">
        <v>64.95</v>
      </c>
      <c r="N670" s="24" t="n">
        <v>-17.9025</v>
      </c>
      <c r="O670" s="24">
        <f>V670-M670</f>
        <v/>
      </c>
      <c r="P670" s="25">
        <f>N670/L670</f>
        <v/>
      </c>
      <c r="Q670" s="23" t="n">
        <v>285213</v>
      </c>
      <c r="R670" s="23" t="n"/>
      <c r="S670" s="26" t="n">
        <v>1.3007258</v>
      </c>
      <c r="T670" s="24" t="n">
        <v>64.95</v>
      </c>
      <c r="U670" s="24" t="n">
        <v>64.14</v>
      </c>
      <c r="V670" s="24" t="n">
        <v>65.56</v>
      </c>
      <c r="W670" s="26" t="inlineStr">
        <is>
          <t>PUMA Softride Symmetry Fuzion Womens Running Shoes</t>
        </is>
      </c>
      <c r="X670" s="23" t="n">
        <v>3</v>
      </c>
      <c r="Y670" s="18">
        <f>AC670-AB670</f>
        <v/>
      </c>
      <c r="Z670" s="27" t="n">
        <v>12</v>
      </c>
      <c r="AA670" s="27" t="n">
        <v>32</v>
      </c>
      <c r="AB670" s="27" t="n">
        <v>0</v>
      </c>
      <c r="AC670" s="27" t="n">
        <v>3</v>
      </c>
      <c r="AD670" s="1" t="inlineStr">
        <is>
          <t>31046002</t>
        </is>
      </c>
      <c r="AE670" s="1" t="inlineStr">
        <is>
          <t>Feather Gray-mauve Mist-rose Gold</t>
        </is>
      </c>
      <c r="AF670" s="4" t="n">
        <v>9.74</v>
      </c>
      <c r="AG670" s="4" t="n">
        <v>6.61</v>
      </c>
    </row>
    <row r="671" ht="47.25" customHeight="1">
      <c r="A671" s="18" t="inlineStr">
        <is>
          <t>197670255875</t>
        </is>
      </c>
      <c r="B671" s="19" t="inlineStr">
        <is>
          <t>https://www.amazon.com/dp/</t>
        </is>
      </c>
      <c r="C671" s="20" t="inlineStr">
        <is>
          <t>B0CV9JZN66</t>
        </is>
      </c>
      <c r="D671" s="44" t="n"/>
      <c r="E671" s="23" t="inlineStr">
        <is>
          <t>?th=1&amp;psc=1&amp;tag=sdcdeals03-20</t>
        </is>
      </c>
      <c r="F671" s="19">
        <f>HYPERLINK("https://redirect.sdcdeals.com/redirect?destination=https%3A%2F%2Fwww.amazon.com%2Fdp%2FB0CV9JZN66%3Fth%3D1%26psc%3D1%26tag%3Dsdcdeals03-20", "Amazon Link")</f>
        <v/>
      </c>
      <c r="G671" s="19" t="inlineStr">
        <is>
          <t>https://www.jcpenney.com/s?searchTerm={search_term}</t>
        </is>
      </c>
      <c r="H671" s="23" t="inlineStr">
        <is>
          <t>197670255875</t>
        </is>
      </c>
      <c r="I671" s="19">
        <f>HYPERLINK("https://www.jcpenney.com/s?searchTerm=197670255875", "Retail Link")</f>
        <v/>
      </c>
      <c r="J671" s="23" t="inlineStr">
        <is>
          <t>n/a</t>
        </is>
      </c>
      <c r="K671" s="21" t="inlineStr">
        <is>
          <t>PUMA Women's Softride Symmetry Fuzion Sneaker, Feather Gray-Mauve Mist-Rose Gold, 6.5</t>
        </is>
      </c>
      <c r="L671" s="24" t="n">
        <v>66.5</v>
      </c>
      <c r="M671" s="24" t="n">
        <v>59.94</v>
      </c>
      <c r="N671" s="24" t="n">
        <v>-22.581</v>
      </c>
      <c r="O671" s="24">
        <f>V671-M671</f>
        <v/>
      </c>
      <c r="P671" s="25">
        <f>N671/L671</f>
        <v/>
      </c>
      <c r="Q671" s="23" t="n">
        <v>266340</v>
      </c>
      <c r="R671" s="23" t="n"/>
      <c r="S671" s="26" t="n">
        <v>1.34040896</v>
      </c>
      <c r="T671" s="24" t="n">
        <v>59.94</v>
      </c>
      <c r="U671" s="24" t="n">
        <v>61.24</v>
      </c>
      <c r="V671" s="24" t="n">
        <v>63.63</v>
      </c>
      <c r="W671" s="26" t="inlineStr">
        <is>
          <t>PUMA Softride Symmetry Fuzion Womens Running Shoes</t>
        </is>
      </c>
      <c r="X671" s="23" t="n">
        <v>6</v>
      </c>
      <c r="Y671" s="18">
        <f>AC671-AB671</f>
        <v/>
      </c>
      <c r="Z671" s="27" t="n">
        <v>14</v>
      </c>
      <c r="AA671" s="27" t="n">
        <v>41</v>
      </c>
      <c r="AB671" s="27" t="n">
        <v>0</v>
      </c>
      <c r="AC671" s="27" t="n">
        <v>4</v>
      </c>
      <c r="AD671" s="1" t="inlineStr">
        <is>
          <t>31046002</t>
        </is>
      </c>
      <c r="AE671" s="1" t="inlineStr">
        <is>
          <t>Feather Gray-mauve Mist-rose Gold</t>
        </is>
      </c>
      <c r="AF671" s="4" t="n">
        <v>8.99</v>
      </c>
      <c r="AG671" s="4" t="n">
        <v>7.03</v>
      </c>
    </row>
    <row r="672" ht="47.25" customHeight="1">
      <c r="A672" s="18" t="inlineStr">
        <is>
          <t>197670255899</t>
        </is>
      </c>
      <c r="B672" s="19" t="inlineStr">
        <is>
          <t>https://www.amazon.com/dp/</t>
        </is>
      </c>
      <c r="C672" s="20" t="inlineStr">
        <is>
          <t>B0CV9JM3W1</t>
        </is>
      </c>
      <c r="D672" s="44" t="n"/>
      <c r="E672" s="23" t="inlineStr">
        <is>
          <t>?th=1&amp;psc=1&amp;tag=sdcdeals03-20</t>
        </is>
      </c>
      <c r="F672" s="19">
        <f>HYPERLINK("https://redirect.sdcdeals.com/redirect?destination=https%3A%2F%2Fwww.amazon.com%2Fdp%2FB0CV9JM3W1%3Fth%3D1%26psc%3D1%26tag%3Dsdcdeals03-20", "Amazon Link")</f>
        <v/>
      </c>
      <c r="G672" s="19" t="inlineStr">
        <is>
          <t>https://www.jcpenney.com/s?searchTerm={search_term}</t>
        </is>
      </c>
      <c r="H672" s="23" t="inlineStr">
        <is>
          <t>197670255899</t>
        </is>
      </c>
      <c r="I672" s="19">
        <f>HYPERLINK("https://www.jcpenney.com/s?searchTerm=197670255899", "Retail Link")</f>
        <v/>
      </c>
      <c r="J672" s="23" t="inlineStr">
        <is>
          <t>n/a</t>
        </is>
      </c>
      <c r="K672" s="21" t="inlineStr">
        <is>
          <t>PUMA Women's Softride Symmetry Fuzion Sneaker, Feather Gray-Mauve Mist-Rose Gold, 7</t>
        </is>
      </c>
      <c r="L672" s="24" t="n">
        <v>66.5</v>
      </c>
      <c r="M672" s="24" t="n">
        <v>54.75</v>
      </c>
      <c r="N672" s="24" t="n">
        <v>-26.5725</v>
      </c>
      <c r="O672" s="24">
        <f>V672-M672</f>
        <v/>
      </c>
      <c r="P672" s="25">
        <f>N672/L672</f>
        <v/>
      </c>
      <c r="Q672" s="23" t="n">
        <v>266340</v>
      </c>
      <c r="R672" s="23" t="n"/>
      <c r="S672" s="26" t="n">
        <v>1.3889106</v>
      </c>
      <c r="T672" s="24" t="n">
        <v>54.75</v>
      </c>
      <c r="U672" s="24" t="n">
        <v>63.41</v>
      </c>
      <c r="V672" s="24" t="n">
        <v>65.2</v>
      </c>
      <c r="W672" s="26" t="inlineStr">
        <is>
          <t>PUMA Softride Symmetry Fuzion Womens Running Shoes</t>
        </is>
      </c>
      <c r="X672" s="23" t="n">
        <v>6</v>
      </c>
      <c r="Y672" s="18">
        <f>AC672-AB672</f>
        <v/>
      </c>
      <c r="Z672" s="27" t="n">
        <v>18</v>
      </c>
      <c r="AA672" s="27" t="n">
        <v>49</v>
      </c>
      <c r="AB672" s="27" t="n">
        <v>0</v>
      </c>
      <c r="AC672" s="27" t="n">
        <v>4</v>
      </c>
      <c r="AD672" s="1" t="inlineStr">
        <is>
          <t>31046002</t>
        </is>
      </c>
      <c r="AE672" s="1" t="inlineStr">
        <is>
          <t>Feather Gray-mauve Mist-rose Gold</t>
        </is>
      </c>
      <c r="AF672" s="4" t="n">
        <v>8.210000000000001</v>
      </c>
      <c r="AG672" s="4" t="n">
        <v>6.61</v>
      </c>
    </row>
    <row r="673" ht="47.25" customHeight="1">
      <c r="A673" s="18" t="inlineStr">
        <is>
          <t>197670255912</t>
        </is>
      </c>
      <c r="B673" s="19" t="inlineStr">
        <is>
          <t>https://www.amazon.com/dp/</t>
        </is>
      </c>
      <c r="C673" s="20" t="inlineStr">
        <is>
          <t>B0CV9PLZKY</t>
        </is>
      </c>
      <c r="D673" s="44" t="n"/>
      <c r="E673" s="23" t="inlineStr">
        <is>
          <t>?th=1&amp;psc=1&amp;tag=sdcdeals03-20</t>
        </is>
      </c>
      <c r="F673" s="19">
        <f>HYPERLINK("https://redirect.sdcdeals.com/redirect?destination=https%3A%2F%2Fwww.amazon.com%2Fdp%2FB0CV9PLZKY%3Fth%3D1%26psc%3D1%26tag%3Dsdcdeals03-20", "Amazon Link")</f>
        <v/>
      </c>
      <c r="G673" s="19" t="inlineStr">
        <is>
          <t>https://www.jcpenney.com/s?searchTerm={search_term}</t>
        </is>
      </c>
      <c r="H673" s="23" t="inlineStr">
        <is>
          <t>197670255912</t>
        </is>
      </c>
      <c r="I673" s="19">
        <f>HYPERLINK("https://www.jcpenney.com/s?searchTerm=197670255912", "Retail Link")</f>
        <v/>
      </c>
      <c r="J673" s="23" t="inlineStr">
        <is>
          <t>n/a</t>
        </is>
      </c>
      <c r="K673" s="21" t="inlineStr">
        <is>
          <t>PUMA Women's Softride Symmetry Fuzion Sneaker, Feather Gray-Mauve Mist-Rose Gold, 7.5</t>
        </is>
      </c>
      <c r="L673" s="24" t="n">
        <v>66.5</v>
      </c>
      <c r="M673" s="24" t="n">
        <v>58.95</v>
      </c>
      <c r="N673" s="24" t="n">
        <v>-23.4225</v>
      </c>
      <c r="O673" s="24">
        <f>V673-M673</f>
        <v/>
      </c>
      <c r="P673" s="25">
        <f>N673/L673</f>
        <v/>
      </c>
      <c r="Q673" s="23" t="n">
        <v>266340</v>
      </c>
      <c r="R673" s="23" t="n"/>
      <c r="S673" s="26" t="n">
        <v>2.20021076</v>
      </c>
      <c r="T673" s="24" t="n">
        <v>58.9</v>
      </c>
      <c r="U673" s="24" t="n">
        <v>61.55</v>
      </c>
      <c r="V673" s="24" t="n">
        <v>63.86</v>
      </c>
      <c r="W673" s="26" t="inlineStr">
        <is>
          <t>PUMA Softride Symmetry Fuzion Womens Running Shoes</t>
        </is>
      </c>
      <c r="X673" s="23" t="n">
        <v>7</v>
      </c>
      <c r="Y673" s="18">
        <f>AC673-AB673</f>
        <v/>
      </c>
      <c r="Z673" s="27" t="n">
        <v>16</v>
      </c>
      <c r="AA673" s="27" t="n">
        <v>40</v>
      </c>
      <c r="AB673" s="27" t="n">
        <v>0</v>
      </c>
      <c r="AC673" s="27" t="n">
        <v>3</v>
      </c>
      <c r="AD673" s="1" t="inlineStr">
        <is>
          <t>31046002</t>
        </is>
      </c>
      <c r="AE673" s="1" t="inlineStr">
        <is>
          <t>Feather Gray-mauve Mist-rose Gold</t>
        </is>
      </c>
      <c r="AF673" s="4" t="n">
        <v>8.84</v>
      </c>
      <c r="AG673" s="4" t="n">
        <v>7.03</v>
      </c>
    </row>
    <row r="674" ht="47.25" customHeight="1">
      <c r="A674" s="18" t="inlineStr">
        <is>
          <t>197670255943</t>
        </is>
      </c>
      <c r="B674" s="19" t="inlineStr">
        <is>
          <t>https://www.amazon.com/dp/</t>
        </is>
      </c>
      <c r="C674" s="20" t="inlineStr">
        <is>
          <t>B0CV9HX7R1</t>
        </is>
      </c>
      <c r="D674" s="44" t="n"/>
      <c r="E674" s="23" t="inlineStr">
        <is>
          <t>?th=1&amp;psc=1&amp;tag=sdcdeals03-20</t>
        </is>
      </c>
      <c r="F674" s="19">
        <f>HYPERLINK("https://redirect.sdcdeals.com/redirect?destination=https%3A%2F%2Fwww.amazon.com%2Fdp%2FB0CV9HX7R1%3Fth%3D1%26psc%3D1%26tag%3Dsdcdeals03-20", "Amazon Link")</f>
        <v/>
      </c>
      <c r="G674" s="19" t="inlineStr">
        <is>
          <t>https://www.jcpenney.com/s?searchTerm={search_term}</t>
        </is>
      </c>
      <c r="H674" s="23" t="inlineStr">
        <is>
          <t>197670255943</t>
        </is>
      </c>
      <c r="I674" s="19">
        <f>HYPERLINK("https://www.jcpenney.com/s?searchTerm=197670255943", "Retail Link")</f>
        <v/>
      </c>
      <c r="J674" s="23" t="inlineStr">
        <is>
          <t>n/a</t>
        </is>
      </c>
      <c r="K674" s="21" t="inlineStr">
        <is>
          <t>PUMA Women's Softride Symmetry Fuzion Sneaker, Feather Gray-Mauve Mist-Rose Gold, 8</t>
        </is>
      </c>
      <c r="L674" s="24" t="n">
        <v>66.5</v>
      </c>
      <c r="M674" s="24" t="n">
        <v>61.03</v>
      </c>
      <c r="N674" s="24" t="n">
        <v>-21.6545</v>
      </c>
      <c r="O674" s="24">
        <f>V674-M674</f>
        <v/>
      </c>
      <c r="P674" s="25">
        <f>N674/L674</f>
        <v/>
      </c>
      <c r="Q674" s="23" t="n">
        <v>266340</v>
      </c>
      <c r="R674" s="23" t="n"/>
      <c r="S674" s="26" t="n">
        <v>1.45945844</v>
      </c>
      <c r="T674" s="24" t="n">
        <v>59.94</v>
      </c>
      <c r="U674" s="24" t="n">
        <v>62.66</v>
      </c>
      <c r="V674" s="24" t="n">
        <v>64.73999999999999</v>
      </c>
      <c r="W674" s="26" t="inlineStr">
        <is>
          <t>PUMA Softride Symmetry Fuzion Womens Running Shoes</t>
        </is>
      </c>
      <c r="X674" s="23" t="n">
        <v>6</v>
      </c>
      <c r="Y674" s="18">
        <f>AC674-AB674</f>
        <v/>
      </c>
      <c r="Z674" s="27" t="n">
        <v>17</v>
      </c>
      <c r="AA674" s="27" t="n">
        <v>43</v>
      </c>
      <c r="AB674" s="27" t="n">
        <v>0</v>
      </c>
      <c r="AC674" s="27" t="n">
        <v>4</v>
      </c>
      <c r="AD674" s="1" t="inlineStr">
        <is>
          <t>31046002</t>
        </is>
      </c>
      <c r="AE674" s="1" t="inlineStr">
        <is>
          <t>Feather Gray-mauve Mist-rose Gold</t>
        </is>
      </c>
      <c r="AF674" s="4" t="n">
        <v>9.15</v>
      </c>
      <c r="AG674" s="4" t="n">
        <v>7.03</v>
      </c>
    </row>
    <row r="675" ht="47.25" customHeight="1">
      <c r="A675" s="18" t="inlineStr">
        <is>
          <t>197670255967</t>
        </is>
      </c>
      <c r="B675" s="19" t="inlineStr">
        <is>
          <t>https://www.amazon.com/dp/</t>
        </is>
      </c>
      <c r="C675" s="20" t="inlineStr">
        <is>
          <t>B0CV9NHLQG</t>
        </is>
      </c>
      <c r="D675" s="44" t="n"/>
      <c r="E675" s="23" t="inlineStr">
        <is>
          <t>?th=1&amp;psc=1&amp;tag=sdcdeals03-20</t>
        </is>
      </c>
      <c r="F675" s="19">
        <f>HYPERLINK("https://redirect.sdcdeals.com/redirect?destination=https%3A%2F%2Fwww.amazon.com%2Fdp%2FB0CV9NHLQG%3Fth%3D1%26psc%3D1%26tag%3Dsdcdeals03-20", "Amazon Link")</f>
        <v/>
      </c>
      <c r="G675" s="19" t="inlineStr">
        <is>
          <t>https://www.jcpenney.com/s?searchTerm={search_term}</t>
        </is>
      </c>
      <c r="H675" s="23" t="inlineStr">
        <is>
          <t>197670255967</t>
        </is>
      </c>
      <c r="I675" s="19">
        <f>HYPERLINK("https://www.jcpenney.com/s?searchTerm=197670255967", "Retail Link")</f>
        <v/>
      </c>
      <c r="J675" s="23" t="inlineStr">
        <is>
          <t>n/a</t>
        </is>
      </c>
      <c r="K675" s="21" t="inlineStr">
        <is>
          <t>PUMA Women's Softride Symmetry Fuzion Sneaker, Feather Gray-Mauve Mist-Rose Gold, 8.5</t>
        </is>
      </c>
      <c r="L675" s="24" t="n">
        <v>66.5</v>
      </c>
      <c r="M675" s="24" t="n">
        <v>59.94</v>
      </c>
      <c r="N675" s="24" t="n">
        <v>-23.091</v>
      </c>
      <c r="O675" s="24">
        <f>V675-M675</f>
        <v/>
      </c>
      <c r="P675" s="25">
        <f>N675/L675</f>
        <v/>
      </c>
      <c r="Q675" s="23" t="n">
        <v>266340</v>
      </c>
      <c r="R675" s="23" t="n"/>
      <c r="S675" s="26" t="n">
        <v>2.25091702</v>
      </c>
      <c r="T675" s="24" t="n">
        <v>59.94</v>
      </c>
      <c r="U675" s="24" t="n">
        <v>64.23999999999999</v>
      </c>
      <c r="V675" s="24" t="n">
        <v>65.87</v>
      </c>
      <c r="W675" s="26" t="inlineStr">
        <is>
          <t>PUMA Softride Symmetry Fuzion Womens Running Shoes</t>
        </is>
      </c>
      <c r="X675" s="23" t="n">
        <v>6</v>
      </c>
      <c r="Y675" s="18">
        <f>AC675-AB675</f>
        <v/>
      </c>
      <c r="Z675" s="27" t="n">
        <v>17</v>
      </c>
      <c r="AA675" s="27" t="n">
        <v>37</v>
      </c>
      <c r="AB675" s="27" t="n">
        <v>0</v>
      </c>
      <c r="AC675" s="27" t="n">
        <v>4</v>
      </c>
      <c r="AD675" s="1" t="inlineStr">
        <is>
          <t>31046002</t>
        </is>
      </c>
      <c r="AE675" s="1" t="inlineStr">
        <is>
          <t>Feather Gray-mauve Mist-rose Gold</t>
        </is>
      </c>
      <c r="AF675" s="4" t="n">
        <v>8.99</v>
      </c>
      <c r="AG675" s="4" t="n">
        <v>7.54</v>
      </c>
    </row>
    <row r="676" ht="47.25" customHeight="1">
      <c r="A676" s="18" t="inlineStr">
        <is>
          <t>197670255981</t>
        </is>
      </c>
      <c r="B676" s="19" t="inlineStr">
        <is>
          <t>https://www.amazon.com/dp/</t>
        </is>
      </c>
      <c r="C676" s="20" t="inlineStr">
        <is>
          <t>B0CV9B7SV8</t>
        </is>
      </c>
      <c r="D676" s="44" t="n"/>
      <c r="E676" s="23" t="inlineStr">
        <is>
          <t>?th=1&amp;psc=1&amp;tag=sdcdeals03-20</t>
        </is>
      </c>
      <c r="F676" s="19">
        <f>HYPERLINK("https://redirect.sdcdeals.com/redirect?destination=https%3A%2F%2Fwww.amazon.com%2Fdp%2FB0CV9B7SV8%3Fth%3D1%26psc%3D1%26tag%3Dsdcdeals03-20", "Amazon Link")</f>
        <v/>
      </c>
      <c r="G676" s="19" t="inlineStr">
        <is>
          <t>https://www.jcpenney.com/s?searchTerm={search_term}</t>
        </is>
      </c>
      <c r="H676" s="23" t="inlineStr">
        <is>
          <t>197670255981</t>
        </is>
      </c>
      <c r="I676" s="19">
        <f>HYPERLINK("https://www.jcpenney.com/s?searchTerm=197670255981", "Retail Link")</f>
        <v/>
      </c>
      <c r="J676" s="23" t="inlineStr">
        <is>
          <t>n/a</t>
        </is>
      </c>
      <c r="K676" s="21" t="inlineStr">
        <is>
          <t>PUMA Women's Softride Symmetry Fuzion Sneaker, Feather Gray-Mauve Mist-Rose Gold, 9</t>
        </is>
      </c>
      <c r="L676" s="24" t="n">
        <v>66.5</v>
      </c>
      <c r="M676" s="24" t="n">
        <v>52.12</v>
      </c>
      <c r="N676" s="24" t="n">
        <v>-29.738</v>
      </c>
      <c r="O676" s="24">
        <f>V676-M676</f>
        <v/>
      </c>
      <c r="P676" s="25">
        <f>N676/L676</f>
        <v/>
      </c>
      <c r="Q676" s="23" t="n">
        <v>266340</v>
      </c>
      <c r="R676" s="23" t="n"/>
      <c r="S676" s="26" t="n">
        <v>2.31044176</v>
      </c>
      <c r="T676" s="24" t="n">
        <v>52.12</v>
      </c>
      <c r="U676" s="24" t="n">
        <v>61.51</v>
      </c>
      <c r="V676" s="24" t="n">
        <v>63.83</v>
      </c>
      <c r="W676" s="26" t="inlineStr">
        <is>
          <t>PUMA Softride Symmetry Fuzion Womens Running Shoes</t>
        </is>
      </c>
      <c r="X676" s="23" t="n">
        <v>5</v>
      </c>
      <c r="Y676" s="18">
        <f>AC676-AB676</f>
        <v/>
      </c>
      <c r="Z676" s="27" t="n">
        <v>15</v>
      </c>
      <c r="AA676" s="27" t="n">
        <v>39</v>
      </c>
      <c r="AB676" s="27" t="n">
        <v>0</v>
      </c>
      <c r="AC676" s="27" t="n">
        <v>4</v>
      </c>
      <c r="AD676" s="1" t="inlineStr">
        <is>
          <t>31046002</t>
        </is>
      </c>
      <c r="AE676" s="1" t="inlineStr">
        <is>
          <t>Feather Gray-mauve Mist-rose Gold</t>
        </is>
      </c>
      <c r="AF676" s="4" t="n">
        <v>7.82</v>
      </c>
      <c r="AG676" s="4" t="n">
        <v>7.54</v>
      </c>
    </row>
    <row r="677" ht="47.25" customHeight="1">
      <c r="A677" s="18" t="inlineStr">
        <is>
          <t>197670256001</t>
        </is>
      </c>
      <c r="B677" s="19" t="inlineStr">
        <is>
          <t>https://www.amazon.com/dp/</t>
        </is>
      </c>
      <c r="C677" s="20" t="inlineStr">
        <is>
          <t>B0CV9MJ791</t>
        </is>
      </c>
      <c r="D677" s="44" t="n"/>
      <c r="E677" s="23" t="inlineStr">
        <is>
          <t>?th=1&amp;psc=1&amp;tag=sdcdeals03-20</t>
        </is>
      </c>
      <c r="F677" s="19">
        <f>HYPERLINK("https://redirect.sdcdeals.com/redirect?destination=https%3A%2F%2Fwww.amazon.com%2Fdp%2FB0CV9MJ791%3Fth%3D1%26psc%3D1%26tag%3Dsdcdeals03-20", "Amazon Link")</f>
        <v/>
      </c>
      <c r="G677" s="19" t="inlineStr">
        <is>
          <t>https://www.jcpenney.com/s?searchTerm={search_term}</t>
        </is>
      </c>
      <c r="H677" s="23" t="inlineStr">
        <is>
          <t>197670256001</t>
        </is>
      </c>
      <c r="I677" s="19">
        <f>HYPERLINK("https://www.jcpenney.com/s?searchTerm=197670256001", "Retail Link")</f>
        <v/>
      </c>
      <c r="J677" s="23" t="inlineStr">
        <is>
          <t>n/a</t>
        </is>
      </c>
      <c r="K677" s="21" t="inlineStr">
        <is>
          <t>PUMA Women's Softride Symmetry Fuzion Sneaker, Feather Gray-Mauve Mist-Rose Gold, 9.5</t>
        </is>
      </c>
      <c r="L677" s="24" t="n">
        <v>66.5</v>
      </c>
      <c r="M677" s="24" t="n">
        <v>61.13</v>
      </c>
      <c r="N677" s="24" t="n">
        <v>-22.2395</v>
      </c>
      <c r="O677" s="24">
        <f>V677-M677</f>
        <v/>
      </c>
      <c r="P677" s="25">
        <f>N677/L677</f>
        <v/>
      </c>
      <c r="Q677" s="23" t="n">
        <v>266340</v>
      </c>
      <c r="R677" s="23" t="n"/>
      <c r="S677" s="26" t="n">
        <v>2.3809896</v>
      </c>
      <c r="T677" s="24" t="n">
        <v>59.94</v>
      </c>
      <c r="U677" s="24" t="n">
        <v>61.72</v>
      </c>
      <c r="V677" s="24" t="n">
        <v>63.98</v>
      </c>
      <c r="W677" s="26" t="inlineStr">
        <is>
          <t>PUMA Softride Symmetry Fuzion Womens Running Shoes</t>
        </is>
      </c>
      <c r="X677" s="23" t="n">
        <v>7</v>
      </c>
      <c r="Y677" s="18">
        <f>AC677-AB677</f>
        <v/>
      </c>
      <c r="Z677" s="27" t="n">
        <v>18</v>
      </c>
      <c r="AA677" s="27" t="n">
        <v>40</v>
      </c>
      <c r="AB677" s="27" t="n">
        <v>0</v>
      </c>
      <c r="AC677" s="27" t="n">
        <v>4</v>
      </c>
      <c r="AD677" s="1" t="inlineStr">
        <is>
          <t>31046002</t>
        </is>
      </c>
      <c r="AE677" s="1" t="inlineStr">
        <is>
          <t>Feather Gray-mauve Mist-rose Gold</t>
        </is>
      </c>
      <c r="AF677" s="4" t="n">
        <v>9.17</v>
      </c>
      <c r="AG677" s="4" t="n">
        <v>7.7</v>
      </c>
    </row>
    <row r="678" ht="47.25" customHeight="1">
      <c r="A678" s="18" t="inlineStr">
        <is>
          <t>197670256018</t>
        </is>
      </c>
      <c r="B678" s="19" t="inlineStr">
        <is>
          <t>https://www.amazon.com/dp/</t>
        </is>
      </c>
      <c r="C678" s="20" t="inlineStr">
        <is>
          <t>B0CV9J88GB</t>
        </is>
      </c>
      <c r="D678" s="44" t="n"/>
      <c r="E678" s="23" t="inlineStr">
        <is>
          <t>?th=1&amp;psc=1&amp;tag=sdcdeals03-20</t>
        </is>
      </c>
      <c r="F678" s="19">
        <f>HYPERLINK("https://redirect.sdcdeals.com/redirect?destination=https%3A%2F%2Fwww.amazon.com%2Fdp%2FB0CV9J88GB%3Fth%3D1%26psc%3D1%26tag%3Dsdcdeals03-20", "Amazon Link")</f>
        <v/>
      </c>
      <c r="G678" s="19" t="inlineStr">
        <is>
          <t>https://www.jcpenney.com/s?searchTerm={search_term}</t>
        </is>
      </c>
      <c r="H678" s="23" t="inlineStr">
        <is>
          <t>197670256018</t>
        </is>
      </c>
      <c r="I678" s="19">
        <f>HYPERLINK("https://www.jcpenney.com/s?searchTerm=197670256018", "Retail Link")</f>
        <v/>
      </c>
      <c r="J678" s="23" t="inlineStr">
        <is>
          <t>n/a</t>
        </is>
      </c>
      <c r="K678" s="21" t="inlineStr">
        <is>
          <t>PUMA Women's Softride Symmetry Fuzion Sneaker, Feather Gray-Mauve Mist-Rose Gold, 10</t>
        </is>
      </c>
      <c r="L678" s="24" t="n">
        <v>66.5</v>
      </c>
      <c r="M678" s="24" t="n">
        <v>59.94</v>
      </c>
      <c r="N678" s="24" t="n">
        <v>-23.171</v>
      </c>
      <c r="O678" s="24">
        <f>V678-M678</f>
        <v/>
      </c>
      <c r="P678" s="25">
        <f>N678/L678</f>
        <v/>
      </c>
      <c r="Q678" s="23" t="n">
        <v>266340</v>
      </c>
      <c r="R678" s="23" t="n"/>
      <c r="S678" s="26" t="n">
        <v>2.42949124</v>
      </c>
      <c r="T678" s="24" t="n">
        <v>59.94</v>
      </c>
      <c r="U678" s="24" t="n">
        <v>63.6</v>
      </c>
      <c r="V678" s="24" t="n">
        <v>65.34</v>
      </c>
      <c r="W678" s="26" t="inlineStr">
        <is>
          <t>PUMA Softride Symmetry Fuzion Womens Running Shoes</t>
        </is>
      </c>
      <c r="X678" s="23" t="n">
        <v>7</v>
      </c>
      <c r="Y678" s="18">
        <f>AC678-AB678</f>
        <v/>
      </c>
      <c r="Z678" s="27" t="n">
        <v>18</v>
      </c>
      <c r="AA678" s="27" t="n">
        <v>42</v>
      </c>
      <c r="AB678" s="27" t="n">
        <v>0</v>
      </c>
      <c r="AC678" s="27" t="n">
        <v>4</v>
      </c>
      <c r="AD678" s="1" t="inlineStr">
        <is>
          <t>31046002</t>
        </is>
      </c>
      <c r="AE678" s="1" t="inlineStr">
        <is>
          <t>Feather Gray-mauve Mist-rose Gold</t>
        </is>
      </c>
      <c r="AF678" s="4" t="n">
        <v>8.99</v>
      </c>
      <c r="AG678" s="4" t="n">
        <v>7.62</v>
      </c>
    </row>
    <row r="679" ht="47.25" customHeight="1">
      <c r="A679" s="18" t="inlineStr">
        <is>
          <t>197671721867</t>
        </is>
      </c>
      <c r="B679" s="19" t="inlineStr">
        <is>
          <t>https://www.amazon.com/dp/</t>
        </is>
      </c>
      <c r="C679" s="20" t="inlineStr">
        <is>
          <t>B0D32B778C</t>
        </is>
      </c>
      <c r="D679" s="44" t="n"/>
      <c r="E679" s="23" t="inlineStr">
        <is>
          <t>?th=1&amp;psc=1&amp;tag=sdcdeals03-20</t>
        </is>
      </c>
      <c r="F679" s="19">
        <f>HYPERLINK("https://redirect.sdcdeals.com/redirect?destination=https%3A%2F%2Fwww.amazon.com%2Fdp%2FB0D32B778C%3Fth%3D1%26psc%3D1%26tag%3Dsdcdeals03-20", "Amazon Link")</f>
        <v/>
      </c>
      <c r="G679" s="19" t="inlineStr">
        <is>
          <t>https://www.jcpenney.com/s?searchTerm={search_term}</t>
        </is>
      </c>
      <c r="H679" s="23" t="inlineStr">
        <is>
          <t>197671721867</t>
        </is>
      </c>
      <c r="I679" s="19">
        <f>HYPERLINK("https://www.jcpenney.com/s?searchTerm=197671721867", "Retail Link")</f>
        <v/>
      </c>
      <c r="J679" s="23" t="inlineStr">
        <is>
          <t>n/a</t>
        </is>
      </c>
      <c r="K679" s="21" t="inlineStr">
        <is>
          <t>PUMA Women's Carina Street Sneaker, Blingbling White White-Metallic Gold, 5.5</t>
        </is>
      </c>
      <c r="L679" s="24" t="n">
        <v>71.25</v>
      </c>
      <c r="M679" s="24" t="n">
        <v>29.38</v>
      </c>
      <c r="N679" s="24" t="n">
        <v>-53.307</v>
      </c>
      <c r="O679" s="24">
        <f>V679-M679</f>
        <v/>
      </c>
      <c r="P679" s="25">
        <f>N679/L679</f>
        <v/>
      </c>
      <c r="Q679" s="23" t="n"/>
      <c r="R679" s="23" t="n"/>
      <c r="S679" s="26" t="n">
        <v>1.69976202</v>
      </c>
      <c r="T679" s="24" t="n">
        <v>29.38</v>
      </c>
      <c r="U679" s="24" t="n">
        <v>51.64</v>
      </c>
      <c r="V679" s="24" t="n">
        <v>58.02</v>
      </c>
      <c r="W679" s="26" t="inlineStr">
        <is>
          <t>PUMA Carina Street Blingbling Womens Sneakers</t>
        </is>
      </c>
      <c r="X679" s="23" t="n">
        <v>1</v>
      </c>
      <c r="Y679" s="18">
        <f>AC679-AB679</f>
        <v/>
      </c>
      <c r="Z679" s="27" t="n">
        <v>-1</v>
      </c>
      <c r="AA679" s="27" t="n">
        <v>-1</v>
      </c>
      <c r="AB679" s="27" t="n"/>
      <c r="AC679" s="27" t="n"/>
      <c r="AD679" s="1" t="inlineStr">
        <is>
          <t>39907601</t>
        </is>
      </c>
      <c r="AE679" s="1" t="inlineStr">
        <is>
          <t>Blingbling-puma White-puma White-metallic Gold</t>
        </is>
      </c>
      <c r="AF679" s="4" t="n">
        <v>4.41</v>
      </c>
      <c r="AG679" s="4" t="n">
        <v>7.03</v>
      </c>
    </row>
    <row r="680" ht="47.25" customHeight="1">
      <c r="A680" s="18" t="inlineStr">
        <is>
          <t>197671721928</t>
        </is>
      </c>
      <c r="B680" s="19" t="inlineStr">
        <is>
          <t>https://www.amazon.com/dp/</t>
        </is>
      </c>
      <c r="C680" s="20" t="inlineStr">
        <is>
          <t>B0D329G2DQ</t>
        </is>
      </c>
      <c r="D680" s="44" t="n"/>
      <c r="E680" s="23" t="inlineStr">
        <is>
          <t>?th=1&amp;psc=1&amp;tag=sdcdeals03-20</t>
        </is>
      </c>
      <c r="F680" s="19">
        <f>HYPERLINK("https://redirect.sdcdeals.com/redirect?destination=https%3A%2F%2Fwww.amazon.com%2Fdp%2FB0D329G2DQ%3Fth%3D1%26psc%3D1%26tag%3Dsdcdeals03-20", "Amazon Link")</f>
        <v/>
      </c>
      <c r="G680" s="19" t="inlineStr">
        <is>
          <t>https://www.jcpenney.com/s?searchTerm={search_term}</t>
        </is>
      </c>
      <c r="H680" s="23" t="inlineStr">
        <is>
          <t>197671721928</t>
        </is>
      </c>
      <c r="I680" s="19">
        <f>HYPERLINK("https://www.jcpenney.com/s?searchTerm=197671721928", "Retail Link")</f>
        <v/>
      </c>
      <c r="J680" s="23" t="inlineStr">
        <is>
          <t>n/a</t>
        </is>
      </c>
      <c r="K680" s="21" t="inlineStr">
        <is>
          <t>PUMA Women's Carina Street Sneaker, Blingbling White White-Metallic Gold, 6</t>
        </is>
      </c>
      <c r="L680" s="24" t="n">
        <v>71.25</v>
      </c>
      <c r="M680" s="24" t="n">
        <v>24.83</v>
      </c>
      <c r="N680" s="24" t="n">
        <v>-57.1745</v>
      </c>
      <c r="O680" s="24">
        <f>V680-M680</f>
        <v/>
      </c>
      <c r="P680" s="25">
        <f>N680/L680</f>
        <v/>
      </c>
      <c r="Q680" s="23" t="n"/>
      <c r="R680" s="23" t="n"/>
      <c r="S680" s="26" t="n">
        <v>1.69976202</v>
      </c>
      <c r="T680" s="24" t="n">
        <v>24.83</v>
      </c>
      <c r="U680" s="24" t="n">
        <v>48.5</v>
      </c>
      <c r="V680" s="24" t="n">
        <v>57.72</v>
      </c>
      <c r="W680" s="26" t="inlineStr">
        <is>
          <t>PUMA Carina Street Blingbling Womens Sneakers</t>
        </is>
      </c>
      <c r="X680" s="23" t="n">
        <v>2</v>
      </c>
      <c r="Y680" s="18">
        <f>AC680-AB680</f>
        <v/>
      </c>
      <c r="Z680" s="27" t="n">
        <v>-1</v>
      </c>
      <c r="AA680" s="27" t="n">
        <v>-1</v>
      </c>
      <c r="AB680" s="27" t="n"/>
      <c r="AC680" s="27" t="n"/>
      <c r="AD680" s="1" t="inlineStr">
        <is>
          <t>39907601</t>
        </is>
      </c>
      <c r="AE680" s="1" t="inlineStr">
        <is>
          <t>Blingbling-puma White-puma White-metallic Gold</t>
        </is>
      </c>
      <c r="AF680" s="4" t="n">
        <v>3.72</v>
      </c>
      <c r="AG680" s="4" t="n">
        <v>7.03</v>
      </c>
    </row>
    <row r="681" ht="47.25" customHeight="1">
      <c r="A681" s="18" t="inlineStr">
        <is>
          <t>197671721874</t>
        </is>
      </c>
      <c r="B681" s="19" t="inlineStr">
        <is>
          <t>https://www.amazon.com/dp/</t>
        </is>
      </c>
      <c r="C681" s="20" t="inlineStr">
        <is>
          <t>B0D32BNJXG</t>
        </is>
      </c>
      <c r="D681" s="44" t="n"/>
      <c r="E681" s="23" t="inlineStr">
        <is>
          <t>?th=1&amp;psc=1&amp;tag=sdcdeals03-20</t>
        </is>
      </c>
      <c r="F681" s="19">
        <f>HYPERLINK("https://redirect.sdcdeals.com/redirect?destination=https%3A%2F%2Fwww.amazon.com%2Fdp%2FB0D32BNJXG%3Fth%3D1%26psc%3D1%26tag%3Dsdcdeals03-20", "Amazon Link")</f>
        <v/>
      </c>
      <c r="G681" s="19" t="inlineStr">
        <is>
          <t>https://www.jcpenney.com/s?searchTerm={search_term}</t>
        </is>
      </c>
      <c r="H681" s="23" t="inlineStr">
        <is>
          <t>197671721874</t>
        </is>
      </c>
      <c r="I681" s="19">
        <f>HYPERLINK("https://www.jcpenney.com/s?searchTerm=197671721874", "Retail Link")</f>
        <v/>
      </c>
      <c r="J681" s="23" t="inlineStr">
        <is>
          <t>n/a</t>
        </is>
      </c>
      <c r="K681" s="21" t="inlineStr">
        <is>
          <t>PUMA Women's Carina Street Sneaker, Blingbling White White-Metallic Gold, 6.5</t>
        </is>
      </c>
      <c r="L681" s="24" t="n">
        <v>71.25</v>
      </c>
      <c r="M681" s="24" t="n">
        <v>23.87</v>
      </c>
      <c r="N681" s="24" t="n">
        <v>-57.9905</v>
      </c>
      <c r="O681" s="24">
        <f>V681-M681</f>
        <v/>
      </c>
      <c r="P681" s="25">
        <f>N681/L681</f>
        <v/>
      </c>
      <c r="Q681" s="23" t="n"/>
      <c r="R681" s="23" t="n"/>
      <c r="S681" s="26" t="n">
        <v>1.75928676</v>
      </c>
      <c r="T681" s="24" t="n">
        <v>23.87</v>
      </c>
      <c r="U681" s="24" t="n">
        <v>47.08</v>
      </c>
      <c r="V681" s="24" t="n">
        <v>56.9</v>
      </c>
      <c r="W681" s="26" t="inlineStr">
        <is>
          <t>PUMA Carina Street Blingbling Womens Sneakers</t>
        </is>
      </c>
      <c r="X681" s="23" t="n">
        <v>2</v>
      </c>
      <c r="Y681" s="18">
        <f>AC681-AB681</f>
        <v/>
      </c>
      <c r="Z681" s="27" t="n">
        <v>-1</v>
      </c>
      <c r="AA681" s="27" t="n">
        <v>-1</v>
      </c>
      <c r="AB681" s="27" t="n"/>
      <c r="AC681" s="27" t="n"/>
      <c r="AD681" s="1" t="inlineStr">
        <is>
          <t>39907601</t>
        </is>
      </c>
      <c r="AE681" s="1" t="inlineStr">
        <is>
          <t>Blingbling-puma White-puma White-metallic Gold</t>
        </is>
      </c>
      <c r="AF681" s="4" t="n">
        <v>3.58</v>
      </c>
      <c r="AG681" s="4" t="n">
        <v>7.03</v>
      </c>
    </row>
    <row r="682" ht="47.25" customHeight="1">
      <c r="A682" s="18" t="inlineStr">
        <is>
          <t>197671721935</t>
        </is>
      </c>
      <c r="B682" s="19" t="inlineStr">
        <is>
          <t>https://www.amazon.com/dp/</t>
        </is>
      </c>
      <c r="C682" s="20" t="inlineStr">
        <is>
          <t>B0D32BHF5L</t>
        </is>
      </c>
      <c r="D682" s="44" t="n"/>
      <c r="E682" s="23" t="inlineStr">
        <is>
          <t>?th=1&amp;psc=1&amp;tag=sdcdeals03-20</t>
        </is>
      </c>
      <c r="F682" s="19">
        <f>HYPERLINK("https://redirect.sdcdeals.com/redirect?destination=https%3A%2F%2Fwww.amazon.com%2Fdp%2FB0D32BHF5L%3Fth%3D1%26psc%3D1%26tag%3Dsdcdeals03-20", "Amazon Link")</f>
        <v/>
      </c>
      <c r="G682" s="19" t="inlineStr">
        <is>
          <t>https://www.jcpenney.com/s?searchTerm={search_term}</t>
        </is>
      </c>
      <c r="H682" s="23" t="inlineStr">
        <is>
          <t>197671721935</t>
        </is>
      </c>
      <c r="I682" s="19">
        <f>HYPERLINK("https://www.jcpenney.com/s?searchTerm=197671721935", "Retail Link")</f>
        <v/>
      </c>
      <c r="J682" s="23" t="inlineStr">
        <is>
          <t>n/a</t>
        </is>
      </c>
      <c r="K682" s="21" t="inlineStr">
        <is>
          <t>PUMA Women's Carina Street Sneaker, Blingbling White White-Metallic Gold, 7</t>
        </is>
      </c>
      <c r="L682" s="24" t="n">
        <v>71.25</v>
      </c>
      <c r="M682" s="24" t="n">
        <v>22.19</v>
      </c>
      <c r="N682" s="24" t="n">
        <v>-59.4185</v>
      </c>
      <c r="O682" s="24">
        <f>V682-M682</f>
        <v/>
      </c>
      <c r="P682" s="25">
        <f>N682/L682</f>
        <v/>
      </c>
      <c r="Q682" s="23" t="n"/>
      <c r="R682" s="23" t="n"/>
      <c r="S682" s="26" t="n">
        <v>1.84967618</v>
      </c>
      <c r="T682" s="24" t="n">
        <v>22.19</v>
      </c>
      <c r="U682" s="24" t="n">
        <v>43.44</v>
      </c>
      <c r="V682" s="24" t="n">
        <v>54.56</v>
      </c>
      <c r="W682" s="26" t="inlineStr">
        <is>
          <t>PUMA Carina Street Blingbling Womens Sneakers</t>
        </is>
      </c>
      <c r="X682" s="23" t="n">
        <v>2</v>
      </c>
      <c r="Y682" s="18">
        <f>AC682-AB682</f>
        <v/>
      </c>
      <c r="Z682" s="27" t="n">
        <v>-1</v>
      </c>
      <c r="AA682" s="27" t="n">
        <v>-1</v>
      </c>
      <c r="AB682" s="27" t="n"/>
      <c r="AC682" s="27" t="n"/>
      <c r="AD682" s="1" t="inlineStr">
        <is>
          <t>39907601</t>
        </is>
      </c>
      <c r="AE682" s="1" t="inlineStr">
        <is>
          <t>Blingbling-puma White-puma White-metallic Gold</t>
        </is>
      </c>
      <c r="AF682" s="4" t="n">
        <v>3.33</v>
      </c>
      <c r="AG682" s="4" t="n">
        <v>7.03</v>
      </c>
    </row>
    <row r="683" ht="47.25" customHeight="1">
      <c r="A683" s="18" t="inlineStr">
        <is>
          <t>197671721881</t>
        </is>
      </c>
      <c r="B683" s="19" t="inlineStr">
        <is>
          <t>https://www.amazon.com/dp/</t>
        </is>
      </c>
      <c r="C683" s="20" t="inlineStr">
        <is>
          <t>B0D329GM2K</t>
        </is>
      </c>
      <c r="D683" s="44" t="n"/>
      <c r="E683" s="23" t="inlineStr">
        <is>
          <t>?th=1&amp;psc=1&amp;tag=sdcdeals03-20</t>
        </is>
      </c>
      <c r="F683" s="19">
        <f>HYPERLINK("https://redirect.sdcdeals.com/redirect?destination=https%3A%2F%2Fwww.amazon.com%2Fdp%2FB0D329GM2K%3Fth%3D1%26psc%3D1%26tag%3Dsdcdeals03-20", "Amazon Link")</f>
        <v/>
      </c>
      <c r="G683" s="19" t="inlineStr">
        <is>
          <t>https://www.jcpenney.com/s?searchTerm={search_term}</t>
        </is>
      </c>
      <c r="H683" s="23" t="inlineStr">
        <is>
          <t>197671721881</t>
        </is>
      </c>
      <c r="I683" s="19">
        <f>HYPERLINK("https://www.jcpenney.com/s?searchTerm=197671721881", "Retail Link")</f>
        <v/>
      </c>
      <c r="J683" s="23" t="inlineStr">
        <is>
          <t>n/a</t>
        </is>
      </c>
      <c r="K683" s="21" t="inlineStr">
        <is>
          <t>PUMA Women's Carina Street Sneaker, Blingbling White White-Metallic Gold, 7.5</t>
        </is>
      </c>
      <c r="L683" s="24" t="n">
        <v>71.25</v>
      </c>
      <c r="M683" s="24" t="n">
        <v>24.24</v>
      </c>
      <c r="N683" s="24" t="n">
        <v>-58.26600000000001</v>
      </c>
      <c r="O683" s="24">
        <f>V683-M683</f>
        <v/>
      </c>
      <c r="P683" s="25">
        <f>N683/L683</f>
        <v/>
      </c>
      <c r="Q683" s="23" t="n"/>
      <c r="R683" s="23" t="n"/>
      <c r="S683" s="26" t="n">
        <v>1.9400656</v>
      </c>
      <c r="T683" s="24" t="n">
        <v>24.24</v>
      </c>
      <c r="U683" s="24" t="n">
        <v>48.22</v>
      </c>
      <c r="V683" s="24" t="n">
        <v>57.37</v>
      </c>
      <c r="W683" s="26" t="inlineStr">
        <is>
          <t>PUMA Carina Street Blingbling Womens Sneakers</t>
        </is>
      </c>
      <c r="X683" s="23" t="n">
        <v>2</v>
      </c>
      <c r="Y683" s="18">
        <f>AC683-AB683</f>
        <v/>
      </c>
      <c r="Z683" s="27" t="n">
        <v>-1</v>
      </c>
      <c r="AA683" s="27" t="n">
        <v>-1</v>
      </c>
      <c r="AB683" s="27" t="n"/>
      <c r="AC683" s="27" t="n"/>
      <c r="AD683" s="1" t="inlineStr">
        <is>
          <t>39907601</t>
        </is>
      </c>
      <c r="AE683" s="1" t="inlineStr">
        <is>
          <t>Blingbling-puma White-puma White-metallic Gold</t>
        </is>
      </c>
      <c r="AF683" s="4" t="n">
        <v>3.64</v>
      </c>
      <c r="AG683" s="4" t="n">
        <v>7.62</v>
      </c>
    </row>
    <row r="684" ht="47.25" customHeight="1">
      <c r="A684" s="18" t="inlineStr">
        <is>
          <t>197671721942</t>
        </is>
      </c>
      <c r="B684" s="19" t="inlineStr">
        <is>
          <t>https://www.amazon.com/dp/</t>
        </is>
      </c>
      <c r="C684" s="20" t="inlineStr">
        <is>
          <t>B0D32C5N17</t>
        </is>
      </c>
      <c r="D684" s="44" t="n"/>
      <c r="E684" s="23" t="inlineStr">
        <is>
          <t>?th=1&amp;psc=1&amp;tag=sdcdeals03-20</t>
        </is>
      </c>
      <c r="F684" s="19">
        <f>HYPERLINK("https://redirect.sdcdeals.com/redirect?destination=https%3A%2F%2Fwww.amazon.com%2Fdp%2FB0D32C5N17%3Fth%3D1%26psc%3D1%26tag%3Dsdcdeals03-20", "Amazon Link")</f>
        <v/>
      </c>
      <c r="G684" s="19" t="inlineStr">
        <is>
          <t>https://www.jcpenney.com/s?searchTerm={search_term}</t>
        </is>
      </c>
      <c r="H684" s="23" t="inlineStr">
        <is>
          <t>197671721942</t>
        </is>
      </c>
      <c r="I684" s="19">
        <f>HYPERLINK("https://www.jcpenney.com/s?searchTerm=197671721942", "Retail Link")</f>
        <v/>
      </c>
      <c r="J684" s="23" t="inlineStr">
        <is>
          <t>n/a</t>
        </is>
      </c>
      <c r="K684" s="21" t="inlineStr">
        <is>
          <t>PUMA Women's Carina Street Sneaker, Blingbling White White-Metallic Gold, 8</t>
        </is>
      </c>
      <c r="L684" s="24" t="n">
        <v>71.25</v>
      </c>
      <c r="M684" s="24" t="n">
        <v>23.87</v>
      </c>
      <c r="N684" s="24" t="n">
        <v>-58.5805</v>
      </c>
      <c r="O684" s="24">
        <f>V684-M684</f>
        <v/>
      </c>
      <c r="P684" s="25">
        <f>N684/L684</f>
        <v/>
      </c>
      <c r="Q684" s="23" t="n"/>
      <c r="R684" s="23" t="n"/>
      <c r="S684" s="26" t="n">
        <v>1.95990718</v>
      </c>
      <c r="T684" s="24" t="n">
        <v>23.87</v>
      </c>
      <c r="U684" s="24" t="n">
        <v>48.16</v>
      </c>
      <c r="V684" s="24" t="n">
        <v>57.44</v>
      </c>
      <c r="W684" s="26" t="inlineStr">
        <is>
          <t>PUMA Carina Street Blingbling Womens Sneakers</t>
        </is>
      </c>
      <c r="X684" s="23" t="n">
        <v>2</v>
      </c>
      <c r="Y684" s="18">
        <f>AC684-AB684</f>
        <v/>
      </c>
      <c r="Z684" s="27" t="n">
        <v>-1</v>
      </c>
      <c r="AA684" s="27" t="n">
        <v>-1</v>
      </c>
      <c r="AB684" s="27" t="n"/>
      <c r="AC684" s="27" t="n"/>
      <c r="AD684" s="1" t="inlineStr">
        <is>
          <t>39907601</t>
        </is>
      </c>
      <c r="AE684" s="1" t="inlineStr">
        <is>
          <t>Blingbling-puma White-puma White-metallic Gold</t>
        </is>
      </c>
      <c r="AF684" s="4" t="n">
        <v>3.58</v>
      </c>
      <c r="AG684" s="4" t="n">
        <v>7.62</v>
      </c>
    </row>
    <row r="685" ht="47.25" customHeight="1">
      <c r="A685" s="18" t="inlineStr">
        <is>
          <t>197671721898</t>
        </is>
      </c>
      <c r="B685" s="19" t="inlineStr">
        <is>
          <t>https://www.amazon.com/dp/</t>
        </is>
      </c>
      <c r="C685" s="20" t="inlineStr">
        <is>
          <t>B0D32B8PJB</t>
        </is>
      </c>
      <c r="D685" s="44" t="n"/>
      <c r="E685" s="23" t="inlineStr">
        <is>
          <t>?th=1&amp;psc=1&amp;tag=sdcdeals03-20</t>
        </is>
      </c>
      <c r="F685" s="19">
        <f>HYPERLINK("https://redirect.sdcdeals.com/redirect?destination=https%3A%2F%2Fwww.amazon.com%2Fdp%2FB0D32B8PJB%3Fth%3D1%26psc%3D1%26tag%3Dsdcdeals03-20", "Amazon Link")</f>
        <v/>
      </c>
      <c r="G685" s="19" t="inlineStr">
        <is>
          <t>https://www.jcpenney.com/s?searchTerm={search_term}</t>
        </is>
      </c>
      <c r="H685" s="23" t="inlineStr">
        <is>
          <t>197671721898</t>
        </is>
      </c>
      <c r="I685" s="19">
        <f>HYPERLINK("https://www.jcpenney.com/s?searchTerm=197671721898", "Retail Link")</f>
        <v/>
      </c>
      <c r="J685" s="23" t="inlineStr">
        <is>
          <t>n/a</t>
        </is>
      </c>
      <c r="K685" s="21" t="inlineStr">
        <is>
          <t>PUMA Women's Carina Street Sneaker, Blingbling White White-Metallic Gold, 8.5</t>
        </is>
      </c>
      <c r="L685" s="24" t="n">
        <v>71.25</v>
      </c>
      <c r="M685" s="24" t="n">
        <v>22.28</v>
      </c>
      <c r="N685" s="24" t="n">
        <v>-59.932</v>
      </c>
      <c r="O685" s="24">
        <f>V685-M685</f>
        <v/>
      </c>
      <c r="P685" s="25">
        <f>N685/L685</f>
        <v/>
      </c>
      <c r="Q685" s="23" t="n"/>
      <c r="R685" s="23" t="n"/>
      <c r="S685" s="26" t="n">
        <v>1.97974876</v>
      </c>
      <c r="T685" s="24" t="n">
        <v>22.28</v>
      </c>
      <c r="U685" s="24" t="n">
        <v>44.87</v>
      </c>
      <c r="V685" s="24" t="n">
        <v>55.5</v>
      </c>
      <c r="W685" s="26" t="inlineStr">
        <is>
          <t>PUMA Carina Street Blingbling Womens Sneakers</t>
        </is>
      </c>
      <c r="X685" s="23" t="n">
        <v>2</v>
      </c>
      <c r="Y685" s="18">
        <f>AC685-AB685</f>
        <v/>
      </c>
      <c r="Z685" s="27" t="n">
        <v>-1</v>
      </c>
      <c r="AA685" s="27" t="n">
        <v>-1</v>
      </c>
      <c r="AB685" s="27" t="n"/>
      <c r="AC685" s="27" t="n"/>
      <c r="AD685" s="1" t="inlineStr">
        <is>
          <t>39907601</t>
        </is>
      </c>
      <c r="AE685" s="1" t="inlineStr">
        <is>
          <t>Blingbling-puma White-puma White-metallic Gold</t>
        </is>
      </c>
      <c r="AF685" s="4" t="n">
        <v>3.34</v>
      </c>
      <c r="AG685" s="4" t="n">
        <v>7.62</v>
      </c>
    </row>
    <row r="686" ht="47.25" customHeight="1">
      <c r="A686" s="18" t="inlineStr">
        <is>
          <t>197671721959</t>
        </is>
      </c>
      <c r="B686" s="19" t="inlineStr">
        <is>
          <t>https://www.amazon.com/dp/</t>
        </is>
      </c>
      <c r="C686" s="20" t="inlineStr">
        <is>
          <t>B0D32D4SV5</t>
        </is>
      </c>
      <c r="D686" s="44" t="n"/>
      <c r="E686" s="23" t="inlineStr">
        <is>
          <t>?th=1&amp;psc=1&amp;tag=sdcdeals03-20</t>
        </is>
      </c>
      <c r="F686" s="19">
        <f>HYPERLINK("https://redirect.sdcdeals.com/redirect?destination=https%3A%2F%2Fwww.amazon.com%2Fdp%2FB0D32D4SV5%3Fth%3D1%26psc%3D1%26tag%3Dsdcdeals03-20", "Amazon Link")</f>
        <v/>
      </c>
      <c r="G686" s="19" t="inlineStr">
        <is>
          <t>https://www.jcpenney.com/s?searchTerm={search_term}</t>
        </is>
      </c>
      <c r="H686" s="23" t="inlineStr">
        <is>
          <t>197671721959</t>
        </is>
      </c>
      <c r="I686" s="19">
        <f>HYPERLINK("https://www.jcpenney.com/s?searchTerm=197671721959", "Retail Link")</f>
        <v/>
      </c>
      <c r="J686" s="23" t="inlineStr">
        <is>
          <t>n/a</t>
        </is>
      </c>
      <c r="K686" s="21" t="inlineStr">
        <is>
          <t>PUMA Women's Carina Street Sneaker, Blingbling White White-Metallic Gold, 9</t>
        </is>
      </c>
      <c r="L686" s="24" t="n">
        <v>71.25</v>
      </c>
      <c r="M686" s="24" t="n">
        <v>22.71</v>
      </c>
      <c r="N686" s="24" t="n">
        <v>-59.5665</v>
      </c>
      <c r="O686" s="24">
        <f>V686-M686</f>
        <v/>
      </c>
      <c r="P686" s="25">
        <f>N686/L686</f>
        <v/>
      </c>
      <c r="Q686" s="23" t="n"/>
      <c r="R686" s="23" t="n"/>
      <c r="S686" s="26" t="n">
        <v>2.0502966</v>
      </c>
      <c r="T686" s="24" t="n">
        <v>22.71</v>
      </c>
      <c r="U686" s="24" t="n">
        <v>46.22</v>
      </c>
      <c r="V686" s="24" t="n">
        <v>56.09</v>
      </c>
      <c r="W686" s="26" t="inlineStr">
        <is>
          <t>PUMA Carina Street Blingbling Womens Sneakers</t>
        </is>
      </c>
      <c r="X686" s="23" t="n">
        <v>2</v>
      </c>
      <c r="Y686" s="18">
        <f>AC686-AB686</f>
        <v/>
      </c>
      <c r="Z686" s="27" t="n">
        <v>-1</v>
      </c>
      <c r="AA686" s="27" t="n">
        <v>-1</v>
      </c>
      <c r="AB686" s="27" t="n"/>
      <c r="AC686" s="27" t="n"/>
      <c r="AD686" s="1" t="inlineStr">
        <is>
          <t>39907601</t>
        </is>
      </c>
      <c r="AE686" s="1" t="inlineStr">
        <is>
          <t>Blingbling-puma White-puma White-metallic Gold</t>
        </is>
      </c>
      <c r="AF686" s="4" t="n">
        <v>3.41</v>
      </c>
      <c r="AG686" s="4" t="n">
        <v>7.62</v>
      </c>
    </row>
    <row r="687" ht="47.25" customHeight="1">
      <c r="A687" s="18" t="inlineStr">
        <is>
          <t>197671721904</t>
        </is>
      </c>
      <c r="B687" s="19" t="inlineStr">
        <is>
          <t>https://www.amazon.com/dp/</t>
        </is>
      </c>
      <c r="C687" s="20" t="inlineStr">
        <is>
          <t>B0D32BV4X1</t>
        </is>
      </c>
      <c r="D687" s="44" t="n"/>
      <c r="E687" s="23" t="inlineStr">
        <is>
          <t>?th=1&amp;psc=1&amp;tag=sdcdeals03-20</t>
        </is>
      </c>
      <c r="F687" s="19">
        <f>HYPERLINK("https://redirect.sdcdeals.com/redirect?destination=https%3A%2F%2Fwww.amazon.com%2Fdp%2FB0D32BV4X1%3Fth%3D1%26psc%3D1%26tag%3Dsdcdeals03-20", "Amazon Link")</f>
        <v/>
      </c>
      <c r="G687" s="19" t="inlineStr">
        <is>
          <t>https://www.jcpenney.com/s?searchTerm={search_term}</t>
        </is>
      </c>
      <c r="H687" s="23" t="inlineStr">
        <is>
          <t>197671721904</t>
        </is>
      </c>
      <c r="I687" s="19">
        <f>HYPERLINK("https://www.jcpenney.com/s?searchTerm=197671721904", "Retail Link")</f>
        <v/>
      </c>
      <c r="J687" s="23" t="inlineStr">
        <is>
          <t>n/a</t>
        </is>
      </c>
      <c r="K687" s="21" t="inlineStr">
        <is>
          <t>PUMA Women's Carina Street Sneaker, Blingbling White White-Metallic Gold, 9.5</t>
        </is>
      </c>
      <c r="L687" s="24" t="n">
        <v>71.25</v>
      </c>
      <c r="M687" s="24" t="n">
        <v>22.71</v>
      </c>
      <c r="N687" s="24" t="n">
        <v>-59.8065</v>
      </c>
      <c r="O687" s="24">
        <f>V687-M687</f>
        <v/>
      </c>
      <c r="P687" s="25">
        <f>N687/L687</f>
        <v/>
      </c>
      <c r="Q687" s="23" t="n"/>
      <c r="R687" s="23" t="n"/>
      <c r="S687" s="26" t="n">
        <v>2.20021076</v>
      </c>
      <c r="T687" s="24" t="n">
        <v>22.71</v>
      </c>
      <c r="U687" s="24" t="n">
        <v>45.35</v>
      </c>
      <c r="V687" s="24" t="n">
        <v>55.79</v>
      </c>
      <c r="W687" s="26" t="inlineStr">
        <is>
          <t>PUMA Carina Street Blingbling Womens Sneakers</t>
        </is>
      </c>
      <c r="X687" s="23" t="n">
        <v>2</v>
      </c>
      <c r="Y687" s="18">
        <f>AC687-AB687</f>
        <v/>
      </c>
      <c r="Z687" s="27" t="n">
        <v>-1</v>
      </c>
      <c r="AA687" s="27" t="n">
        <v>-1</v>
      </c>
      <c r="AB687" s="27" t="n"/>
      <c r="AC687" s="27" t="n"/>
      <c r="AD687" s="1" t="inlineStr">
        <is>
          <t>39907601</t>
        </is>
      </c>
      <c r="AE687" s="1" t="inlineStr">
        <is>
          <t>Blingbling-puma White-puma White-metallic Gold</t>
        </is>
      </c>
      <c r="AF687" s="4" t="n">
        <v>3.41</v>
      </c>
      <c r="AG687" s="4" t="n">
        <v>7.86</v>
      </c>
    </row>
    <row r="688" ht="47.25" customHeight="1">
      <c r="A688" s="18" t="inlineStr">
        <is>
          <t>197671721966</t>
        </is>
      </c>
      <c r="B688" s="19" t="inlineStr">
        <is>
          <t>https://www.amazon.com/dp/</t>
        </is>
      </c>
      <c r="C688" s="20" t="inlineStr">
        <is>
          <t>B0D329Y8J9</t>
        </is>
      </c>
      <c r="D688" s="44" t="n"/>
      <c r="E688" s="23" t="inlineStr">
        <is>
          <t>?th=1&amp;psc=1&amp;tag=sdcdeals03-20</t>
        </is>
      </c>
      <c r="F688" s="19">
        <f>HYPERLINK("https://redirect.sdcdeals.com/redirect?destination=https%3A%2F%2Fwww.amazon.com%2Fdp%2FB0D329Y8J9%3Fth%3D1%26psc%3D1%26tag%3Dsdcdeals03-20", "Amazon Link")</f>
        <v/>
      </c>
      <c r="G688" s="19" t="inlineStr">
        <is>
          <t>https://www.jcpenney.com/s?searchTerm={search_term}</t>
        </is>
      </c>
      <c r="H688" s="23" t="inlineStr">
        <is>
          <t>197671721966</t>
        </is>
      </c>
      <c r="I688" s="19">
        <f>HYPERLINK("https://www.jcpenney.com/s?searchTerm=197671721966", "Retail Link")</f>
        <v/>
      </c>
      <c r="J688" s="23" t="inlineStr">
        <is>
          <t>n/a</t>
        </is>
      </c>
      <c r="K688" s="21" t="inlineStr">
        <is>
          <t>PUMA Women's Carina Street Sneaker, Blingbling White White-Metallic Gold, 10</t>
        </is>
      </c>
      <c r="L688" s="24" t="n">
        <v>71.25</v>
      </c>
      <c r="M688" s="24" t="n">
        <v>24.74</v>
      </c>
      <c r="N688" s="24" t="n">
        <v>-58.161</v>
      </c>
      <c r="O688" s="24">
        <f>V688-M688</f>
        <v/>
      </c>
      <c r="P688" s="25">
        <f>N688/L688</f>
        <v/>
      </c>
      <c r="Q688" s="23" t="n"/>
      <c r="R688" s="23" t="n"/>
      <c r="S688" s="26" t="n">
        <v>2.25091702</v>
      </c>
      <c r="T688" s="24" t="n">
        <v>24.74</v>
      </c>
      <c r="U688" s="24" t="n">
        <v>49.82</v>
      </c>
      <c r="V688" s="24" t="n">
        <v>58.31</v>
      </c>
      <c r="W688" s="26" t="inlineStr">
        <is>
          <t>PUMA Carina Street Blingbling Womens Sneakers</t>
        </is>
      </c>
      <c r="X688" s="23" t="n">
        <v>2</v>
      </c>
      <c r="Y688" s="18">
        <f>AC688-AB688</f>
        <v/>
      </c>
      <c r="Z688" s="27" t="n">
        <v>-1</v>
      </c>
      <c r="AA688" s="27" t="n">
        <v>-1</v>
      </c>
      <c r="AB688" s="27" t="n"/>
      <c r="AC688" s="27" t="n"/>
      <c r="AD688" s="1" t="inlineStr">
        <is>
          <t>39907601</t>
        </is>
      </c>
      <c r="AE688" s="1" t="inlineStr">
        <is>
          <t>Blingbling-puma White-puma White-metallic Gold</t>
        </is>
      </c>
      <c r="AF688" s="4" t="n">
        <v>3.71</v>
      </c>
      <c r="AG688" s="4" t="n">
        <v>7.94</v>
      </c>
    </row>
    <row r="689" ht="47.25" customHeight="1">
      <c r="A689" s="18" t="inlineStr">
        <is>
          <t>197671721973</t>
        </is>
      </c>
      <c r="B689" s="19" t="inlineStr">
        <is>
          <t>https://www.amazon.com/dp/</t>
        </is>
      </c>
      <c r="C689" s="20" t="inlineStr">
        <is>
          <t>B0D32F391M</t>
        </is>
      </c>
      <c r="D689" s="44" t="n"/>
      <c r="E689" s="23" t="inlineStr">
        <is>
          <t>?th=1&amp;psc=1&amp;tag=sdcdeals03-20</t>
        </is>
      </c>
      <c r="F689" s="19">
        <f>HYPERLINK("https://redirect.sdcdeals.com/redirect?destination=https%3A%2F%2Fwww.amazon.com%2Fdp%2FB0D32F391M%3Fth%3D1%26psc%3D1%26tag%3Dsdcdeals03-20", "Amazon Link")</f>
        <v/>
      </c>
      <c r="G689" s="19" t="inlineStr">
        <is>
          <t>https://www.jcpenney.com/s?searchTerm={search_term}</t>
        </is>
      </c>
      <c r="H689" s="23" t="inlineStr">
        <is>
          <t>197671721973</t>
        </is>
      </c>
      <c r="I689" s="19">
        <f>HYPERLINK("https://www.jcpenney.com/s?searchTerm=197671721973", "Retail Link")</f>
        <v/>
      </c>
      <c r="J689" s="23" t="inlineStr">
        <is>
          <t>n/a</t>
        </is>
      </c>
      <c r="K689" s="21" t="inlineStr">
        <is>
          <t>PUMA Women's Carina Street Sneaker, Blingbling White White-Metallic Gold, 11</t>
        </is>
      </c>
      <c r="L689" s="24" t="n">
        <v>71.25</v>
      </c>
      <c r="M689" s="24" t="n">
        <v>25.41</v>
      </c>
      <c r="N689" s="24" t="n">
        <v>-57.5115</v>
      </c>
      <c r="O689" s="24">
        <f>V689-M689</f>
        <v/>
      </c>
      <c r="P689" s="25">
        <f>N689/L689</f>
        <v/>
      </c>
      <c r="Q689" s="23" t="n"/>
      <c r="R689" s="23" t="n"/>
      <c r="S689" s="26" t="n">
        <v>2.25091702</v>
      </c>
      <c r="T689" s="24" t="n">
        <v>25.41</v>
      </c>
      <c r="U689" s="24" t="n">
        <v>47.78</v>
      </c>
      <c r="V689" s="24" t="n">
        <v>57.35</v>
      </c>
      <c r="W689" s="26" t="inlineStr">
        <is>
          <t>PUMA Carina Street Blingbling Womens Sneakers</t>
        </is>
      </c>
      <c r="X689" s="23" t="n">
        <v>2</v>
      </c>
      <c r="Y689" s="18">
        <f>AC689-AB689</f>
        <v/>
      </c>
      <c r="Z689" s="27" t="n">
        <v>-1</v>
      </c>
      <c r="AA689" s="27" t="n">
        <v>-1</v>
      </c>
      <c r="AB689" s="27" t="n"/>
      <c r="AC689" s="27" t="n"/>
      <c r="AD689" s="1" t="inlineStr">
        <is>
          <t>39907601</t>
        </is>
      </c>
      <c r="AE689" s="1" t="inlineStr">
        <is>
          <t>Blingbling-puma White-puma White-metallic Gold</t>
        </is>
      </c>
      <c r="AF689" s="4" t="n">
        <v>3.81</v>
      </c>
      <c r="AG689" s="4" t="n">
        <v>7.86</v>
      </c>
    </row>
    <row r="690" ht="47.25" customHeight="1">
      <c r="A690" s="18" t="inlineStr">
        <is>
          <t>197672003313</t>
        </is>
      </c>
      <c r="B690" s="19" t="inlineStr">
        <is>
          <t>https://www.amazon.com/dp/</t>
        </is>
      </c>
      <c r="C690" s="20" t="inlineStr">
        <is>
          <t>B0D32DSNVS</t>
        </is>
      </c>
      <c r="D690" s="44" t="n"/>
      <c r="E690" s="23" t="inlineStr">
        <is>
          <t>?th=1&amp;psc=1&amp;tag=sdcdeals03-20</t>
        </is>
      </c>
      <c r="F690" s="19">
        <f>HYPERLINK("https://redirect.sdcdeals.com/redirect?destination=https%3A%2F%2Fwww.amazon.com%2Fdp%2FB0D32DSNVS%3Fth%3D1%26psc%3D1%26tag%3Dsdcdeals03-20", "Amazon Link")</f>
        <v/>
      </c>
      <c r="G690" s="19" t="inlineStr">
        <is>
          <t>https://www.jcpenney.com/s?searchTerm={search_term}</t>
        </is>
      </c>
      <c r="H690" s="23" t="inlineStr">
        <is>
          <t>197672003313</t>
        </is>
      </c>
      <c r="I690" s="19">
        <f>HYPERLINK("https://www.jcpenney.com/s?searchTerm=197672003313", "Retail Link")</f>
        <v/>
      </c>
      <c r="J690" s="23" t="inlineStr">
        <is>
          <t>n/a</t>
        </is>
      </c>
      <c r="K690" s="21" t="inlineStr">
        <is>
          <t>PUMA Women's Pacer 23 Sneaker, MARBLEIZED-Alpine Snow Gold, 5.5</t>
        </is>
      </c>
      <c r="L690" s="24" t="n">
        <v>71.25</v>
      </c>
      <c r="M690" s="24" t="n">
        <v>59.99</v>
      </c>
      <c r="N690" s="24" t="n">
        <v>-27.8785</v>
      </c>
      <c r="O690" s="24">
        <f>V690-M690</f>
        <v/>
      </c>
      <c r="P690" s="25">
        <f>N690/L690</f>
        <v/>
      </c>
      <c r="Q690" s="23" t="n">
        <v>79172</v>
      </c>
      <c r="R690" s="23" t="n"/>
      <c r="S690" s="26" t="n">
        <v>1.69976202</v>
      </c>
      <c r="T690" s="24" t="n">
        <v>59.99</v>
      </c>
      <c r="U690" s="24" t="n">
        <v>61.16</v>
      </c>
      <c r="V690" s="24" t="n">
        <v>64.69</v>
      </c>
      <c r="W690" s="26" t="inlineStr">
        <is>
          <t>PUMA Pacer 23 Marbleized Womens Running Shoes</t>
        </is>
      </c>
      <c r="X690" s="23" t="n">
        <v>3</v>
      </c>
      <c r="Y690" s="18">
        <f>AC690-AB690</f>
        <v/>
      </c>
      <c r="Z690" s="27" t="n">
        <v>21</v>
      </c>
      <c r="AA690" s="27" t="n">
        <v>57</v>
      </c>
      <c r="AB690" s="27" t="n">
        <v>0</v>
      </c>
      <c r="AC690" s="27" t="n">
        <v>68</v>
      </c>
      <c r="AD690" s="1" t="inlineStr">
        <is>
          <t>39626302</t>
        </is>
      </c>
      <c r="AE690" s="1" t="inlineStr">
        <is>
          <t>Marbleized-alpine Snow-puma Gold</t>
        </is>
      </c>
      <c r="AF690" s="4" t="n">
        <v>9</v>
      </c>
      <c r="AG690" s="4" t="n">
        <v>7.62</v>
      </c>
    </row>
    <row r="691" ht="47.25" customHeight="1">
      <c r="A691" s="18" t="inlineStr">
        <is>
          <t>197672003375</t>
        </is>
      </c>
      <c r="B691" s="19" t="inlineStr">
        <is>
          <t>https://www.amazon.com/dp/</t>
        </is>
      </c>
      <c r="C691" s="20" t="inlineStr">
        <is>
          <t>B0D32BZP5B</t>
        </is>
      </c>
      <c r="D691" s="44" t="n"/>
      <c r="E691" s="23" t="inlineStr">
        <is>
          <t>?th=1&amp;psc=1&amp;tag=sdcdeals03-20</t>
        </is>
      </c>
      <c r="F691" s="19">
        <f>HYPERLINK("https://redirect.sdcdeals.com/redirect?destination=https%3A%2F%2Fwww.amazon.com%2Fdp%2FB0D32BZP5B%3Fth%3D1%26psc%3D1%26tag%3Dsdcdeals03-20", "Amazon Link")</f>
        <v/>
      </c>
      <c r="G691" s="19" t="inlineStr">
        <is>
          <t>https://www.jcpenney.com/s?searchTerm={search_term}</t>
        </is>
      </c>
      <c r="H691" s="23" t="inlineStr">
        <is>
          <t>197672003375</t>
        </is>
      </c>
      <c r="I691" s="19">
        <f>HYPERLINK("https://www.jcpenney.com/s?searchTerm=197672003375", "Retail Link")</f>
        <v/>
      </c>
      <c r="J691" s="23" t="inlineStr">
        <is>
          <t>n/a</t>
        </is>
      </c>
      <c r="K691" s="21" t="inlineStr">
        <is>
          <t>PUMA Women's Pacer 23 Sneaker, MARBLEIZED-Alpine Snow Gold, 6</t>
        </is>
      </c>
      <c r="L691" s="24" t="n">
        <v>71.25</v>
      </c>
      <c r="M691" s="24" t="n">
        <v>59.99</v>
      </c>
      <c r="N691" s="24" t="n">
        <v>-27.8785</v>
      </c>
      <c r="O691" s="24">
        <f>V691-M691</f>
        <v/>
      </c>
      <c r="P691" s="25">
        <f>N691/L691</f>
        <v/>
      </c>
      <c r="Q691" s="23" t="n">
        <v>75867</v>
      </c>
      <c r="R691" s="23" t="n"/>
      <c r="S691" s="26" t="n">
        <v>1.58953102</v>
      </c>
      <c r="T691" s="24" t="n">
        <v>59.99</v>
      </c>
      <c r="U691" s="24" t="n">
        <v>60.5</v>
      </c>
      <c r="V691" s="24" t="n">
        <v>62.24</v>
      </c>
      <c r="W691" s="26" t="inlineStr">
        <is>
          <t>PUMA Pacer 23 Marbleized Womens Running Shoes</t>
        </is>
      </c>
      <c r="X691" s="23" t="n">
        <v>4</v>
      </c>
      <c r="Y691" s="18">
        <f>AC691-AB691</f>
        <v/>
      </c>
      <c r="Z691" s="27" t="n">
        <v>27</v>
      </c>
      <c r="AA691" s="27" t="n">
        <v>55</v>
      </c>
      <c r="AB691" s="27" t="n">
        <v>0</v>
      </c>
      <c r="AC691" s="27" t="n">
        <v>74</v>
      </c>
      <c r="AD691" s="1" t="inlineStr">
        <is>
          <t>39626303</t>
        </is>
      </c>
      <c r="AE691" s="1" t="inlineStr">
        <is>
          <t>Marbleized-alpine Snow-puma Gold</t>
        </is>
      </c>
      <c r="AF691" s="4" t="n">
        <v>9</v>
      </c>
      <c r="AG691" s="4" t="n">
        <v>7.62</v>
      </c>
    </row>
    <row r="692" ht="47.25" customHeight="1">
      <c r="A692" s="18" t="inlineStr">
        <is>
          <t>197672003320</t>
        </is>
      </c>
      <c r="B692" s="19" t="inlineStr">
        <is>
          <t>https://www.amazon.com/dp/</t>
        </is>
      </c>
      <c r="C692" s="20" t="inlineStr">
        <is>
          <t>B0D329D1JH</t>
        </is>
      </c>
      <c r="D692" s="44" t="n"/>
      <c r="E692" s="23" t="inlineStr">
        <is>
          <t>?th=1&amp;psc=1&amp;tag=sdcdeals03-20</t>
        </is>
      </c>
      <c r="F692" s="19">
        <f>HYPERLINK("https://redirect.sdcdeals.com/redirect?destination=https%3A%2F%2Fwww.amazon.com%2Fdp%2FB0D329D1JH%3Fth%3D1%26psc%3D1%26tag%3Dsdcdeals03-20", "Amazon Link")</f>
        <v/>
      </c>
      <c r="G692" s="19" t="inlineStr">
        <is>
          <t>https://www.jcpenney.com/s?searchTerm={search_term}</t>
        </is>
      </c>
      <c r="H692" s="23" t="inlineStr">
        <is>
          <t>197672003320</t>
        </is>
      </c>
      <c r="I692" s="19">
        <f>HYPERLINK("https://www.jcpenney.com/s?searchTerm=197672003320", "Retail Link")</f>
        <v/>
      </c>
      <c r="J692" s="23" t="inlineStr">
        <is>
          <t>n/a</t>
        </is>
      </c>
      <c r="K692" s="21" t="inlineStr">
        <is>
          <t>PUMA Women's Pacer 23 Sneaker, MARBLEIZED-Alpine Snow Gold, 6.5</t>
        </is>
      </c>
      <c r="L692" s="24" t="n">
        <v>71.25</v>
      </c>
      <c r="M692" s="24" t="n">
        <v>61.45</v>
      </c>
      <c r="N692" s="24" t="n">
        <v>-26.6375</v>
      </c>
      <c r="O692" s="24">
        <f>V692-M692</f>
        <v/>
      </c>
      <c r="P692" s="25">
        <f>N692/L692</f>
        <v/>
      </c>
      <c r="Q692" s="23" t="n">
        <v>64629</v>
      </c>
      <c r="R692" s="23" t="n"/>
      <c r="S692" s="26" t="n">
        <v>1.5983495</v>
      </c>
      <c r="T692" s="24" t="n">
        <v>59.99</v>
      </c>
      <c r="U692" s="24" t="n">
        <v>58.36</v>
      </c>
      <c r="V692" s="24" t="n">
        <v>61.28</v>
      </c>
      <c r="W692" s="26" t="inlineStr">
        <is>
          <t>PUMA Pacer 23 Marbleized Womens Running Shoes</t>
        </is>
      </c>
      <c r="X692" s="23" t="n">
        <v>7</v>
      </c>
      <c r="Y692" s="18">
        <f>AC692-AB692</f>
        <v/>
      </c>
      <c r="Z692" s="27" t="n">
        <v>22</v>
      </c>
      <c r="AA692" s="27" t="n">
        <v>56</v>
      </c>
      <c r="AB692" s="27" t="n">
        <v>1</v>
      </c>
      <c r="AC692" s="27" t="n">
        <v>74</v>
      </c>
      <c r="AD692" s="1" t="inlineStr">
        <is>
          <t>39626303</t>
        </is>
      </c>
      <c r="AE692" s="1" t="inlineStr">
        <is>
          <t>Marbleized-alpine Snow-puma Gold</t>
        </is>
      </c>
      <c r="AF692" s="4" t="n">
        <v>9.210000000000001</v>
      </c>
      <c r="AG692" s="4" t="n">
        <v>7.62</v>
      </c>
    </row>
    <row r="693" ht="47.25" customHeight="1">
      <c r="A693" s="18" t="inlineStr">
        <is>
          <t>197672003382</t>
        </is>
      </c>
      <c r="B693" s="19" t="inlineStr">
        <is>
          <t>https://www.amazon.com/dp/</t>
        </is>
      </c>
      <c r="C693" s="20" t="inlineStr">
        <is>
          <t>B0D32BL7P4</t>
        </is>
      </c>
      <c r="D693" s="44" t="n"/>
      <c r="E693" s="23" t="inlineStr">
        <is>
          <t>?th=1&amp;psc=1&amp;tag=sdcdeals03-20</t>
        </is>
      </c>
      <c r="F693" s="19">
        <f>HYPERLINK("https://redirect.sdcdeals.com/redirect?destination=https%3A%2F%2Fwww.amazon.com%2Fdp%2FB0D32BL7P4%3Fth%3D1%26psc%3D1%26tag%3Dsdcdeals03-20", "Amazon Link")</f>
        <v/>
      </c>
      <c r="G693" s="19" t="inlineStr">
        <is>
          <t>https://www.jcpenney.com/s?searchTerm={search_term}</t>
        </is>
      </c>
      <c r="H693" s="23" t="inlineStr">
        <is>
          <t>197672003382</t>
        </is>
      </c>
      <c r="I693" s="19">
        <f>HYPERLINK("https://www.jcpenney.com/s?searchTerm=197672003382", "Retail Link")</f>
        <v/>
      </c>
      <c r="J693" s="23" t="inlineStr">
        <is>
          <t>n/a</t>
        </is>
      </c>
      <c r="K693" s="21" t="inlineStr">
        <is>
          <t>PUMA Women's Pacer 23 Sneaker, MARBLEIZED-Alpine Snow Gold, 7</t>
        </is>
      </c>
      <c r="L693" s="24" t="n">
        <v>71.25</v>
      </c>
      <c r="M693" s="24" t="n">
        <v>59.99</v>
      </c>
      <c r="N693" s="24" t="n">
        <v>-27.8785</v>
      </c>
      <c r="O693" s="24">
        <f>V693-M693</f>
        <v/>
      </c>
      <c r="P693" s="25">
        <f>N693/L693</f>
        <v/>
      </c>
      <c r="Q693" s="23" t="n">
        <v>63112</v>
      </c>
      <c r="R693" s="23" t="n"/>
      <c r="S693" s="26" t="n">
        <v>1.6644881</v>
      </c>
      <c r="T693" s="24" t="n">
        <v>59.99</v>
      </c>
      <c r="U693" s="24" t="n">
        <v>59.08</v>
      </c>
      <c r="V693" s="24" t="n">
        <v>63.38</v>
      </c>
      <c r="W693" s="26" t="inlineStr">
        <is>
          <t>PUMA Pacer 23 Marbleized Womens Running Shoes</t>
        </is>
      </c>
      <c r="X693" s="23" t="n">
        <v>6</v>
      </c>
      <c r="Y693" s="18">
        <f>AC693-AB693</f>
        <v/>
      </c>
      <c r="Z693" s="27" t="n">
        <v>21</v>
      </c>
      <c r="AA693" s="27" t="n">
        <v>61</v>
      </c>
      <c r="AB693" s="27" t="n">
        <v>1</v>
      </c>
      <c r="AC693" s="27" t="n">
        <v>75</v>
      </c>
      <c r="AD693" s="1" t="inlineStr">
        <is>
          <t>39626303</t>
        </is>
      </c>
      <c r="AE693" s="1" t="inlineStr">
        <is>
          <t>Marbleized-alpine Snow-puma Gold</t>
        </is>
      </c>
      <c r="AF693" s="4" t="n">
        <v>9</v>
      </c>
      <c r="AG693" s="4" t="n">
        <v>7.62</v>
      </c>
    </row>
    <row r="694" ht="47.25" customHeight="1">
      <c r="A694" s="18" t="inlineStr">
        <is>
          <t>197672003337</t>
        </is>
      </c>
      <c r="B694" s="19" t="inlineStr">
        <is>
          <t>https://www.amazon.com/dp/</t>
        </is>
      </c>
      <c r="C694" s="20" t="inlineStr">
        <is>
          <t>B0D32BZ6FY</t>
        </is>
      </c>
      <c r="D694" s="44" t="n"/>
      <c r="E694" s="23" t="inlineStr">
        <is>
          <t>?th=1&amp;psc=1&amp;tag=sdcdeals03-20</t>
        </is>
      </c>
      <c r="F694" s="19">
        <f>HYPERLINK("https://redirect.sdcdeals.com/redirect?destination=https%3A%2F%2Fwww.amazon.com%2Fdp%2FB0D32BZ6FY%3Fth%3D1%26psc%3D1%26tag%3Dsdcdeals03-20", "Amazon Link")</f>
        <v/>
      </c>
      <c r="G694" s="19" t="inlineStr">
        <is>
          <t>https://www.jcpenney.com/s?searchTerm={search_term}</t>
        </is>
      </c>
      <c r="H694" s="23" t="inlineStr">
        <is>
          <t>197672003337</t>
        </is>
      </c>
      <c r="I694" s="19">
        <f>HYPERLINK("https://www.jcpenney.com/s?searchTerm=197672003337", "Retail Link")</f>
        <v/>
      </c>
      <c r="J694" s="23" t="inlineStr">
        <is>
          <t>n/a</t>
        </is>
      </c>
      <c r="K694" s="21" t="inlineStr">
        <is>
          <t>PUMA Women's Pacer 23 Sneaker, MARBLEIZED-Alpine Snow Gold, 7.5</t>
        </is>
      </c>
      <c r="L694" s="24" t="n">
        <v>71.25</v>
      </c>
      <c r="M694" s="24" t="n">
        <v>59.99</v>
      </c>
      <c r="N694" s="24" t="n">
        <v>-27.8785</v>
      </c>
      <c r="O694" s="24">
        <f>V694-M694</f>
        <v/>
      </c>
      <c r="P694" s="25">
        <f>N694/L694</f>
        <v/>
      </c>
      <c r="Q694" s="23" t="n">
        <v>64629</v>
      </c>
      <c r="R694" s="23" t="n"/>
      <c r="S694" s="26" t="n">
        <v>1.6975574</v>
      </c>
      <c r="T694" s="24" t="n">
        <v>59.99</v>
      </c>
      <c r="U694" s="24" t="n">
        <v>61.29</v>
      </c>
      <c r="V694" s="24" t="n">
        <v>64.88</v>
      </c>
      <c r="W694" s="26" t="inlineStr">
        <is>
          <t>PUMA Pacer 23 Marbleized Womens Running Shoes</t>
        </is>
      </c>
      <c r="X694" s="23" t="n">
        <v>7</v>
      </c>
      <c r="Y694" s="18">
        <f>AC694-AB694</f>
        <v/>
      </c>
      <c r="Z694" s="27" t="n">
        <v>26</v>
      </c>
      <c r="AA694" s="27" t="n">
        <v>65</v>
      </c>
      <c r="AB694" s="27" t="n">
        <v>0</v>
      </c>
      <c r="AC694" s="27" t="n">
        <v>75</v>
      </c>
      <c r="AD694" s="1" t="inlineStr">
        <is>
          <t>39626303</t>
        </is>
      </c>
      <c r="AE694" s="1" t="inlineStr">
        <is>
          <t>Marbleized-alpine Snow-puma Gold</t>
        </is>
      </c>
      <c r="AF694" s="4" t="n">
        <v>9</v>
      </c>
      <c r="AG694" s="4" t="n">
        <v>7.62</v>
      </c>
    </row>
    <row r="695" ht="47.25" customHeight="1">
      <c r="A695" s="18" t="inlineStr">
        <is>
          <t>197672003399</t>
        </is>
      </c>
      <c r="B695" s="19" t="inlineStr">
        <is>
          <t>https://www.amazon.com/dp/</t>
        </is>
      </c>
      <c r="C695" s="20" t="inlineStr">
        <is>
          <t>B0D32BYPGD</t>
        </is>
      </c>
      <c r="D695" s="44" t="n"/>
      <c r="E695" s="23" t="inlineStr">
        <is>
          <t>?th=1&amp;psc=1&amp;tag=sdcdeals03-20</t>
        </is>
      </c>
      <c r="F695" s="19">
        <f>HYPERLINK("https://redirect.sdcdeals.com/redirect?destination=https%3A%2F%2Fwww.amazon.com%2Fdp%2FB0D32BYPGD%3Fth%3D1%26psc%3D1%26tag%3Dsdcdeals03-20", "Amazon Link")</f>
        <v/>
      </c>
      <c r="G695" s="19" t="inlineStr">
        <is>
          <t>https://www.jcpenney.com/s?searchTerm={search_term}</t>
        </is>
      </c>
      <c r="H695" s="23" t="inlineStr">
        <is>
          <t>197672003399</t>
        </is>
      </c>
      <c r="I695" s="19">
        <f>HYPERLINK("https://www.jcpenney.com/s?searchTerm=197672003399", "Retail Link")</f>
        <v/>
      </c>
      <c r="J695" s="23" t="inlineStr">
        <is>
          <t>n/a</t>
        </is>
      </c>
      <c r="K695" s="21" t="inlineStr">
        <is>
          <t>PUMA Women's Pacer 23 Sneaker, MARBLEIZED-Alpine Snow Gold, 8</t>
        </is>
      </c>
      <c r="L695" s="24" t="n">
        <v>71.25</v>
      </c>
      <c r="M695" s="24" t="n">
        <v>59.99</v>
      </c>
      <c r="N695" s="24" t="n">
        <v>-27.9585</v>
      </c>
      <c r="O695" s="24">
        <f>V695-M695</f>
        <v/>
      </c>
      <c r="P695" s="25">
        <f>N695/L695</f>
        <v/>
      </c>
      <c r="Q695" s="23" t="n">
        <v>79172</v>
      </c>
      <c r="R695" s="23" t="n"/>
      <c r="S695" s="26" t="n">
        <v>1.69094354</v>
      </c>
      <c r="T695" s="24" t="n">
        <v>59.99</v>
      </c>
      <c r="U695" s="24" t="n">
        <v>58.36</v>
      </c>
      <c r="V695" s="24" t="n">
        <v>61.08</v>
      </c>
      <c r="W695" s="26" t="inlineStr">
        <is>
          <t>PUMA Pacer 23 Marbleized Womens Running Shoes</t>
        </is>
      </c>
      <c r="X695" s="23" t="n">
        <v>8</v>
      </c>
      <c r="Y695" s="18">
        <f>AC695-AB695</f>
        <v/>
      </c>
      <c r="Z695" s="27" t="n">
        <v>26</v>
      </c>
      <c r="AA695" s="27" t="n">
        <v>74</v>
      </c>
      <c r="AB695" s="27" t="n">
        <v>3</v>
      </c>
      <c r="AC695" s="27" t="n">
        <v>75</v>
      </c>
      <c r="AD695" s="1" t="inlineStr">
        <is>
          <t>39626303</t>
        </is>
      </c>
      <c r="AE695" s="1" t="inlineStr">
        <is>
          <t>Marbleized-alpine Snow-puma Gold</t>
        </is>
      </c>
      <c r="AF695" s="4" t="n">
        <v>9</v>
      </c>
      <c r="AG695" s="4" t="n">
        <v>7.7</v>
      </c>
    </row>
    <row r="696" ht="47.25" customHeight="1">
      <c r="A696" s="18" t="inlineStr">
        <is>
          <t>197672003344</t>
        </is>
      </c>
      <c r="B696" s="19" t="inlineStr">
        <is>
          <t>https://www.amazon.com/dp/</t>
        </is>
      </c>
      <c r="C696" s="20" t="inlineStr">
        <is>
          <t>B0D32DZ2K2</t>
        </is>
      </c>
      <c r="D696" s="44" t="n"/>
      <c r="E696" s="23" t="inlineStr">
        <is>
          <t>?th=1&amp;psc=1&amp;tag=sdcdeals03-20</t>
        </is>
      </c>
      <c r="F696" s="19">
        <f>HYPERLINK("https://redirect.sdcdeals.com/redirect?destination=https%3A%2F%2Fwww.amazon.com%2Fdp%2FB0D32DZ2K2%3Fth%3D1%26psc%3D1%26tag%3Dsdcdeals03-20", "Amazon Link")</f>
        <v/>
      </c>
      <c r="G696" s="19" t="inlineStr">
        <is>
          <t>https://www.jcpenney.com/s?searchTerm={search_term}</t>
        </is>
      </c>
      <c r="H696" s="23" t="inlineStr">
        <is>
          <t>197672003344</t>
        </is>
      </c>
      <c r="I696" s="19">
        <f>HYPERLINK("https://www.jcpenney.com/s?searchTerm=197672003344", "Retail Link")</f>
        <v/>
      </c>
      <c r="J696" s="23" t="inlineStr">
        <is>
          <t>n/a</t>
        </is>
      </c>
      <c r="K696" s="21" t="inlineStr">
        <is>
          <t>PUMA Women's Pacer 23 Sneaker, MARBLEIZED-Alpine Snow Gold, 8.5</t>
        </is>
      </c>
      <c r="L696" s="24" t="n">
        <v>71.25</v>
      </c>
      <c r="M696" s="24" t="n">
        <v>59.99</v>
      </c>
      <c r="N696" s="24" t="n">
        <v>-28.1185</v>
      </c>
      <c r="O696" s="24">
        <f>V696-M696</f>
        <v/>
      </c>
      <c r="P696" s="25">
        <f>N696/L696</f>
        <v/>
      </c>
      <c r="Q696" s="23" t="n">
        <v>69100</v>
      </c>
      <c r="R696" s="23" t="n"/>
      <c r="S696" s="26" t="n">
        <v>1.82762998</v>
      </c>
      <c r="T696" s="24" t="n">
        <v>59.99</v>
      </c>
      <c r="U696" s="24" t="n">
        <v>58.06</v>
      </c>
      <c r="V696" s="24" t="n">
        <v>61.21</v>
      </c>
      <c r="W696" s="26" t="inlineStr">
        <is>
          <t>PUMA Pacer 23 Marbleized Womens Running Shoes</t>
        </is>
      </c>
      <c r="X696" s="23" t="n">
        <v>8</v>
      </c>
      <c r="Y696" s="18">
        <f>AC696-AB696</f>
        <v/>
      </c>
      <c r="Z696" s="27" t="n">
        <v>19</v>
      </c>
      <c r="AA696" s="27" t="n">
        <v>60</v>
      </c>
      <c r="AB696" s="27" t="n">
        <v>1</v>
      </c>
      <c r="AC696" s="27" t="n">
        <v>74</v>
      </c>
      <c r="AD696" s="1" t="inlineStr">
        <is>
          <t>39626303</t>
        </is>
      </c>
      <c r="AE696" s="1" t="inlineStr">
        <is>
          <t>Marbleized-alpine Snow-puma Gold</t>
        </is>
      </c>
      <c r="AF696" s="4" t="n">
        <v>9</v>
      </c>
      <c r="AG696" s="4" t="n">
        <v>7.86</v>
      </c>
    </row>
    <row r="697" ht="47.25" customHeight="1">
      <c r="A697" s="18" t="inlineStr">
        <is>
          <t>197672003405</t>
        </is>
      </c>
      <c r="B697" s="19" t="inlineStr">
        <is>
          <t>https://www.amazon.com/dp/</t>
        </is>
      </c>
      <c r="C697" s="20" t="inlineStr">
        <is>
          <t>B0D32BS7P5</t>
        </is>
      </c>
      <c r="D697" s="44" t="n"/>
      <c r="E697" s="23" t="inlineStr">
        <is>
          <t>?th=1&amp;psc=1&amp;tag=sdcdeals03-20</t>
        </is>
      </c>
      <c r="F697" s="19">
        <f>HYPERLINK("https://redirect.sdcdeals.com/redirect?destination=https%3A%2F%2Fwww.amazon.com%2Fdp%2FB0D32BS7P5%3Fth%3D1%26psc%3D1%26tag%3Dsdcdeals03-20", "Amazon Link")</f>
        <v/>
      </c>
      <c r="G697" s="19" t="inlineStr">
        <is>
          <t>https://www.jcpenney.com/s?searchTerm={search_term}</t>
        </is>
      </c>
      <c r="H697" s="23" t="inlineStr">
        <is>
          <t>197672003405</t>
        </is>
      </c>
      <c r="I697" s="19">
        <f>HYPERLINK("https://www.jcpenney.com/s?searchTerm=197672003405", "Retail Link")</f>
        <v/>
      </c>
      <c r="J697" s="23" t="inlineStr">
        <is>
          <t>n/a</t>
        </is>
      </c>
      <c r="K697" s="21" t="inlineStr">
        <is>
          <t>PUMA Women's Pacer 23 Sneaker, MARBLEIZED-Alpine Snow Gold, 9</t>
        </is>
      </c>
      <c r="L697" s="24" t="n">
        <v>71.25</v>
      </c>
      <c r="M697" s="24" t="n">
        <v>59.99</v>
      </c>
      <c r="N697" s="24" t="n">
        <v>-28.1185</v>
      </c>
      <c r="O697" s="24">
        <f>V697-M697</f>
        <v/>
      </c>
      <c r="P697" s="25">
        <f>N697/L697</f>
        <v/>
      </c>
      <c r="Q697" s="23" t="n">
        <v>64629</v>
      </c>
      <c r="R697" s="23" t="n"/>
      <c r="S697" s="26" t="n">
        <v>1.69976202</v>
      </c>
      <c r="T697" s="24" t="n">
        <v>59.99</v>
      </c>
      <c r="U697" s="24" t="n">
        <v>58.32</v>
      </c>
      <c r="V697" s="24" t="n">
        <v>61.28</v>
      </c>
      <c r="W697" s="26" t="inlineStr">
        <is>
          <t>PUMA Pacer 23 Marbleized Womens Running Shoes</t>
        </is>
      </c>
      <c r="X697" s="23" t="n">
        <v>8</v>
      </c>
      <c r="Y697" s="18">
        <f>AC697-AB697</f>
        <v/>
      </c>
      <c r="Z697" s="27" t="n">
        <v>18</v>
      </c>
      <c r="AA697" s="27" t="n">
        <v>52</v>
      </c>
      <c r="AB697" s="27" t="n">
        <v>2</v>
      </c>
      <c r="AC697" s="27" t="n">
        <v>75</v>
      </c>
      <c r="AD697" s="1" t="inlineStr">
        <is>
          <t>39626303</t>
        </is>
      </c>
      <c r="AE697" s="1" t="inlineStr">
        <is>
          <t>Marbleized-alpine Snow-puma Gold</t>
        </is>
      </c>
      <c r="AF697" s="4" t="n">
        <v>9</v>
      </c>
      <c r="AG697" s="4" t="n">
        <v>7.86</v>
      </c>
    </row>
    <row r="698" ht="47.25" customHeight="1">
      <c r="A698" s="18" t="inlineStr">
        <is>
          <t>197672003351</t>
        </is>
      </c>
      <c r="B698" s="19" t="inlineStr">
        <is>
          <t>https://www.amazon.com/dp/</t>
        </is>
      </c>
      <c r="C698" s="20" t="inlineStr">
        <is>
          <t>B0D32FFDWS</t>
        </is>
      </c>
      <c r="D698" s="44" t="n"/>
      <c r="E698" s="23" t="inlineStr">
        <is>
          <t>?th=1&amp;psc=1&amp;tag=sdcdeals03-20</t>
        </is>
      </c>
      <c r="F698" s="19">
        <f>HYPERLINK("https://redirect.sdcdeals.com/redirect?destination=https%3A%2F%2Fwww.amazon.com%2Fdp%2FB0D32FFDWS%3Fth%3D1%26psc%3D1%26tag%3Dsdcdeals03-20", "Amazon Link")</f>
        <v/>
      </c>
      <c r="G698" s="19" t="inlineStr">
        <is>
          <t>https://www.jcpenney.com/s?searchTerm={search_term}</t>
        </is>
      </c>
      <c r="H698" s="23" t="inlineStr">
        <is>
          <t>197672003351</t>
        </is>
      </c>
      <c r="I698" s="19">
        <f>HYPERLINK("https://www.jcpenney.com/s?searchTerm=197672003351", "Retail Link")</f>
        <v/>
      </c>
      <c r="J698" s="23" t="inlineStr">
        <is>
          <t>n/a</t>
        </is>
      </c>
      <c r="K698" s="21" t="inlineStr">
        <is>
          <t>PUMA Women's Pacer 23 Sneaker, MARBLEIZED-Alpine Snow Gold, 9.5</t>
        </is>
      </c>
      <c r="L698" s="24" t="n">
        <v>71.25</v>
      </c>
      <c r="M698" s="24" t="n">
        <v>59.99</v>
      </c>
      <c r="N698" s="24" t="n">
        <v>-28.1185</v>
      </c>
      <c r="O698" s="24">
        <f>V698-M698</f>
        <v/>
      </c>
      <c r="P698" s="25">
        <f>N698/L698</f>
        <v/>
      </c>
      <c r="Q698" s="23" t="n">
        <v>76375</v>
      </c>
      <c r="R698" s="23" t="n"/>
      <c r="S698" s="26" t="n">
        <v>1.8959732</v>
      </c>
      <c r="T698" s="24" t="n">
        <v>59.99</v>
      </c>
      <c r="U698" s="24" t="n">
        <v>58.23</v>
      </c>
      <c r="V698" s="24" t="n">
        <v>64.22</v>
      </c>
      <c r="W698" s="26" t="inlineStr">
        <is>
          <t>PUMA Pacer 23 Marbleized Womens Running Shoes</t>
        </is>
      </c>
      <c r="X698" s="23" t="n">
        <v>7</v>
      </c>
      <c r="Y698" s="18">
        <f>AC698-AB698</f>
        <v/>
      </c>
      <c r="Z698" s="27" t="n">
        <v>18</v>
      </c>
      <c r="AA698" s="27" t="n">
        <v>53</v>
      </c>
      <c r="AB698" s="27" t="n">
        <v>1</v>
      </c>
      <c r="AC698" s="27" t="n">
        <v>67</v>
      </c>
      <c r="AD698" s="1" t="inlineStr">
        <is>
          <t>39626303</t>
        </is>
      </c>
      <c r="AE698" s="1" t="inlineStr">
        <is>
          <t>Marbleized-alpine Snow-puma Gold</t>
        </is>
      </c>
      <c r="AF698" s="4" t="n">
        <v>9</v>
      </c>
      <c r="AG698" s="4" t="n">
        <v>7.86</v>
      </c>
    </row>
    <row r="699" ht="47.25" customHeight="1">
      <c r="A699" s="18" t="inlineStr">
        <is>
          <t>197672003412</t>
        </is>
      </c>
      <c r="B699" s="19" t="inlineStr">
        <is>
          <t>https://www.amazon.com/dp/</t>
        </is>
      </c>
      <c r="C699" s="20" t="inlineStr">
        <is>
          <t>B0D3294GT5</t>
        </is>
      </c>
      <c r="D699" s="44" t="n"/>
      <c r="E699" s="23" t="inlineStr">
        <is>
          <t>?th=1&amp;psc=1&amp;tag=sdcdeals03-20</t>
        </is>
      </c>
      <c r="F699" s="19">
        <f>HYPERLINK("https://redirect.sdcdeals.com/redirect?destination=https%3A%2F%2Fwww.amazon.com%2Fdp%2FB0D3294GT5%3Fth%3D1%26psc%3D1%26tag%3Dsdcdeals03-20", "Amazon Link")</f>
        <v/>
      </c>
      <c r="G699" s="19" t="inlineStr">
        <is>
          <t>https://www.jcpenney.com/s?searchTerm={search_term}</t>
        </is>
      </c>
      <c r="H699" s="23" t="inlineStr">
        <is>
          <t>197672003412</t>
        </is>
      </c>
      <c r="I699" s="19">
        <f>HYPERLINK("https://www.jcpenney.com/s?searchTerm=197672003412", "Retail Link")</f>
        <v/>
      </c>
      <c r="J699" s="23" t="inlineStr">
        <is>
          <t>n/a</t>
        </is>
      </c>
      <c r="K699" s="21" t="inlineStr">
        <is>
          <t>PUMA Women's Pacer 23 Sneaker, MARBLEIZED-Alpine Snow Gold, 10</t>
        </is>
      </c>
      <c r="L699" s="24" t="n">
        <v>71.25</v>
      </c>
      <c r="M699" s="24" t="n">
        <v>59.99</v>
      </c>
      <c r="N699" s="24" t="n">
        <v>-28.1185</v>
      </c>
      <c r="O699" s="24">
        <f>V699-M699</f>
        <v/>
      </c>
      <c r="P699" s="25">
        <f>N699/L699</f>
        <v/>
      </c>
      <c r="Q699" s="23" t="n">
        <v>69100</v>
      </c>
      <c r="R699" s="23" t="n"/>
      <c r="S699" s="26" t="n">
        <v>1.9180194</v>
      </c>
      <c r="T699" s="24" t="n">
        <v>59.99</v>
      </c>
      <c r="U699" s="24" t="n">
        <v>61.23</v>
      </c>
      <c r="V699" s="24" t="n">
        <v>62.75</v>
      </c>
      <c r="W699" s="26" t="inlineStr">
        <is>
          <t>PUMA Pacer 23 Marbleized Womens Running Shoes</t>
        </is>
      </c>
      <c r="X699" s="23" t="n">
        <v>6</v>
      </c>
      <c r="Y699" s="18">
        <f>AC699-AB699</f>
        <v/>
      </c>
      <c r="Z699" s="27" t="n">
        <v>17</v>
      </c>
      <c r="AA699" s="27" t="n">
        <v>54</v>
      </c>
      <c r="AB699" s="27" t="n">
        <v>1</v>
      </c>
      <c r="AC699" s="27" t="n">
        <v>74</v>
      </c>
      <c r="AD699" s="1" t="inlineStr">
        <is>
          <t>39626303</t>
        </is>
      </c>
      <c r="AE699" s="1" t="inlineStr">
        <is>
          <t>Marbleized-alpine Snow-puma Gold</t>
        </is>
      </c>
      <c r="AF699" s="4" t="n">
        <v>9</v>
      </c>
      <c r="AG699" s="4" t="n">
        <v>7.86</v>
      </c>
    </row>
    <row r="700" ht="47.25" customHeight="1">
      <c r="A700" s="18" t="inlineStr">
        <is>
          <t>197672003429</t>
        </is>
      </c>
      <c r="B700" s="19" t="inlineStr">
        <is>
          <t>https://www.amazon.com/dp/</t>
        </is>
      </c>
      <c r="C700" s="20" t="inlineStr">
        <is>
          <t>B0D32BWLNF</t>
        </is>
      </c>
      <c r="D700" s="44" t="n"/>
      <c r="E700" s="23" t="inlineStr">
        <is>
          <t>?th=1&amp;psc=1&amp;tag=sdcdeals03-20</t>
        </is>
      </c>
      <c r="F700" s="19">
        <f>HYPERLINK("https://redirect.sdcdeals.com/redirect?destination=https%3A%2F%2Fwww.amazon.com%2Fdp%2FB0D32BWLNF%3Fth%3D1%26psc%3D1%26tag%3Dsdcdeals03-20", "Amazon Link")</f>
        <v/>
      </c>
      <c r="G700" s="19" t="inlineStr">
        <is>
          <t>https://www.jcpenney.com/s?searchTerm={search_term}</t>
        </is>
      </c>
      <c r="H700" s="23" t="inlineStr">
        <is>
          <t>197672003429</t>
        </is>
      </c>
      <c r="I700" s="19">
        <f>HYPERLINK("https://www.jcpenney.com/s?searchTerm=197672003429", "Retail Link")</f>
        <v/>
      </c>
      <c r="J700" s="23" t="inlineStr">
        <is>
          <t>n/a</t>
        </is>
      </c>
      <c r="K700" s="21" t="inlineStr">
        <is>
          <t>PUMA Women's Pacer 23 Sneaker, MARBLEIZED-Alpine Snow Gold, 11</t>
        </is>
      </c>
      <c r="L700" s="24" t="n">
        <v>71.25</v>
      </c>
      <c r="M700" s="24" t="n">
        <v>60.77</v>
      </c>
      <c r="N700" s="24" t="n">
        <v>-27.5355</v>
      </c>
      <c r="O700" s="24">
        <f>V700-M700</f>
        <v/>
      </c>
      <c r="P700" s="25">
        <f>N700/L700</f>
        <v/>
      </c>
      <c r="Q700" s="23" t="n">
        <v>79560</v>
      </c>
      <c r="R700" s="23" t="n"/>
      <c r="S700" s="26" t="n">
        <v>2.0282504</v>
      </c>
      <c r="T700" s="24" t="n">
        <v>59.99</v>
      </c>
      <c r="U700" s="24" t="n">
        <v>64.39</v>
      </c>
      <c r="V700" s="24" t="n">
        <v>64.73999999999999</v>
      </c>
      <c r="W700" s="26" t="inlineStr">
        <is>
          <t>PUMA Pacer 23 Marbleized Womens Running Shoes</t>
        </is>
      </c>
      <c r="X700" s="23" t="n">
        <v>5</v>
      </c>
      <c r="Y700" s="18">
        <f>AC700-AB700</f>
        <v/>
      </c>
      <c r="Z700" s="27" t="n">
        <v>17</v>
      </c>
      <c r="AA700" s="27" t="n">
        <v>59</v>
      </c>
      <c r="AB700" s="27" t="n">
        <v>0</v>
      </c>
      <c r="AC700" s="27" t="n">
        <v>74</v>
      </c>
      <c r="AD700" s="1" t="inlineStr">
        <is>
          <t>39626303</t>
        </is>
      </c>
      <c r="AE700" s="1" t="inlineStr">
        <is>
          <t>Marbleized-alpine Snow-puma Gold</t>
        </is>
      </c>
      <c r="AF700" s="4" t="n">
        <v>9.119999999999999</v>
      </c>
      <c r="AG700" s="4" t="n">
        <v>7.94</v>
      </c>
    </row>
    <row r="701" ht="47.25" customHeight="1">
      <c r="A701" s="18" t="inlineStr">
        <is>
          <t>197672018881</t>
        </is>
      </c>
      <c r="B701" s="19" t="inlineStr">
        <is>
          <t>https://www.amazon.com/dp/</t>
        </is>
      </c>
      <c r="C701" s="20" t="inlineStr">
        <is>
          <t>B0DJ657H6Y</t>
        </is>
      </c>
      <c r="D701" s="44" t="n"/>
      <c r="E701" s="23" t="inlineStr">
        <is>
          <t>?th=1&amp;psc=1&amp;tag=sdcdeals03-20</t>
        </is>
      </c>
      <c r="F701" s="19">
        <f>HYPERLINK("https://redirect.sdcdeals.com/redirect?destination=https%3A%2F%2Fwww.amazon.com%2Fdp%2FB0DJ657H6Y%3Fth%3D1%26psc%3D1%26tag%3Dsdcdeals03-20", "Amazon Link")</f>
        <v/>
      </c>
      <c r="G701" s="19" t="inlineStr">
        <is>
          <t>https://www.jcpenney.com/s?searchTerm={search_term}</t>
        </is>
      </c>
      <c r="H701" s="23" t="inlineStr">
        <is>
          <t>197672018881</t>
        </is>
      </c>
      <c r="I701" s="19">
        <f>HYPERLINK("https://www.jcpenney.com/s?searchTerm=197672018881", "Retail Link")</f>
        <v/>
      </c>
      <c r="J701" s="23" t="inlineStr">
        <is>
          <t>n/a</t>
        </is>
      </c>
      <c r="K701" s="21" t="inlineStr">
        <is>
          <t>Puma - Womens Club Pearl Shoes, Color White/Mauve Mist/Vapor Gray, Size: 5.5 M US</t>
        </is>
      </c>
      <c r="L701" s="24" t="n">
        <v>66.5</v>
      </c>
      <c r="M701" s="24" t="inlineStr"/>
      <c r="N701" s="24" t="n"/>
      <c r="O701" s="24">
        <f>V701-M701</f>
        <v/>
      </c>
      <c r="P701" s="25">
        <f>N701/L701</f>
        <v/>
      </c>
      <c r="Q701" s="23" t="n"/>
      <c r="R701" s="23" t="n"/>
      <c r="S701" s="26" t="n"/>
      <c r="T701" s="24" t="inlineStr"/>
      <c r="U701" s="24" t="inlineStr"/>
      <c r="V701" s="24" t="inlineStr"/>
      <c r="W701" s="26" t="inlineStr">
        <is>
          <t>PUMA Club Pearl Womens Sneakers</t>
        </is>
      </c>
      <c r="X701" s="23" t="n"/>
      <c r="Y701" s="18">
        <f>AC701-AB701</f>
        <v/>
      </c>
      <c r="Z701" s="27" t="n">
        <v>-1</v>
      </c>
      <c r="AA701" s="27" t="n">
        <v>-1</v>
      </c>
      <c r="AB701" s="27" t="n"/>
      <c r="AC701" s="27" t="n"/>
      <c r="AD701" s="1" t="inlineStr"/>
      <c r="AE701" s="1" t="inlineStr">
        <is>
          <t>White/Mauve Mist/Vapor Gray</t>
        </is>
      </c>
      <c r="AF701" s="4" t="inlineStr"/>
      <c r="AG701" s="4" t="inlineStr"/>
    </row>
    <row r="702" ht="47.25" customHeight="1">
      <c r="A702" s="18" t="inlineStr">
        <is>
          <t>197672018942</t>
        </is>
      </c>
      <c r="B702" s="19" t="inlineStr">
        <is>
          <t>https://www.amazon.com/dp/</t>
        </is>
      </c>
      <c r="C702" s="20" t="inlineStr">
        <is>
          <t>B0DJ65SW9X</t>
        </is>
      </c>
      <c r="D702" s="44" t="n"/>
      <c r="E702" s="23" t="inlineStr">
        <is>
          <t>?th=1&amp;psc=1&amp;tag=sdcdeals03-20</t>
        </is>
      </c>
      <c r="F702" s="19">
        <f>HYPERLINK("https://redirect.sdcdeals.com/redirect?destination=https%3A%2F%2Fwww.amazon.com%2Fdp%2FB0DJ65SW9X%3Fth%3D1%26psc%3D1%26tag%3Dsdcdeals03-20", "Amazon Link")</f>
        <v/>
      </c>
      <c r="G702" s="19" t="inlineStr">
        <is>
          <t>https://www.jcpenney.com/s?searchTerm={search_term}</t>
        </is>
      </c>
      <c r="H702" s="23" t="inlineStr">
        <is>
          <t>197672018942</t>
        </is>
      </c>
      <c r="I702" s="19">
        <f>HYPERLINK("https://www.jcpenney.com/s?searchTerm=197672018942", "Retail Link")</f>
        <v/>
      </c>
      <c r="J702" s="23" t="inlineStr">
        <is>
          <t>n/a</t>
        </is>
      </c>
      <c r="K702" s="21" t="inlineStr">
        <is>
          <t>Puma - Womens Club Pearl Shoes, Color White/Mauve Mist/Vapor Gray, Size: 6 M US</t>
        </is>
      </c>
      <c r="L702" s="24" t="n">
        <v>66.5</v>
      </c>
      <c r="M702" s="24" t="n">
        <v>74.98999999999999</v>
      </c>
      <c r="N702" s="24" t="n"/>
      <c r="O702" s="24">
        <f>V702-M702</f>
        <v/>
      </c>
      <c r="P702" s="25">
        <f>N702/L702</f>
        <v/>
      </c>
      <c r="Q702" s="23" t="n"/>
      <c r="R702" s="23" t="n"/>
      <c r="S702" s="26" t="n"/>
      <c r="T702" s="24" t="n">
        <v>70</v>
      </c>
      <c r="U702" s="24" t="n">
        <v>74.98999999999999</v>
      </c>
      <c r="V702" s="24" t="n">
        <v>74.98999999999999</v>
      </c>
      <c r="W702" s="26" t="inlineStr">
        <is>
          <t>PUMA Club Pearl Womens Sneakers</t>
        </is>
      </c>
      <c r="X702" s="23" t="n">
        <v>2</v>
      </c>
      <c r="Y702" s="18">
        <f>AC702-AB702</f>
        <v/>
      </c>
      <c r="Z702" s="27" t="n">
        <v>-1</v>
      </c>
      <c r="AA702" s="27" t="n">
        <v>-1</v>
      </c>
      <c r="AB702" s="27" t="n"/>
      <c r="AC702" s="27" t="n"/>
      <c r="AD702" s="1" t="inlineStr"/>
      <c r="AE702" s="1" t="inlineStr">
        <is>
          <t>White/Mauve Mist/Vapor Gray</t>
        </is>
      </c>
      <c r="AF702" s="4" t="inlineStr"/>
      <c r="AG702" s="4" t="inlineStr"/>
    </row>
    <row r="703" ht="47.25" customHeight="1">
      <c r="A703" s="18" t="inlineStr">
        <is>
          <t>197672018898</t>
        </is>
      </c>
      <c r="B703" s="19" t="inlineStr">
        <is>
          <t>https://www.amazon.com/dp/</t>
        </is>
      </c>
      <c r="C703" s="20" t="inlineStr">
        <is>
          <t>B0DJ63VPMH</t>
        </is>
      </c>
      <c r="D703" s="44" t="n"/>
      <c r="E703" s="23" t="inlineStr">
        <is>
          <t>?th=1&amp;psc=1&amp;tag=sdcdeals03-20</t>
        </is>
      </c>
      <c r="F703" s="19">
        <f>HYPERLINK("https://redirect.sdcdeals.com/redirect?destination=https%3A%2F%2Fwww.amazon.com%2Fdp%2FB0DJ63VPMH%3Fth%3D1%26psc%3D1%26tag%3Dsdcdeals03-20", "Amazon Link")</f>
        <v/>
      </c>
      <c r="G703" s="19" t="inlineStr">
        <is>
          <t>https://www.jcpenney.com/s?searchTerm={search_term}</t>
        </is>
      </c>
      <c r="H703" s="23" t="inlineStr">
        <is>
          <t>197672018898</t>
        </is>
      </c>
      <c r="I703" s="19">
        <f>HYPERLINK("https://www.jcpenney.com/s?searchTerm=197672018898", "Retail Link")</f>
        <v/>
      </c>
      <c r="J703" s="23" t="inlineStr">
        <is>
          <t>n/a</t>
        </is>
      </c>
      <c r="K703" s="21" t="inlineStr">
        <is>
          <t>Puma - Womens Club Pearl Shoes, Color White/Mauve Mist/Vapor Gray, Size: 6.5 M US</t>
        </is>
      </c>
      <c r="L703" s="24" t="n">
        <v>66.5</v>
      </c>
      <c r="M703" s="24" t="n">
        <v>74.98999999999999</v>
      </c>
      <c r="N703" s="24" t="n"/>
      <c r="O703" s="24">
        <f>V703-M703</f>
        <v/>
      </c>
      <c r="P703" s="25">
        <f>N703/L703</f>
        <v/>
      </c>
      <c r="Q703" s="23" t="n"/>
      <c r="R703" s="23" t="n"/>
      <c r="S703" s="26" t="n"/>
      <c r="T703" s="24" t="n">
        <v>70</v>
      </c>
      <c r="U703" s="24" t="n">
        <v>77.70999999999999</v>
      </c>
      <c r="V703" s="24" t="n">
        <v>77.70999999999999</v>
      </c>
      <c r="W703" s="26" t="inlineStr">
        <is>
          <t>PUMA Club Pearl Womens Sneakers</t>
        </is>
      </c>
      <c r="X703" s="23" t="n">
        <v>2</v>
      </c>
      <c r="Y703" s="18">
        <f>AC703-AB703</f>
        <v/>
      </c>
      <c r="Z703" s="27" t="n">
        <v>-1</v>
      </c>
      <c r="AA703" s="27" t="n">
        <v>-1</v>
      </c>
      <c r="AB703" s="27" t="n"/>
      <c r="AC703" s="27" t="n"/>
      <c r="AD703" s="1" t="inlineStr"/>
      <c r="AE703" s="1" t="inlineStr">
        <is>
          <t>White/Mauve Mist/Vapor Gray</t>
        </is>
      </c>
      <c r="AF703" s="4" t="inlineStr"/>
      <c r="AG703" s="4" t="inlineStr"/>
    </row>
    <row r="704" ht="47.25" customHeight="1">
      <c r="A704" s="18" t="inlineStr">
        <is>
          <t>197672018959</t>
        </is>
      </c>
      <c r="B704" s="19" t="inlineStr">
        <is>
          <t>https://www.amazon.com/dp/</t>
        </is>
      </c>
      <c r="C704" s="20" t="inlineStr">
        <is>
          <t>B0DJ64WD74</t>
        </is>
      </c>
      <c r="D704" s="44" t="n"/>
      <c r="E704" s="23" t="inlineStr">
        <is>
          <t>?th=1&amp;psc=1&amp;tag=sdcdeals03-20</t>
        </is>
      </c>
      <c r="F704" s="19">
        <f>HYPERLINK("https://redirect.sdcdeals.com/redirect?destination=https%3A%2F%2Fwww.amazon.com%2Fdp%2FB0DJ64WD74%3Fth%3D1%26psc%3D1%26tag%3Dsdcdeals03-20", "Amazon Link")</f>
        <v/>
      </c>
      <c r="G704" s="19" t="inlineStr">
        <is>
          <t>https://www.jcpenney.com/s?searchTerm={search_term}</t>
        </is>
      </c>
      <c r="H704" s="23" t="inlineStr">
        <is>
          <t>197672018959</t>
        </is>
      </c>
      <c r="I704" s="19">
        <f>HYPERLINK("https://www.jcpenney.com/s?searchTerm=197672018959", "Retail Link")</f>
        <v/>
      </c>
      <c r="J704" s="23" t="inlineStr">
        <is>
          <t>n/a</t>
        </is>
      </c>
      <c r="K704" s="21" t="inlineStr">
        <is>
          <t>Puma - Womens Club Pearl Shoes, Color White/Mauve Mist/Vapor Gray, Size: 7 M US</t>
        </is>
      </c>
      <c r="L704" s="24" t="n">
        <v>66.5</v>
      </c>
      <c r="M704" s="24" t="n">
        <v>74.98999999999999</v>
      </c>
      <c r="N704" s="24" t="n"/>
      <c r="O704" s="24">
        <f>V704-M704</f>
        <v/>
      </c>
      <c r="P704" s="25">
        <f>N704/L704</f>
        <v/>
      </c>
      <c r="Q704" s="23" t="n"/>
      <c r="R704" s="23" t="n"/>
      <c r="S704" s="26" t="n"/>
      <c r="T704" s="24" t="n">
        <v>70</v>
      </c>
      <c r="U704" s="24" t="n">
        <v>74.98999999999999</v>
      </c>
      <c r="V704" s="24" t="n">
        <v>74.98999999999999</v>
      </c>
      <c r="W704" s="26" t="inlineStr">
        <is>
          <t>PUMA Club Pearl Womens Sneakers</t>
        </is>
      </c>
      <c r="X704" s="23" t="n">
        <v>2</v>
      </c>
      <c r="Y704" s="18">
        <f>AC704-AB704</f>
        <v/>
      </c>
      <c r="Z704" s="27" t="n">
        <v>-1</v>
      </c>
      <c r="AA704" s="27" t="n">
        <v>-1</v>
      </c>
      <c r="AB704" s="27" t="n"/>
      <c r="AC704" s="27" t="n"/>
      <c r="AD704" s="1" t="inlineStr"/>
      <c r="AE704" s="1" t="inlineStr">
        <is>
          <t>White/Mauve Mist/Vapor Gray</t>
        </is>
      </c>
      <c r="AF704" s="4" t="inlineStr"/>
      <c r="AG704" s="4" t="inlineStr"/>
    </row>
    <row r="705" ht="47.25" customHeight="1">
      <c r="A705" s="18" t="inlineStr">
        <is>
          <t>197672018904</t>
        </is>
      </c>
      <c r="B705" s="19" t="inlineStr">
        <is>
          <t>https://www.amazon.com/dp/</t>
        </is>
      </c>
      <c r="C705" s="20" t="inlineStr">
        <is>
          <t>B0DJ65LWNB</t>
        </is>
      </c>
      <c r="D705" s="44" t="n"/>
      <c r="E705" s="23" t="inlineStr">
        <is>
          <t>?th=1&amp;psc=1&amp;tag=sdcdeals03-20</t>
        </is>
      </c>
      <c r="F705" s="19">
        <f>HYPERLINK("https://redirect.sdcdeals.com/redirect?destination=https%3A%2F%2Fwww.amazon.com%2Fdp%2FB0DJ65LWNB%3Fth%3D1%26psc%3D1%26tag%3Dsdcdeals03-20", "Amazon Link")</f>
        <v/>
      </c>
      <c r="G705" s="19" t="inlineStr">
        <is>
          <t>https://www.jcpenney.com/s?searchTerm={search_term}</t>
        </is>
      </c>
      <c r="H705" s="23" t="inlineStr">
        <is>
          <t>197672018904</t>
        </is>
      </c>
      <c r="I705" s="19">
        <f>HYPERLINK("https://www.jcpenney.com/s?searchTerm=197672018904", "Retail Link")</f>
        <v/>
      </c>
      <c r="J705" s="23" t="inlineStr">
        <is>
          <t>n/a</t>
        </is>
      </c>
      <c r="K705" s="21" t="inlineStr">
        <is>
          <t>Puma - Womens Club Pearl Shoes, Color White/Mauve Mist/Vapor Gray, Size: 7.5 M US</t>
        </is>
      </c>
      <c r="L705" s="24" t="n">
        <v>66.5</v>
      </c>
      <c r="M705" s="24" t="n">
        <v>74.98999999999999</v>
      </c>
      <c r="N705" s="24" t="n"/>
      <c r="O705" s="24">
        <f>V705-M705</f>
        <v/>
      </c>
      <c r="P705" s="25">
        <f>N705/L705</f>
        <v/>
      </c>
      <c r="Q705" s="23" t="n"/>
      <c r="R705" s="23" t="n"/>
      <c r="S705" s="26" t="n"/>
      <c r="T705" s="24" t="n">
        <v>70</v>
      </c>
      <c r="U705" s="24" t="n">
        <v>74.98999999999999</v>
      </c>
      <c r="V705" s="24" t="n">
        <v>74.98999999999999</v>
      </c>
      <c r="W705" s="26" t="inlineStr">
        <is>
          <t>PUMA Club Pearl Womens Sneakers</t>
        </is>
      </c>
      <c r="X705" s="23" t="n">
        <v>2</v>
      </c>
      <c r="Y705" s="18">
        <f>AC705-AB705</f>
        <v/>
      </c>
      <c r="Z705" s="27" t="n">
        <v>-1</v>
      </c>
      <c r="AA705" s="27" t="n">
        <v>-1</v>
      </c>
      <c r="AB705" s="27" t="n"/>
      <c r="AC705" s="27" t="n"/>
      <c r="AD705" s="1" t="inlineStr"/>
      <c r="AE705" s="1" t="inlineStr">
        <is>
          <t>White/Mauve Mist/Vapor Gray</t>
        </is>
      </c>
      <c r="AF705" s="4" t="inlineStr"/>
      <c r="AG705" s="4" t="inlineStr"/>
    </row>
    <row r="706" ht="47.25" customHeight="1">
      <c r="A706" s="18" t="inlineStr">
        <is>
          <t>197672018966</t>
        </is>
      </c>
      <c r="B706" s="19" t="inlineStr">
        <is>
          <t>https://www.amazon.com/dp/</t>
        </is>
      </c>
      <c r="C706" s="20" t="inlineStr">
        <is>
          <t>B0DJ649BD3</t>
        </is>
      </c>
      <c r="D706" s="44" t="n"/>
      <c r="E706" s="23" t="inlineStr">
        <is>
          <t>?th=1&amp;psc=1&amp;tag=sdcdeals03-20</t>
        </is>
      </c>
      <c r="F706" s="19">
        <f>HYPERLINK("https://redirect.sdcdeals.com/redirect?destination=https%3A%2F%2Fwww.amazon.com%2Fdp%2FB0DJ649BD3%3Fth%3D1%26psc%3D1%26tag%3Dsdcdeals03-20", "Amazon Link")</f>
        <v/>
      </c>
      <c r="G706" s="19" t="inlineStr">
        <is>
          <t>https://www.jcpenney.com/s?searchTerm={search_term}</t>
        </is>
      </c>
      <c r="H706" s="23" t="inlineStr">
        <is>
          <t>197672018966</t>
        </is>
      </c>
      <c r="I706" s="19">
        <f>HYPERLINK("https://www.jcpenney.com/s?searchTerm=197672018966", "Retail Link")</f>
        <v/>
      </c>
      <c r="J706" s="23" t="inlineStr">
        <is>
          <t>n/a</t>
        </is>
      </c>
      <c r="K706" s="21" t="inlineStr">
        <is>
          <t>Puma - Womens Club Pearl Shoes, Color White/Mauve Mist/Vapor Gray, Size: 8 M US</t>
        </is>
      </c>
      <c r="L706" s="24" t="n">
        <v>66.5</v>
      </c>
      <c r="M706" s="24" t="n">
        <v>74.98999999999999</v>
      </c>
      <c r="N706" s="24" t="n"/>
      <c r="O706" s="24">
        <f>V706-M706</f>
        <v/>
      </c>
      <c r="P706" s="25">
        <f>N706/L706</f>
        <v/>
      </c>
      <c r="Q706" s="23" t="n"/>
      <c r="R706" s="23" t="n"/>
      <c r="S706" s="26" t="n"/>
      <c r="T706" s="24" t="n">
        <v>70</v>
      </c>
      <c r="U706" s="24" t="n">
        <v>74.98999999999999</v>
      </c>
      <c r="V706" s="24" t="n">
        <v>74.98999999999999</v>
      </c>
      <c r="W706" s="26" t="inlineStr">
        <is>
          <t>PUMA Club Pearl Womens Sneakers</t>
        </is>
      </c>
      <c r="X706" s="23" t="n">
        <v>2</v>
      </c>
      <c r="Y706" s="18">
        <f>AC706-AB706</f>
        <v/>
      </c>
      <c r="Z706" s="27" t="n">
        <v>-1</v>
      </c>
      <c r="AA706" s="27" t="n">
        <v>-1</v>
      </c>
      <c r="AB706" s="27" t="n"/>
      <c r="AC706" s="27" t="n"/>
      <c r="AD706" s="1" t="inlineStr"/>
      <c r="AE706" s="1" t="inlineStr">
        <is>
          <t>White/Mauve Mist/Vapor Gray</t>
        </is>
      </c>
      <c r="AF706" s="4" t="inlineStr"/>
      <c r="AG706" s="4" t="inlineStr"/>
    </row>
    <row r="707" ht="47.25" customHeight="1">
      <c r="A707" s="18" t="inlineStr">
        <is>
          <t>197672018911</t>
        </is>
      </c>
      <c r="B707" s="19" t="inlineStr">
        <is>
          <t>https://www.amazon.com/dp/</t>
        </is>
      </c>
      <c r="C707" s="20" t="inlineStr">
        <is>
          <t>B0DJ65LJGL</t>
        </is>
      </c>
      <c r="D707" s="44" t="n"/>
      <c r="E707" s="23" t="inlineStr">
        <is>
          <t>?th=1&amp;psc=1&amp;tag=sdcdeals03-20</t>
        </is>
      </c>
      <c r="F707" s="19">
        <f>HYPERLINK("https://redirect.sdcdeals.com/redirect?destination=https%3A%2F%2Fwww.amazon.com%2Fdp%2FB0DJ65LJGL%3Fth%3D1%26psc%3D1%26tag%3Dsdcdeals03-20", "Amazon Link")</f>
        <v/>
      </c>
      <c r="G707" s="19" t="inlineStr">
        <is>
          <t>https://www.jcpenney.com/s?searchTerm={search_term}</t>
        </is>
      </c>
      <c r="H707" s="23" t="inlineStr">
        <is>
          <t>197672018911</t>
        </is>
      </c>
      <c r="I707" s="19">
        <f>HYPERLINK("https://www.jcpenney.com/s?searchTerm=197672018911", "Retail Link")</f>
        <v/>
      </c>
      <c r="J707" s="23" t="inlineStr">
        <is>
          <t>n/a</t>
        </is>
      </c>
      <c r="K707" s="21" t="inlineStr">
        <is>
          <t>Puma - Womens Club Pearl Shoes, Color White/Mauve Mist/Vapor Gray, Size: 8.5 M US</t>
        </is>
      </c>
      <c r="L707" s="24" t="n">
        <v>66.5</v>
      </c>
      <c r="M707" s="24" t="n">
        <v>74.98999999999999</v>
      </c>
      <c r="N707" s="24" t="n"/>
      <c r="O707" s="24">
        <f>V707-M707</f>
        <v/>
      </c>
      <c r="P707" s="25">
        <f>N707/L707</f>
        <v/>
      </c>
      <c r="Q707" s="23" t="n"/>
      <c r="R707" s="23" t="n"/>
      <c r="S707" s="26" t="n"/>
      <c r="T707" s="24" t="n">
        <v>70</v>
      </c>
      <c r="U707" s="24" t="n">
        <v>74.98999999999999</v>
      </c>
      <c r="V707" s="24" t="n">
        <v>74.98999999999999</v>
      </c>
      <c r="W707" s="26" t="inlineStr">
        <is>
          <t>PUMA Club Pearl Womens Sneakers</t>
        </is>
      </c>
      <c r="X707" s="23" t="n">
        <v>2</v>
      </c>
      <c r="Y707" s="18">
        <f>AC707-AB707</f>
        <v/>
      </c>
      <c r="Z707" s="27" t="n">
        <v>-1</v>
      </c>
      <c r="AA707" s="27" t="n">
        <v>-1</v>
      </c>
      <c r="AB707" s="27" t="n"/>
      <c r="AC707" s="27" t="n"/>
      <c r="AD707" s="1" t="inlineStr"/>
      <c r="AE707" s="1" t="inlineStr">
        <is>
          <t>White/Mauve Mist/Vapor Gray</t>
        </is>
      </c>
      <c r="AF707" s="4" t="inlineStr"/>
      <c r="AG707" s="4" t="inlineStr"/>
    </row>
    <row r="708" ht="47.25" customHeight="1">
      <c r="A708" s="18" t="inlineStr">
        <is>
          <t>197672018973</t>
        </is>
      </c>
      <c r="B708" s="19" t="inlineStr">
        <is>
          <t>https://www.amazon.com/dp/</t>
        </is>
      </c>
      <c r="C708" s="20" t="inlineStr">
        <is>
          <t>B0DJ64C9TL</t>
        </is>
      </c>
      <c r="D708" s="44" t="n"/>
      <c r="E708" s="23" t="inlineStr">
        <is>
          <t>?th=1&amp;psc=1&amp;tag=sdcdeals03-20</t>
        </is>
      </c>
      <c r="F708" s="19">
        <f>HYPERLINK("https://redirect.sdcdeals.com/redirect?destination=https%3A%2F%2Fwww.amazon.com%2Fdp%2FB0DJ64C9TL%3Fth%3D1%26psc%3D1%26tag%3Dsdcdeals03-20", "Amazon Link")</f>
        <v/>
      </c>
      <c r="G708" s="19" t="inlineStr">
        <is>
          <t>https://www.jcpenney.com/s?searchTerm={search_term}</t>
        </is>
      </c>
      <c r="H708" s="23" t="inlineStr">
        <is>
          <t>197672018973</t>
        </is>
      </c>
      <c r="I708" s="19">
        <f>HYPERLINK("https://www.jcpenney.com/s?searchTerm=197672018973", "Retail Link")</f>
        <v/>
      </c>
      <c r="J708" s="23" t="inlineStr">
        <is>
          <t>n/a</t>
        </is>
      </c>
      <c r="K708" s="21" t="inlineStr">
        <is>
          <t>Puma - Womens Club Pearl Shoes, Color White/Mauve Mist/Vapor Gray, Size: 9 M US</t>
        </is>
      </c>
      <c r="L708" s="24" t="n">
        <v>66.5</v>
      </c>
      <c r="M708" s="24" t="n">
        <v>74.98999999999999</v>
      </c>
      <c r="N708" s="24" t="n"/>
      <c r="O708" s="24">
        <f>V708-M708</f>
        <v/>
      </c>
      <c r="P708" s="25">
        <f>N708/L708</f>
        <v/>
      </c>
      <c r="Q708" s="23" t="n"/>
      <c r="R708" s="23" t="n"/>
      <c r="S708" s="26" t="n"/>
      <c r="T708" s="24" t="n">
        <v>70</v>
      </c>
      <c r="U708" s="24" t="n">
        <v>75.09999999999999</v>
      </c>
      <c r="V708" s="24" t="n">
        <v>75.09999999999999</v>
      </c>
      <c r="W708" s="26" t="inlineStr">
        <is>
          <t>PUMA Club Pearl Womens Sneakers</t>
        </is>
      </c>
      <c r="X708" s="23" t="n">
        <v>2</v>
      </c>
      <c r="Y708" s="18">
        <f>AC708-AB708</f>
        <v/>
      </c>
      <c r="Z708" s="27" t="n">
        <v>-1</v>
      </c>
      <c r="AA708" s="27" t="n">
        <v>-1</v>
      </c>
      <c r="AB708" s="27" t="n"/>
      <c r="AC708" s="27" t="n"/>
      <c r="AD708" s="1" t="inlineStr"/>
      <c r="AE708" s="1" t="inlineStr">
        <is>
          <t>White/Mauve Mist/Vapor Gray</t>
        </is>
      </c>
      <c r="AF708" s="4" t="inlineStr"/>
      <c r="AG708" s="4" t="inlineStr"/>
    </row>
    <row r="709" ht="47.25" customHeight="1">
      <c r="A709" s="18" t="inlineStr">
        <is>
          <t>197672018928</t>
        </is>
      </c>
      <c r="B709" s="19" t="inlineStr">
        <is>
          <t>https://www.amazon.com/dp/</t>
        </is>
      </c>
      <c r="C709" s="20" t="inlineStr">
        <is>
          <t>B0DJ65WZ6G</t>
        </is>
      </c>
      <c r="D709" s="44" t="n"/>
      <c r="E709" s="23" t="inlineStr">
        <is>
          <t>?th=1&amp;psc=1&amp;tag=sdcdeals03-20</t>
        </is>
      </c>
      <c r="F709" s="19">
        <f>HYPERLINK("https://redirect.sdcdeals.com/redirect?destination=https%3A%2F%2Fwww.amazon.com%2Fdp%2FB0DJ65WZ6G%3Fth%3D1%26psc%3D1%26tag%3Dsdcdeals03-20", "Amazon Link")</f>
        <v/>
      </c>
      <c r="G709" s="19" t="inlineStr">
        <is>
          <t>https://www.jcpenney.com/s?searchTerm={search_term}</t>
        </is>
      </c>
      <c r="H709" s="23" t="inlineStr">
        <is>
          <t>197672018928</t>
        </is>
      </c>
      <c r="I709" s="19">
        <f>HYPERLINK("https://www.jcpenney.com/s?searchTerm=197672018928", "Retail Link")</f>
        <v/>
      </c>
      <c r="J709" s="23" t="inlineStr">
        <is>
          <t>n/a</t>
        </is>
      </c>
      <c r="K709" s="21" t="inlineStr">
        <is>
          <t>Puma - Womens Club Pearl Shoes, Color White/Mauve Mist/Vapor Gray, Size: 9.5 M US</t>
        </is>
      </c>
      <c r="L709" s="24" t="n">
        <v>66.5</v>
      </c>
      <c r="M709" s="24" t="n">
        <v>74.98999999999999</v>
      </c>
      <c r="N709" s="24" t="n"/>
      <c r="O709" s="24">
        <f>V709-M709</f>
        <v/>
      </c>
      <c r="P709" s="25">
        <f>N709/L709</f>
        <v/>
      </c>
      <c r="Q709" s="23" t="n"/>
      <c r="R709" s="23" t="n"/>
      <c r="S709" s="26" t="n"/>
      <c r="T709" s="24" t="n">
        <v>70</v>
      </c>
      <c r="U709" s="24" t="n">
        <v>77.62</v>
      </c>
      <c r="V709" s="24" t="n">
        <v>77.62</v>
      </c>
      <c r="W709" s="26" t="inlineStr">
        <is>
          <t>PUMA Club Pearl Womens Sneakers</t>
        </is>
      </c>
      <c r="X709" s="23" t="n">
        <v>2</v>
      </c>
      <c r="Y709" s="18">
        <f>AC709-AB709</f>
        <v/>
      </c>
      <c r="Z709" s="27" t="n">
        <v>-1</v>
      </c>
      <c r="AA709" s="27" t="n">
        <v>-1</v>
      </c>
      <c r="AB709" s="27" t="n"/>
      <c r="AC709" s="27" t="n"/>
      <c r="AD709" s="1" t="inlineStr"/>
      <c r="AE709" s="1" t="inlineStr">
        <is>
          <t>White/Mauve Mist/Vapor Gray</t>
        </is>
      </c>
      <c r="AF709" s="4" t="inlineStr"/>
      <c r="AG709" s="4" t="inlineStr"/>
    </row>
    <row r="710" ht="47.25" customHeight="1">
      <c r="A710" s="18" t="inlineStr">
        <is>
          <t>197672018980</t>
        </is>
      </c>
      <c r="B710" s="19" t="inlineStr">
        <is>
          <t>https://www.amazon.com/dp/</t>
        </is>
      </c>
      <c r="C710" s="20" t="inlineStr">
        <is>
          <t>B0DJ64DZ1Q</t>
        </is>
      </c>
      <c r="D710" s="44" t="n"/>
      <c r="E710" s="23" t="inlineStr">
        <is>
          <t>?th=1&amp;psc=1&amp;tag=sdcdeals03-20</t>
        </is>
      </c>
      <c r="F710" s="19">
        <f>HYPERLINK("https://redirect.sdcdeals.com/redirect?destination=https%3A%2F%2Fwww.amazon.com%2Fdp%2FB0DJ64DZ1Q%3Fth%3D1%26psc%3D1%26tag%3Dsdcdeals03-20", "Amazon Link")</f>
        <v/>
      </c>
      <c r="G710" s="19" t="inlineStr">
        <is>
          <t>https://www.jcpenney.com/s?searchTerm={search_term}</t>
        </is>
      </c>
      <c r="H710" s="23" t="inlineStr">
        <is>
          <t>197672018980</t>
        </is>
      </c>
      <c r="I710" s="19">
        <f>HYPERLINK("https://www.jcpenney.com/s?searchTerm=197672018980", "Retail Link")</f>
        <v/>
      </c>
      <c r="J710" s="23" t="inlineStr">
        <is>
          <t>n/a</t>
        </is>
      </c>
      <c r="K710" s="21" t="inlineStr">
        <is>
          <t>Puma - Womens Club Pearl Shoes, Color White/Mauve Mist/Vapor Gray, Size: 10 M US</t>
        </is>
      </c>
      <c r="L710" s="24" t="n">
        <v>66.5</v>
      </c>
      <c r="M710" s="24" t="n">
        <v>74.98999999999999</v>
      </c>
      <c r="N710" s="24" t="n"/>
      <c r="O710" s="24">
        <f>V710-M710</f>
        <v/>
      </c>
      <c r="P710" s="25">
        <f>N710/L710</f>
        <v/>
      </c>
      <c r="Q710" s="23" t="n"/>
      <c r="R710" s="23" t="n"/>
      <c r="S710" s="26" t="n"/>
      <c r="T710" s="24" t="n">
        <v>70</v>
      </c>
      <c r="U710" s="24" t="n">
        <v>74.98999999999999</v>
      </c>
      <c r="V710" s="24" t="n">
        <v>74.98999999999999</v>
      </c>
      <c r="W710" s="26" t="inlineStr">
        <is>
          <t>PUMA Club Pearl Womens Sneakers</t>
        </is>
      </c>
      <c r="X710" s="23" t="n">
        <v>2</v>
      </c>
      <c r="Y710" s="18">
        <f>AC710-AB710</f>
        <v/>
      </c>
      <c r="Z710" s="27" t="n">
        <v>-1</v>
      </c>
      <c r="AA710" s="27" t="n">
        <v>-1</v>
      </c>
      <c r="AB710" s="27" t="n"/>
      <c r="AC710" s="27" t="n"/>
      <c r="AD710" s="1" t="inlineStr"/>
      <c r="AE710" s="1" t="inlineStr">
        <is>
          <t>White/Mauve Mist/Vapor Gray</t>
        </is>
      </c>
      <c r="AF710" s="4" t="inlineStr"/>
      <c r="AG710" s="4" t="inlineStr"/>
    </row>
    <row r="711" ht="47.25" customHeight="1">
      <c r="A711" s="18" t="inlineStr">
        <is>
          <t>197672018997</t>
        </is>
      </c>
      <c r="B711" s="19" t="inlineStr">
        <is>
          <t>https://www.amazon.com/dp/</t>
        </is>
      </c>
      <c r="C711" s="20" t="inlineStr">
        <is>
          <t>B0DJ65D6C2</t>
        </is>
      </c>
      <c r="D711" s="44" t="n"/>
      <c r="E711" s="23" t="inlineStr">
        <is>
          <t>?th=1&amp;psc=1&amp;tag=sdcdeals03-20</t>
        </is>
      </c>
      <c r="F711" s="19">
        <f>HYPERLINK("https://redirect.sdcdeals.com/redirect?destination=https%3A%2F%2Fwww.amazon.com%2Fdp%2FB0DJ65D6C2%3Fth%3D1%26psc%3D1%26tag%3Dsdcdeals03-20", "Amazon Link")</f>
        <v/>
      </c>
      <c r="G711" s="19" t="inlineStr">
        <is>
          <t>https://www.jcpenney.com/s?searchTerm={search_term}</t>
        </is>
      </c>
      <c r="H711" s="23" t="inlineStr">
        <is>
          <t>197672018997</t>
        </is>
      </c>
      <c r="I711" s="19">
        <f>HYPERLINK("https://www.jcpenney.com/s?searchTerm=197672018997", "Retail Link")</f>
        <v/>
      </c>
      <c r="J711" s="23" t="inlineStr">
        <is>
          <t>n/a</t>
        </is>
      </c>
      <c r="K711" s="21" t="inlineStr">
        <is>
          <t>Puma - Womens Club Pearl Shoes, Color White/Mauve Mist/Vapor Gray, Size: 11 M US</t>
        </is>
      </c>
      <c r="L711" s="24" t="n">
        <v>66.5</v>
      </c>
      <c r="M711" s="24" t="n">
        <v>100.34</v>
      </c>
      <c r="N711" s="24" t="n"/>
      <c r="O711" s="24">
        <f>V711-M711</f>
        <v/>
      </c>
      <c r="P711" s="25">
        <f>N711/L711</f>
        <v/>
      </c>
      <c r="Q711" s="23" t="n"/>
      <c r="R711" s="23" t="n"/>
      <c r="S711" s="26" t="n"/>
      <c r="T711" s="24" t="n">
        <v>85.39</v>
      </c>
      <c r="U711" s="24" t="n">
        <v>100.34</v>
      </c>
      <c r="V711" s="24" t="n">
        <v>100.34</v>
      </c>
      <c r="W711" s="26" t="inlineStr">
        <is>
          <t>PUMA Club Pearl Womens Sneakers</t>
        </is>
      </c>
      <c r="X711" s="23" t="n">
        <v>2</v>
      </c>
      <c r="Y711" s="18">
        <f>AC711-AB711</f>
        <v/>
      </c>
      <c r="Z711" s="27" t="n">
        <v>-1</v>
      </c>
      <c r="AA711" s="27" t="n">
        <v>-1</v>
      </c>
      <c r="AB711" s="27" t="n"/>
      <c r="AC711" s="27" t="n"/>
      <c r="AD711" s="1" t="inlineStr"/>
      <c r="AE711" s="1" t="inlineStr">
        <is>
          <t>White/Mauve Mist/Vapor Gray</t>
        </is>
      </c>
      <c r="AF711" s="4" t="inlineStr"/>
      <c r="AG711" s="4" t="inlineStr"/>
    </row>
    <row r="712" ht="47.25" customHeight="1">
      <c r="A712" s="18" t="inlineStr">
        <is>
          <t>197672018935</t>
        </is>
      </c>
      <c r="B712" s="19" t="inlineStr">
        <is>
          <t>https://www.amazon.com/dp/</t>
        </is>
      </c>
      <c r="C712" s="20" t="inlineStr">
        <is>
          <t>B0DJ64DTTW</t>
        </is>
      </c>
      <c r="D712" s="44" t="n"/>
      <c r="E712" s="23" t="inlineStr">
        <is>
          <t>?th=1&amp;psc=1&amp;tag=sdcdeals03-20</t>
        </is>
      </c>
      <c r="F712" s="19">
        <f>HYPERLINK("https://redirect.sdcdeals.com/redirect?destination=https%3A%2F%2Fwww.amazon.com%2Fdp%2FB0DJ64DTTW%3Fth%3D1%26psc%3D1%26tag%3Dsdcdeals03-20", "Amazon Link")</f>
        <v/>
      </c>
      <c r="G712" s="19" t="inlineStr">
        <is>
          <t>https://www.jcpenney.com/s?searchTerm={search_term}</t>
        </is>
      </c>
      <c r="H712" s="23" t="inlineStr">
        <is>
          <t>197672018935</t>
        </is>
      </c>
      <c r="I712" s="19">
        <f>HYPERLINK("https://www.jcpenney.com/s?searchTerm=197672018935", "Retail Link")</f>
        <v/>
      </c>
      <c r="J712" s="23" t="inlineStr">
        <is>
          <t>n/a</t>
        </is>
      </c>
      <c r="K712" s="21" t="inlineStr">
        <is>
          <t>Puma - Womens Club Pearl Shoes, Color White/Mauve Mist/Vapor Gray, Size: 10.5 M US</t>
        </is>
      </c>
      <c r="L712" s="24" t="n">
        <v>66.5</v>
      </c>
      <c r="M712" s="24" t="inlineStr"/>
      <c r="N712" s="24" t="n"/>
      <c r="O712" s="24">
        <f>V712-M712</f>
        <v/>
      </c>
      <c r="P712" s="25">
        <f>N712/L712</f>
        <v/>
      </c>
      <c r="Q712" s="23" t="n"/>
      <c r="R712" s="23" t="n"/>
      <c r="S712" s="26" t="n"/>
      <c r="T712" s="24" t="inlineStr"/>
      <c r="U712" s="24" t="inlineStr"/>
      <c r="V712" s="24" t="inlineStr"/>
      <c r="W712" s="26" t="inlineStr">
        <is>
          <t>PUMA Club Pearl Womens Sneakers</t>
        </is>
      </c>
      <c r="X712" s="23" t="n"/>
      <c r="Y712" s="18">
        <f>AC712-AB712</f>
        <v/>
      </c>
      <c r="Z712" s="27" t="n">
        <v>-1</v>
      </c>
      <c r="AA712" s="27" t="n">
        <v>-1</v>
      </c>
      <c r="AB712" s="27" t="n"/>
      <c r="AC712" s="27" t="n"/>
      <c r="AD712" s="1" t="inlineStr"/>
      <c r="AE712" s="1" t="inlineStr">
        <is>
          <t>White/Mauve Mist/Vapor Gray</t>
        </is>
      </c>
      <c r="AF712" s="4" t="inlineStr"/>
      <c r="AG712" s="4" t="inlineStr"/>
    </row>
    <row r="713" ht="47.25" customHeight="1">
      <c r="A713" s="18" t="inlineStr">
        <is>
          <t>197672019246</t>
        </is>
      </c>
      <c r="B713" s="19" t="inlineStr">
        <is>
          <t>https://www.amazon.com/dp/</t>
        </is>
      </c>
      <c r="C713" s="20" t="inlineStr">
        <is>
          <t>B0DD126L48</t>
        </is>
      </c>
      <c r="D713" s="44" t="n"/>
      <c r="E713" s="23" t="inlineStr">
        <is>
          <t>?th=1&amp;psc=1&amp;tag=sdcdeals03-20</t>
        </is>
      </c>
      <c r="F713" s="19">
        <f>HYPERLINK("https://redirect.sdcdeals.com/redirect?destination=https%3A%2F%2Fwww.amazon.com%2Fdp%2FB0DD126L48%3Fth%3D1%26psc%3D1%26tag%3Dsdcdeals03-20", "Amazon Link")</f>
        <v/>
      </c>
      <c r="G713" s="19" t="inlineStr">
        <is>
          <t>https://www.jcpenney.com/s?searchTerm={search_term}</t>
        </is>
      </c>
      <c r="H713" s="23" t="inlineStr">
        <is>
          <t>197672019246</t>
        </is>
      </c>
      <c r="I713" s="19">
        <f>HYPERLINK("https://www.jcpenney.com/s?searchTerm=197672019246", "Retail Link")</f>
        <v/>
      </c>
      <c r="J713" s="23" t="inlineStr">
        <is>
          <t>n/a</t>
        </is>
      </c>
      <c r="K713" s="21" t="inlineStr">
        <is>
          <t>Puma Womens Club Pearl Lace Up Sneakers Shoes Casual - White - Size 5.5 M</t>
        </is>
      </c>
      <c r="L713" s="24" t="n">
        <v>66.5</v>
      </c>
      <c r="M713" s="24" t="n">
        <v>62.95</v>
      </c>
      <c r="N713" s="24" t="n"/>
      <c r="O713" s="24">
        <f>V713-M713</f>
        <v/>
      </c>
      <c r="P713" s="25">
        <f>N713/L713</f>
        <v/>
      </c>
      <c r="Q713" s="23" t="n">
        <v>4839793</v>
      </c>
      <c r="R713" s="23" t="n"/>
      <c r="S713" s="26" t="n"/>
      <c r="T713" s="24" t="n">
        <v>62.95</v>
      </c>
      <c r="U713" s="24" t="n">
        <v>63.91</v>
      </c>
      <c r="V713" s="24" t="n">
        <v>63.91</v>
      </c>
      <c r="W713" s="26" t="inlineStr">
        <is>
          <t>PUMA Club Pearl Womens Sneakers</t>
        </is>
      </c>
      <c r="X713" s="23" t="n">
        <v>1</v>
      </c>
      <c r="Y713" s="18">
        <f>AC713-AB713</f>
        <v/>
      </c>
      <c r="Z713" s="27" t="n">
        <v>1</v>
      </c>
      <c r="AA713" s="27" t="n">
        <v>1</v>
      </c>
      <c r="AB713" s="27" t="n">
        <v>0</v>
      </c>
      <c r="AC713" s="27" t="n"/>
      <c r="AD713" s="1" t="inlineStr">
        <is>
          <t>39936005</t>
        </is>
      </c>
      <c r="AE713" s="1" t="inlineStr">
        <is>
          <t>White</t>
        </is>
      </c>
      <c r="AF713" s="4" t="inlineStr"/>
      <c r="AG713" s="4" t="inlineStr"/>
    </row>
    <row r="714" ht="47.25" customHeight="1">
      <c r="A714" s="18" t="inlineStr">
        <is>
          <t>197672019307</t>
        </is>
      </c>
      <c r="B714" s="19" t="inlineStr">
        <is>
          <t>https://www.amazon.com/dp/</t>
        </is>
      </c>
      <c r="C714" s="20" t="inlineStr">
        <is>
          <t>B0DD1155T2</t>
        </is>
      </c>
      <c r="D714" s="44" t="n"/>
      <c r="E714" s="23" t="inlineStr">
        <is>
          <t>?th=1&amp;psc=1&amp;tag=sdcdeals03-20</t>
        </is>
      </c>
      <c r="F714" s="19">
        <f>HYPERLINK("https://redirect.sdcdeals.com/redirect?destination=https%3A%2F%2Fwww.amazon.com%2Fdp%2FB0DD1155T2%3Fth%3D1%26psc%3D1%26tag%3Dsdcdeals03-20", "Amazon Link")</f>
        <v/>
      </c>
      <c r="G714" s="19" t="inlineStr">
        <is>
          <t>https://www.jcpenney.com/s?searchTerm={search_term}</t>
        </is>
      </c>
      <c r="H714" s="23" t="inlineStr">
        <is>
          <t>197672019307</t>
        </is>
      </c>
      <c r="I714" s="19">
        <f>HYPERLINK("https://www.jcpenney.com/s?searchTerm=197672019307", "Retail Link")</f>
        <v/>
      </c>
      <c r="J714" s="23" t="inlineStr">
        <is>
          <t>n/a</t>
        </is>
      </c>
      <c r="K714" s="21" t="inlineStr">
        <is>
          <t>Puma Womens Club Pearl Lace Up Sneakers Shoes Casual - White - Size 6 M</t>
        </is>
      </c>
      <c r="L714" s="24" t="n">
        <v>66.5</v>
      </c>
      <c r="M714" s="24" t="n">
        <v>62.95</v>
      </c>
      <c r="N714" s="24" t="n"/>
      <c r="O714" s="24">
        <f>V714-M714</f>
        <v/>
      </c>
      <c r="P714" s="25">
        <f>N714/L714</f>
        <v/>
      </c>
      <c r="Q714" s="23" t="n">
        <v>4332391</v>
      </c>
      <c r="R714" s="23" t="n"/>
      <c r="S714" s="26" t="n"/>
      <c r="T714" s="24" t="n">
        <v>62.95</v>
      </c>
      <c r="U714" s="24" t="n">
        <v>64</v>
      </c>
      <c r="V714" s="24" t="n">
        <v>64</v>
      </c>
      <c r="W714" s="26" t="inlineStr">
        <is>
          <t>PUMA Club Pearl Womens Sneakers</t>
        </is>
      </c>
      <c r="X714" s="23" t="n">
        <v>1</v>
      </c>
      <c r="Y714" s="18">
        <f>AC714-AB714</f>
        <v/>
      </c>
      <c r="Z714" s="27" t="n">
        <v>1</v>
      </c>
      <c r="AA714" s="27" t="n">
        <v>1</v>
      </c>
      <c r="AB714" s="27" t="n">
        <v>0</v>
      </c>
      <c r="AC714" s="27" t="n"/>
      <c r="AD714" s="1" t="inlineStr">
        <is>
          <t>39936005</t>
        </is>
      </c>
      <c r="AE714" s="1" t="inlineStr">
        <is>
          <t>White</t>
        </is>
      </c>
      <c r="AF714" s="4" t="inlineStr"/>
      <c r="AG714" s="4" t="inlineStr"/>
    </row>
    <row r="715" ht="47.25" customHeight="1">
      <c r="A715" s="18" t="inlineStr">
        <is>
          <t>197672019253</t>
        </is>
      </c>
      <c r="B715" s="19" t="inlineStr">
        <is>
          <t>https://www.amazon.com/dp/</t>
        </is>
      </c>
      <c r="C715" s="20" t="inlineStr">
        <is>
          <t>B0DD12QWRZ</t>
        </is>
      </c>
      <c r="D715" s="44" t="n"/>
      <c r="E715" s="23" t="inlineStr">
        <is>
          <t>?th=1&amp;psc=1&amp;tag=sdcdeals03-20</t>
        </is>
      </c>
      <c r="F715" s="19">
        <f>HYPERLINK("https://redirect.sdcdeals.com/redirect?destination=https%3A%2F%2Fwww.amazon.com%2Fdp%2FB0DD12QWRZ%3Fth%3D1%26psc%3D1%26tag%3Dsdcdeals03-20", "Amazon Link")</f>
        <v/>
      </c>
      <c r="G715" s="19" t="inlineStr">
        <is>
          <t>https://www.jcpenney.com/s?searchTerm={search_term}</t>
        </is>
      </c>
      <c r="H715" s="23" t="inlineStr">
        <is>
          <t>197672019253</t>
        </is>
      </c>
      <c r="I715" s="19">
        <f>HYPERLINK("https://www.jcpenney.com/s?searchTerm=197672019253", "Retail Link")</f>
        <v/>
      </c>
      <c r="J715" s="23" t="inlineStr">
        <is>
          <t>n/a</t>
        </is>
      </c>
      <c r="K715" s="21" t="inlineStr">
        <is>
          <t>Puma Womens Club Pearl Lace Up Sneakers Shoes Casual - White - Size 6.5 M</t>
        </is>
      </c>
      <c r="L715" s="24" t="n">
        <v>66.5</v>
      </c>
      <c r="M715" s="24" t="n">
        <v>62.95</v>
      </c>
      <c r="N715" s="24" t="n"/>
      <c r="O715" s="24">
        <f>V715-M715</f>
        <v/>
      </c>
      <c r="P715" s="25">
        <f>N715/L715</f>
        <v/>
      </c>
      <c r="Q715" s="23" t="n">
        <v>4699958</v>
      </c>
      <c r="R715" s="23" t="n"/>
      <c r="S715" s="26" t="n"/>
      <c r="T715" s="24" t="n">
        <v>62.95</v>
      </c>
      <c r="U715" s="24" t="n">
        <v>66.45999999999999</v>
      </c>
      <c r="V715" s="24" t="n">
        <v>66.45999999999999</v>
      </c>
      <c r="W715" s="26" t="inlineStr">
        <is>
          <t>PUMA Club Pearl Womens Sneakers</t>
        </is>
      </c>
      <c r="X715" s="23" t="n">
        <v>1</v>
      </c>
      <c r="Y715" s="18">
        <f>AC715-AB715</f>
        <v/>
      </c>
      <c r="Z715" s="27" t="n">
        <v>1</v>
      </c>
      <c r="AA715" s="27" t="n">
        <v>1</v>
      </c>
      <c r="AB715" s="27" t="n">
        <v>0</v>
      </c>
      <c r="AC715" s="27" t="n"/>
      <c r="AD715" s="1" t="inlineStr">
        <is>
          <t>39936005</t>
        </is>
      </c>
      <c r="AE715" s="1" t="inlineStr">
        <is>
          <t>White</t>
        </is>
      </c>
      <c r="AF715" s="4" t="inlineStr"/>
      <c r="AG715" s="4" t="inlineStr"/>
    </row>
    <row r="716" ht="47.25" customHeight="1">
      <c r="A716" s="18" t="inlineStr">
        <is>
          <t>197672019314</t>
        </is>
      </c>
      <c r="B716" s="19" t="inlineStr">
        <is>
          <t>https://www.amazon.com/dp/</t>
        </is>
      </c>
      <c r="C716" s="20" t="inlineStr">
        <is>
          <t>B0DD13WGH5</t>
        </is>
      </c>
      <c r="D716" s="44" t="n"/>
      <c r="E716" s="23" t="inlineStr">
        <is>
          <t>?th=1&amp;psc=1&amp;tag=sdcdeals03-20</t>
        </is>
      </c>
      <c r="F716" s="19">
        <f>HYPERLINK("https://redirect.sdcdeals.com/redirect?destination=https%3A%2F%2Fwww.amazon.com%2Fdp%2FB0DD13WGH5%3Fth%3D1%26psc%3D1%26tag%3Dsdcdeals03-20", "Amazon Link")</f>
        <v/>
      </c>
      <c r="G716" s="19" t="inlineStr">
        <is>
          <t>https://www.jcpenney.com/s?searchTerm={search_term}</t>
        </is>
      </c>
      <c r="H716" s="23" t="inlineStr">
        <is>
          <t>197672019314</t>
        </is>
      </c>
      <c r="I716" s="19">
        <f>HYPERLINK("https://www.jcpenney.com/s?searchTerm=197672019314", "Retail Link")</f>
        <v/>
      </c>
      <c r="J716" s="23" t="inlineStr">
        <is>
          <t>n/a</t>
        </is>
      </c>
      <c r="K716" s="21" t="inlineStr">
        <is>
          <t>Puma Womens Club Pearl Lace Up Sneakers Shoes Casual - White - Size 7 M</t>
        </is>
      </c>
      <c r="L716" s="24" t="n">
        <v>66.5</v>
      </c>
      <c r="M716" s="24" t="n">
        <v>62.95</v>
      </c>
      <c r="N716" s="24" t="n"/>
      <c r="O716" s="24">
        <f>V716-M716</f>
        <v/>
      </c>
      <c r="P716" s="25">
        <f>N716/L716</f>
        <v/>
      </c>
      <c r="Q716" s="23" t="n">
        <v>4332391</v>
      </c>
      <c r="R716" s="23" t="n"/>
      <c r="S716" s="26" t="n"/>
      <c r="T716" s="24" t="n">
        <v>62.95</v>
      </c>
      <c r="U716" s="24" t="n">
        <v>64.34</v>
      </c>
      <c r="V716" s="24" t="n">
        <v>64.34</v>
      </c>
      <c r="W716" s="26" t="inlineStr">
        <is>
          <t>PUMA Club Pearl Womens Sneakers</t>
        </is>
      </c>
      <c r="X716" s="23" t="n">
        <v>1</v>
      </c>
      <c r="Y716" s="18">
        <f>AC716-AB716</f>
        <v/>
      </c>
      <c r="Z716" s="27" t="n">
        <v>1</v>
      </c>
      <c r="AA716" s="27" t="n">
        <v>1</v>
      </c>
      <c r="AB716" s="27" t="n">
        <v>0</v>
      </c>
      <c r="AC716" s="27" t="n"/>
      <c r="AD716" s="1" t="inlineStr">
        <is>
          <t>39936005</t>
        </is>
      </c>
      <c r="AE716" s="1" t="inlineStr">
        <is>
          <t>White</t>
        </is>
      </c>
      <c r="AF716" s="4" t="inlineStr"/>
      <c r="AG716" s="4" t="inlineStr"/>
    </row>
    <row r="717" ht="47.25" customHeight="1">
      <c r="A717" s="18" t="inlineStr">
        <is>
          <t>197672019260</t>
        </is>
      </c>
      <c r="B717" s="19" t="inlineStr">
        <is>
          <t>https://www.amazon.com/dp/</t>
        </is>
      </c>
      <c r="C717" s="20" t="inlineStr">
        <is>
          <t>B0DD1SLKZ4</t>
        </is>
      </c>
      <c r="D717" s="44" t="n"/>
      <c r="E717" s="23" t="inlineStr">
        <is>
          <t>?th=1&amp;psc=1&amp;tag=sdcdeals03-20</t>
        </is>
      </c>
      <c r="F717" s="19">
        <f>HYPERLINK("https://redirect.sdcdeals.com/redirect?destination=https%3A%2F%2Fwww.amazon.com%2Fdp%2FB0DD1SLKZ4%3Fth%3D1%26psc%3D1%26tag%3Dsdcdeals03-20", "Amazon Link")</f>
        <v/>
      </c>
      <c r="G717" s="19" t="inlineStr">
        <is>
          <t>https://www.jcpenney.com/s?searchTerm={search_term}</t>
        </is>
      </c>
      <c r="H717" s="23" t="inlineStr">
        <is>
          <t>197672019260</t>
        </is>
      </c>
      <c r="I717" s="19">
        <f>HYPERLINK("https://www.jcpenney.com/s?searchTerm=197672019260", "Retail Link")</f>
        <v/>
      </c>
      <c r="J717" s="23" t="inlineStr">
        <is>
          <t>n/a</t>
        </is>
      </c>
      <c r="K717" s="21" t="inlineStr">
        <is>
          <t>Puma Womens Club Pearl Lace Up Sneakers Shoes Casual - White - Size 7.5 M</t>
        </is>
      </c>
      <c r="L717" s="24" t="n">
        <v>66.5</v>
      </c>
      <c r="M717" s="24" t="n">
        <v>62.95</v>
      </c>
      <c r="N717" s="24" t="n"/>
      <c r="O717" s="24">
        <f>V717-M717</f>
        <v/>
      </c>
      <c r="P717" s="25">
        <f>N717/L717</f>
        <v/>
      </c>
      <c r="Q717" s="23" t="n">
        <v>4558163</v>
      </c>
      <c r="R717" s="23" t="n"/>
      <c r="S717" s="26" t="n"/>
      <c r="T717" s="24" t="n">
        <v>62.95</v>
      </c>
      <c r="U717" s="24" t="n">
        <v>64.05</v>
      </c>
      <c r="V717" s="24" t="n">
        <v>64.05</v>
      </c>
      <c r="W717" s="26" t="inlineStr">
        <is>
          <t>PUMA Club Pearl Womens Sneakers</t>
        </is>
      </c>
      <c r="X717" s="23" t="n">
        <v>1</v>
      </c>
      <c r="Y717" s="18">
        <f>AC717-AB717</f>
        <v/>
      </c>
      <c r="Z717" s="27" t="n">
        <v>1</v>
      </c>
      <c r="AA717" s="27" t="n">
        <v>1</v>
      </c>
      <c r="AB717" s="27" t="n">
        <v>0</v>
      </c>
      <c r="AC717" s="27" t="n"/>
      <c r="AD717" s="1" t="inlineStr">
        <is>
          <t>39936005</t>
        </is>
      </c>
      <c r="AE717" s="1" t="inlineStr">
        <is>
          <t>White</t>
        </is>
      </c>
      <c r="AF717" s="4" t="inlineStr"/>
      <c r="AG717" s="4" t="inlineStr"/>
    </row>
    <row r="718" ht="47.25" customHeight="1">
      <c r="A718" s="18" t="inlineStr">
        <is>
          <t>197672019321</t>
        </is>
      </c>
      <c r="B718" s="19" t="inlineStr">
        <is>
          <t>https://www.amazon.com/dp/</t>
        </is>
      </c>
      <c r="C718" s="20" t="inlineStr">
        <is>
          <t>B0DD11Y4J6</t>
        </is>
      </c>
      <c r="D718" s="44" t="n"/>
      <c r="E718" s="23" t="inlineStr">
        <is>
          <t>?th=1&amp;psc=1&amp;tag=sdcdeals03-20</t>
        </is>
      </c>
      <c r="F718" s="19">
        <f>HYPERLINK("https://redirect.sdcdeals.com/redirect?destination=https%3A%2F%2Fwww.amazon.com%2Fdp%2FB0DD11Y4J6%3Fth%3D1%26psc%3D1%26tag%3Dsdcdeals03-20", "Amazon Link")</f>
        <v/>
      </c>
      <c r="G718" s="19" t="inlineStr">
        <is>
          <t>https://www.jcpenney.com/s?searchTerm={search_term}</t>
        </is>
      </c>
      <c r="H718" s="23" t="inlineStr">
        <is>
          <t>197672019321</t>
        </is>
      </c>
      <c r="I718" s="19">
        <f>HYPERLINK("https://www.jcpenney.com/s?searchTerm=197672019321", "Retail Link")</f>
        <v/>
      </c>
      <c r="J718" s="23" t="inlineStr">
        <is>
          <t>n/a</t>
        </is>
      </c>
      <c r="K718" s="21" t="inlineStr">
        <is>
          <t>Puma Womens Club Pearl Lace Up Sneakers Shoes Casual - White - Size 8 M</t>
        </is>
      </c>
      <c r="L718" s="24" t="n">
        <v>66.5</v>
      </c>
      <c r="M718" s="24" t="n">
        <v>62.95</v>
      </c>
      <c r="N718" s="24" t="n"/>
      <c r="O718" s="24">
        <f>V718-M718</f>
        <v/>
      </c>
      <c r="P718" s="25">
        <f>N718/L718</f>
        <v/>
      </c>
      <c r="Q718" s="23" t="n">
        <v>4332391</v>
      </c>
      <c r="R718" s="23" t="n"/>
      <c r="S718" s="26" t="n"/>
      <c r="T718" s="24" t="n">
        <v>62.95</v>
      </c>
      <c r="U718" s="24" t="n">
        <v>64.16</v>
      </c>
      <c r="V718" s="24" t="n">
        <v>64.16</v>
      </c>
      <c r="W718" s="26" t="inlineStr">
        <is>
          <t>PUMA Club Pearl Womens Sneakers</t>
        </is>
      </c>
      <c r="X718" s="23" t="n">
        <v>1</v>
      </c>
      <c r="Y718" s="18">
        <f>AC718-AB718</f>
        <v/>
      </c>
      <c r="Z718" s="27" t="n">
        <v>1</v>
      </c>
      <c r="AA718" s="27" t="n">
        <v>1</v>
      </c>
      <c r="AB718" s="27" t="n">
        <v>0</v>
      </c>
      <c r="AC718" s="27" t="n"/>
      <c r="AD718" s="1" t="inlineStr">
        <is>
          <t>39936005</t>
        </is>
      </c>
      <c r="AE718" s="1" t="inlineStr">
        <is>
          <t>White</t>
        </is>
      </c>
      <c r="AF718" s="4" t="inlineStr"/>
      <c r="AG718" s="4" t="inlineStr"/>
    </row>
    <row r="719" ht="47.25" customHeight="1">
      <c r="A719" s="18" t="inlineStr">
        <is>
          <t>197672019277</t>
        </is>
      </c>
      <c r="B719" s="19" t="inlineStr">
        <is>
          <t>https://www.amazon.com/dp/</t>
        </is>
      </c>
      <c r="C719" s="20" t="inlineStr">
        <is>
          <t>B0DD1HQZHT</t>
        </is>
      </c>
      <c r="D719" s="44" t="n"/>
      <c r="E719" s="23" t="inlineStr">
        <is>
          <t>?th=1&amp;psc=1&amp;tag=sdcdeals03-20</t>
        </is>
      </c>
      <c r="F719" s="19">
        <f>HYPERLINK("https://redirect.sdcdeals.com/redirect?destination=https%3A%2F%2Fwww.amazon.com%2Fdp%2FB0DD1HQZHT%3Fth%3D1%26psc%3D1%26tag%3Dsdcdeals03-20", "Amazon Link")</f>
        <v/>
      </c>
      <c r="G719" s="19" t="inlineStr">
        <is>
          <t>https://www.jcpenney.com/s?searchTerm={search_term}</t>
        </is>
      </c>
      <c r="H719" s="23" t="inlineStr">
        <is>
          <t>197672019277</t>
        </is>
      </c>
      <c r="I719" s="19">
        <f>HYPERLINK("https://www.jcpenney.com/s?searchTerm=197672019277", "Retail Link")</f>
        <v/>
      </c>
      <c r="J719" s="23" t="inlineStr">
        <is>
          <t>n/a</t>
        </is>
      </c>
      <c r="K719" s="21" t="inlineStr">
        <is>
          <t>Puma Womens Club Pearl Lace Up Sneakers Shoes Casual - White - Size 8.5 M</t>
        </is>
      </c>
      <c r="L719" s="24" t="n">
        <v>66.5</v>
      </c>
      <c r="M719" s="24" t="n">
        <v>62.95</v>
      </c>
      <c r="N719" s="24" t="n"/>
      <c r="O719" s="24">
        <f>V719-M719</f>
        <v/>
      </c>
      <c r="P719" s="25">
        <f>N719/L719</f>
        <v/>
      </c>
      <c r="Q719" s="23" t="n">
        <v>4761794</v>
      </c>
      <c r="R719" s="23" t="n"/>
      <c r="S719" s="26" t="n"/>
      <c r="T719" s="24" t="n">
        <v>62.95</v>
      </c>
      <c r="U719" s="24" t="n">
        <v>67.54000000000001</v>
      </c>
      <c r="V719" s="24" t="n">
        <v>67.54000000000001</v>
      </c>
      <c r="W719" s="26" t="inlineStr">
        <is>
          <t>PUMA Club Pearl Womens Sneakers</t>
        </is>
      </c>
      <c r="X719" s="23" t="n">
        <v>1</v>
      </c>
      <c r="Y719" s="18">
        <f>AC719-AB719</f>
        <v/>
      </c>
      <c r="Z719" s="27" t="n">
        <v>1</v>
      </c>
      <c r="AA719" s="27" t="n">
        <v>1</v>
      </c>
      <c r="AB719" s="27" t="n">
        <v>0</v>
      </c>
      <c r="AC719" s="27" t="n"/>
      <c r="AD719" s="1" t="inlineStr">
        <is>
          <t>39936005</t>
        </is>
      </c>
      <c r="AE719" s="1" t="inlineStr">
        <is>
          <t>White</t>
        </is>
      </c>
      <c r="AF719" s="4" t="inlineStr"/>
      <c r="AG719" s="4" t="inlineStr"/>
    </row>
    <row r="720" ht="47.25" customHeight="1">
      <c r="A720" s="18" t="inlineStr">
        <is>
          <t>197672019338</t>
        </is>
      </c>
      <c r="B720" s="19" t="inlineStr">
        <is>
          <t>https://www.amazon.com/dp/</t>
        </is>
      </c>
      <c r="C720" s="20" t="inlineStr">
        <is>
          <t>B0DD1HQNQT</t>
        </is>
      </c>
      <c r="D720" s="44" t="n"/>
      <c r="E720" s="23" t="inlineStr">
        <is>
          <t>?th=1&amp;psc=1&amp;tag=sdcdeals03-20</t>
        </is>
      </c>
      <c r="F720" s="19">
        <f>HYPERLINK("https://redirect.sdcdeals.com/redirect?destination=https%3A%2F%2Fwww.amazon.com%2Fdp%2FB0DD1HQNQT%3Fth%3D1%26psc%3D1%26tag%3Dsdcdeals03-20", "Amazon Link")</f>
        <v/>
      </c>
      <c r="G720" s="19" t="inlineStr">
        <is>
          <t>https://www.jcpenney.com/s?searchTerm={search_term}</t>
        </is>
      </c>
      <c r="H720" s="23" t="inlineStr">
        <is>
          <t>197672019338</t>
        </is>
      </c>
      <c r="I720" s="19">
        <f>HYPERLINK("https://www.jcpenney.com/s?searchTerm=197672019338", "Retail Link")</f>
        <v/>
      </c>
      <c r="J720" s="23" t="inlineStr">
        <is>
          <t>n/a</t>
        </is>
      </c>
      <c r="K720" s="21" t="inlineStr">
        <is>
          <t>Puma Womens Club Pearl Lace Up Sneakers Shoes Casual - White - Size 9 M</t>
        </is>
      </c>
      <c r="L720" s="24" t="n">
        <v>66.5</v>
      </c>
      <c r="M720" s="24" t="n">
        <v>62.95</v>
      </c>
      <c r="N720" s="24" t="n"/>
      <c r="O720" s="24">
        <f>V720-M720</f>
        <v/>
      </c>
      <c r="P720" s="25">
        <f>N720/L720</f>
        <v/>
      </c>
      <c r="Q720" s="23" t="n">
        <v>4332391</v>
      </c>
      <c r="R720" s="23" t="n"/>
      <c r="S720" s="26" t="n"/>
      <c r="T720" s="24" t="n">
        <v>62.95</v>
      </c>
      <c r="U720" s="24" t="n">
        <v>67.81999999999999</v>
      </c>
      <c r="V720" s="24" t="n">
        <v>67.81999999999999</v>
      </c>
      <c r="W720" s="26" t="inlineStr">
        <is>
          <t>PUMA Club Pearl Womens Sneakers</t>
        </is>
      </c>
      <c r="X720" s="23" t="n">
        <v>1</v>
      </c>
      <c r="Y720" s="18">
        <f>AC720-AB720</f>
        <v/>
      </c>
      <c r="Z720" s="27" t="n">
        <v>1</v>
      </c>
      <c r="AA720" s="27" t="n">
        <v>1</v>
      </c>
      <c r="AB720" s="27" t="n">
        <v>0</v>
      </c>
      <c r="AC720" s="27" t="n"/>
      <c r="AD720" s="1" t="inlineStr">
        <is>
          <t>39936005</t>
        </is>
      </c>
      <c r="AE720" s="1" t="inlineStr">
        <is>
          <t>White</t>
        </is>
      </c>
      <c r="AF720" s="4" t="inlineStr"/>
      <c r="AG720" s="4" t="inlineStr"/>
    </row>
    <row r="721" ht="47.25" customHeight="1">
      <c r="A721" s="18" t="inlineStr">
        <is>
          <t>197672019284</t>
        </is>
      </c>
      <c r="B721" s="19" t="inlineStr">
        <is>
          <t>https://www.amazon.com/dp/</t>
        </is>
      </c>
      <c r="C721" s="20" t="inlineStr">
        <is>
          <t>B0DD1HSBY8</t>
        </is>
      </c>
      <c r="D721" s="44" t="n"/>
      <c r="E721" s="23" t="inlineStr">
        <is>
          <t>?th=1&amp;psc=1&amp;tag=sdcdeals03-20</t>
        </is>
      </c>
      <c r="F721" s="19">
        <f>HYPERLINK("https://redirect.sdcdeals.com/redirect?destination=https%3A%2F%2Fwww.amazon.com%2Fdp%2FB0DD1HSBY8%3Fth%3D1%26psc%3D1%26tag%3Dsdcdeals03-20", "Amazon Link")</f>
        <v/>
      </c>
      <c r="G721" s="19" t="inlineStr">
        <is>
          <t>https://www.jcpenney.com/s?searchTerm={search_term}</t>
        </is>
      </c>
      <c r="H721" s="23" t="inlineStr">
        <is>
          <t>197672019284</t>
        </is>
      </c>
      <c r="I721" s="19">
        <f>HYPERLINK("https://www.jcpenney.com/s?searchTerm=197672019284", "Retail Link")</f>
        <v/>
      </c>
      <c r="J721" s="23" t="inlineStr">
        <is>
          <t>n/a</t>
        </is>
      </c>
      <c r="K721" s="21" t="inlineStr">
        <is>
          <t>Puma Womens Club Pearl Lace Up Sneakers Shoes Casual - White - Size 9.5 M</t>
        </is>
      </c>
      <c r="L721" s="24" t="n">
        <v>66.5</v>
      </c>
      <c r="M721" s="24" t="n">
        <v>62.95</v>
      </c>
      <c r="N721" s="24" t="n"/>
      <c r="O721" s="24">
        <f>V721-M721</f>
        <v/>
      </c>
      <c r="P721" s="25">
        <f>N721/L721</f>
        <v/>
      </c>
      <c r="Q721" s="23" t="n">
        <v>4332391</v>
      </c>
      <c r="R721" s="23" t="n"/>
      <c r="S721" s="26" t="n"/>
      <c r="T721" s="24" t="n">
        <v>62.95</v>
      </c>
      <c r="U721" s="24" t="n">
        <v>64.13</v>
      </c>
      <c r="V721" s="24" t="n">
        <v>64.13</v>
      </c>
      <c r="W721" s="26" t="inlineStr">
        <is>
          <t>PUMA Club Pearl Womens Sneakers</t>
        </is>
      </c>
      <c r="X721" s="23" t="n">
        <v>1</v>
      </c>
      <c r="Y721" s="18">
        <f>AC721-AB721</f>
        <v/>
      </c>
      <c r="Z721" s="27" t="n">
        <v>1</v>
      </c>
      <c r="AA721" s="27" t="n">
        <v>1</v>
      </c>
      <c r="AB721" s="27" t="n">
        <v>0</v>
      </c>
      <c r="AC721" s="27" t="n"/>
      <c r="AD721" s="1" t="inlineStr">
        <is>
          <t>39936005</t>
        </is>
      </c>
      <c r="AE721" s="1" t="inlineStr">
        <is>
          <t>White</t>
        </is>
      </c>
      <c r="AF721" s="4" t="inlineStr"/>
      <c r="AG721" s="4" t="inlineStr"/>
    </row>
    <row r="722" ht="47.25" customHeight="1">
      <c r="A722" s="18" t="inlineStr">
        <is>
          <t>197672019345</t>
        </is>
      </c>
      <c r="B722" s="19" t="inlineStr">
        <is>
          <t>https://www.amazon.com/dp/</t>
        </is>
      </c>
      <c r="C722" s="20" t="inlineStr">
        <is>
          <t>B0DD1HW84P</t>
        </is>
      </c>
      <c r="D722" s="44" t="n"/>
      <c r="E722" s="23" t="inlineStr">
        <is>
          <t>?th=1&amp;psc=1&amp;tag=sdcdeals03-20</t>
        </is>
      </c>
      <c r="F722" s="19">
        <f>HYPERLINK("https://redirect.sdcdeals.com/redirect?destination=https%3A%2F%2Fwww.amazon.com%2Fdp%2FB0DD1HW84P%3Fth%3D1%26psc%3D1%26tag%3Dsdcdeals03-20", "Amazon Link")</f>
        <v/>
      </c>
      <c r="G722" s="19" t="inlineStr">
        <is>
          <t>https://www.jcpenney.com/s?searchTerm={search_term}</t>
        </is>
      </c>
      <c r="H722" s="23" t="inlineStr">
        <is>
          <t>197672019345</t>
        </is>
      </c>
      <c r="I722" s="19">
        <f>HYPERLINK("https://www.jcpenney.com/s?searchTerm=197672019345", "Retail Link")</f>
        <v/>
      </c>
      <c r="J722" s="23" t="inlineStr">
        <is>
          <t>n/a</t>
        </is>
      </c>
      <c r="K722" s="21" t="inlineStr">
        <is>
          <t>Puma Womens Club Pearl Lace Up Sneakers Shoes Casual - White - Size 10 M</t>
        </is>
      </c>
      <c r="L722" s="24" t="n">
        <v>66.5</v>
      </c>
      <c r="M722" s="24" t="n">
        <v>62.95</v>
      </c>
      <c r="N722" s="24" t="n"/>
      <c r="O722" s="24">
        <f>V722-M722</f>
        <v/>
      </c>
      <c r="P722" s="25">
        <f>N722/L722</f>
        <v/>
      </c>
      <c r="Q722" s="23" t="n">
        <v>4677973</v>
      </c>
      <c r="R722" s="23" t="n"/>
      <c r="S722" s="26" t="n"/>
      <c r="T722" s="24" t="n">
        <v>62.95</v>
      </c>
      <c r="U722" s="24" t="n">
        <v>64.12</v>
      </c>
      <c r="V722" s="24" t="n">
        <v>64.12</v>
      </c>
      <c r="W722" s="26" t="inlineStr">
        <is>
          <t>PUMA Club Pearl Womens Sneakers</t>
        </is>
      </c>
      <c r="X722" s="23" t="n">
        <v>1</v>
      </c>
      <c r="Y722" s="18">
        <f>AC722-AB722</f>
        <v/>
      </c>
      <c r="Z722" s="27" t="n">
        <v>1</v>
      </c>
      <c r="AA722" s="27" t="n">
        <v>1</v>
      </c>
      <c r="AB722" s="27" t="n">
        <v>0</v>
      </c>
      <c r="AC722" s="27" t="n"/>
      <c r="AD722" s="1" t="inlineStr">
        <is>
          <t>39936005</t>
        </is>
      </c>
      <c r="AE722" s="1" t="inlineStr">
        <is>
          <t>White</t>
        </is>
      </c>
      <c r="AF722" s="4" t="inlineStr"/>
      <c r="AG722" s="4" t="inlineStr"/>
    </row>
    <row r="723" ht="47.25" customHeight="1">
      <c r="A723" s="18" t="inlineStr">
        <is>
          <t>197672019352</t>
        </is>
      </c>
      <c r="B723" s="19" t="inlineStr">
        <is>
          <t>https://www.amazon.com/dp/</t>
        </is>
      </c>
      <c r="C723" s="20" t="inlineStr">
        <is>
          <t>B0DD1KTM7B</t>
        </is>
      </c>
      <c r="D723" s="44" t="n"/>
      <c r="E723" s="23" t="inlineStr">
        <is>
          <t>?th=1&amp;psc=1&amp;tag=sdcdeals03-20</t>
        </is>
      </c>
      <c r="F723" s="19">
        <f>HYPERLINK("https://redirect.sdcdeals.com/redirect?destination=https%3A%2F%2Fwww.amazon.com%2Fdp%2FB0DD1KTM7B%3Fth%3D1%26psc%3D1%26tag%3Dsdcdeals03-20", "Amazon Link")</f>
        <v/>
      </c>
      <c r="G723" s="19" t="inlineStr">
        <is>
          <t>https://www.jcpenney.com/s?searchTerm={search_term}</t>
        </is>
      </c>
      <c r="H723" s="23" t="inlineStr">
        <is>
          <t>197672019352</t>
        </is>
      </c>
      <c r="I723" s="19">
        <f>HYPERLINK("https://www.jcpenney.com/s?searchTerm=197672019352", "Retail Link")</f>
        <v/>
      </c>
      <c r="J723" s="23" t="inlineStr">
        <is>
          <t>n/a</t>
        </is>
      </c>
      <c r="K723" s="21" t="inlineStr">
        <is>
          <t>Puma Womens Club Pearl Lace Up Sneakers Shoes Casual - White - Size 11 M</t>
        </is>
      </c>
      <c r="L723" s="24" t="n">
        <v>66.5</v>
      </c>
      <c r="M723" s="24" t="n">
        <v>62.95</v>
      </c>
      <c r="N723" s="24" t="n"/>
      <c r="O723" s="24">
        <f>V723-M723</f>
        <v/>
      </c>
      <c r="P723" s="25">
        <f>N723/L723</f>
        <v/>
      </c>
      <c r="Q723" s="23" t="n">
        <v>4332391</v>
      </c>
      <c r="R723" s="23" t="n"/>
      <c r="S723" s="26" t="n"/>
      <c r="T723" s="24" t="n">
        <v>62.95</v>
      </c>
      <c r="U723" s="24" t="n">
        <v>67.77</v>
      </c>
      <c r="V723" s="24" t="n">
        <v>67.77</v>
      </c>
      <c r="W723" s="26" t="inlineStr">
        <is>
          <t>PUMA Club Pearl Womens Sneakers</t>
        </is>
      </c>
      <c r="X723" s="23" t="n">
        <v>1</v>
      </c>
      <c r="Y723" s="18">
        <f>AC723-AB723</f>
        <v/>
      </c>
      <c r="Z723" s="27" t="n">
        <v>2</v>
      </c>
      <c r="AA723" s="27" t="n">
        <v>2</v>
      </c>
      <c r="AB723" s="27" t="n">
        <v>0</v>
      </c>
      <c r="AC723" s="27" t="n"/>
      <c r="AD723" s="1" t="inlineStr">
        <is>
          <t>39936005</t>
        </is>
      </c>
      <c r="AE723" s="1" t="inlineStr">
        <is>
          <t>White</t>
        </is>
      </c>
      <c r="AF723" s="4" t="inlineStr"/>
      <c r="AG723" s="4" t="inlineStr"/>
    </row>
    <row r="724" ht="47.25" customHeight="1">
      <c r="A724" s="18" t="inlineStr">
        <is>
          <t>196859627229</t>
        </is>
      </c>
      <c r="B724" s="19" t="inlineStr">
        <is>
          <t>https://www.amazon.com/dp/</t>
        </is>
      </c>
      <c r="C724" s="20" t="inlineStr">
        <is>
          <t>B0CLQ6SZY7</t>
        </is>
      </c>
      <c r="D724" s="44" t="n"/>
      <c r="E724" s="23" t="inlineStr">
        <is>
          <t>?th=1&amp;psc=1&amp;tag=sdcdeals03-20</t>
        </is>
      </c>
      <c r="F724" s="19">
        <f>HYPERLINK("https://redirect.sdcdeals.com/redirect?destination=https%3A%2F%2Fwww.amazon.com%2Fdp%2FB0CLQ6SZY7%3Fth%3D1%26psc%3D1%26tag%3Dsdcdeals03-20", "Amazon Link")</f>
        <v/>
      </c>
      <c r="G724" s="19" t="inlineStr">
        <is>
          <t>https://www.jcpenney.com/s?searchTerm={search_term}</t>
        </is>
      </c>
      <c r="H724" s="23" t="inlineStr">
        <is>
          <t>196859627229</t>
        </is>
      </c>
      <c r="I724" s="19">
        <f>HYPERLINK("https://www.jcpenney.com/s?searchTerm=196859627229", "Retail Link")</f>
        <v/>
      </c>
      <c r="J724" s="23" t="inlineStr">
        <is>
          <t>n/a</t>
        </is>
      </c>
      <c r="K724" s="21" t="inlineStr">
        <is>
          <t>PUMA Womens Club 5v5 Sneaker, Warm White-Dewdrop-PUMA Womens Gold, 5.5</t>
        </is>
      </c>
      <c r="L724" s="24" t="n">
        <v>66.5</v>
      </c>
      <c r="M724" s="24" t="n">
        <v>64.98999999999999</v>
      </c>
      <c r="N724" s="24" t="n">
        <v>-17.49850000000001</v>
      </c>
      <c r="O724" s="24">
        <f>V724-M724</f>
        <v/>
      </c>
      <c r="P724" s="25">
        <f>N724/L724</f>
        <v/>
      </c>
      <c r="Q724" s="23" t="n">
        <v>36554</v>
      </c>
      <c r="R724" s="23" t="n"/>
      <c r="S724" s="26" t="n">
        <v>1.28088422</v>
      </c>
      <c r="T724" s="24" t="n">
        <v>64.98999999999999</v>
      </c>
      <c r="U724" s="24" t="n">
        <v>61.36</v>
      </c>
      <c r="V724" s="24" t="n">
        <v>62.6</v>
      </c>
      <c r="W724" s="26" t="inlineStr">
        <is>
          <t>PUMA Club 5v5 Womens Sneakers</t>
        </is>
      </c>
      <c r="X724" s="23" t="n">
        <v>1</v>
      </c>
      <c r="Y724" s="18">
        <f>AC724-AB724</f>
        <v/>
      </c>
      <c r="Z724" s="27" t="n">
        <v>34</v>
      </c>
      <c r="AA724" s="27" t="n">
        <v>88</v>
      </c>
      <c r="AB724" s="27" t="n">
        <v>1</v>
      </c>
      <c r="AC724" s="27" t="n">
        <v>236</v>
      </c>
      <c r="AD724" s="1" t="inlineStr">
        <is>
          <t>39763511</t>
        </is>
      </c>
      <c r="AE724" s="1" t="inlineStr">
        <is>
          <t>Warm White-dewdrop-puma Gold</t>
        </is>
      </c>
      <c r="AF724" s="4" t="n">
        <v>9.75</v>
      </c>
      <c r="AG724" s="4" t="n">
        <v>6.24</v>
      </c>
    </row>
    <row r="725" ht="47.25" customHeight="1">
      <c r="A725" s="18" t="inlineStr">
        <is>
          <t>196859627168</t>
        </is>
      </c>
      <c r="B725" s="19" t="inlineStr">
        <is>
          <t>https://www.amazon.com/dp/</t>
        </is>
      </c>
      <c r="C725" s="20" t="inlineStr">
        <is>
          <t>B0CLQ9KTWZ</t>
        </is>
      </c>
      <c r="D725" s="44" t="n"/>
      <c r="E725" s="23" t="inlineStr">
        <is>
          <t>?th=1&amp;psc=1&amp;tag=sdcdeals03-20</t>
        </is>
      </c>
      <c r="F725" s="19">
        <f>HYPERLINK("https://redirect.sdcdeals.com/redirect?destination=https%3A%2F%2Fwww.amazon.com%2Fdp%2FB0CLQ9KTWZ%3Fth%3D1%26psc%3D1%26tag%3Dsdcdeals03-20", "Amazon Link")</f>
        <v/>
      </c>
      <c r="G725" s="19" t="inlineStr">
        <is>
          <t>https://www.jcpenney.com/s?searchTerm={search_term}</t>
        </is>
      </c>
      <c r="H725" s="23" t="inlineStr">
        <is>
          <t>196859627168</t>
        </is>
      </c>
      <c r="I725" s="19">
        <f>HYPERLINK("https://www.jcpenney.com/s?searchTerm=196859627168", "Retail Link")</f>
        <v/>
      </c>
      <c r="J725" s="23" t="inlineStr">
        <is>
          <t>n/a</t>
        </is>
      </c>
      <c r="K725" s="21" t="inlineStr">
        <is>
          <t>PUMA Womens Club 5v5 Sneaker, Warm White-Dewdrop-PUMA Womens Gold, 6</t>
        </is>
      </c>
      <c r="L725" s="24" t="n">
        <v>66.5</v>
      </c>
      <c r="M725" s="24" t="n">
        <v>81.68000000000001</v>
      </c>
      <c r="N725" s="24" t="n">
        <v>-3.312000000000005</v>
      </c>
      <c r="O725" s="24">
        <f>V725-M725</f>
        <v/>
      </c>
      <c r="P725" s="25">
        <f>N725/L725</f>
        <v/>
      </c>
      <c r="Q725" s="23" t="n">
        <v>39569</v>
      </c>
      <c r="R725" s="23" t="n"/>
      <c r="S725" s="26" t="n">
        <v>1.2786796</v>
      </c>
      <c r="T725" s="24" t="n">
        <v>81.68000000000001</v>
      </c>
      <c r="U725" s="24" t="n">
        <v>58.99</v>
      </c>
      <c r="V725" s="24" t="n">
        <v>60.46</v>
      </c>
      <c r="W725" s="26" t="inlineStr">
        <is>
          <t>PUMA Club 5v5 Womens Sneakers</t>
        </is>
      </c>
      <c r="X725" s="23" t="n">
        <v>2</v>
      </c>
      <c r="Y725" s="18">
        <f>AC725-AB725</f>
        <v/>
      </c>
      <c r="Z725" s="27" t="n">
        <v>29</v>
      </c>
      <c r="AA725" s="27" t="n">
        <v>86</v>
      </c>
      <c r="AB725" s="27" t="n">
        <v>3</v>
      </c>
      <c r="AC725" s="27" t="n">
        <v>241</v>
      </c>
      <c r="AD725" s="1" t="inlineStr">
        <is>
          <t>39763511</t>
        </is>
      </c>
      <c r="AE725" s="1" t="inlineStr">
        <is>
          <t>Warm White-dewdrop-puma Gold</t>
        </is>
      </c>
      <c r="AF725" s="4" t="inlineStr"/>
      <c r="AG725" s="4" t="n">
        <v>6.24</v>
      </c>
    </row>
    <row r="726" ht="47.25" customHeight="1">
      <c r="A726" s="18" t="inlineStr">
        <is>
          <t>196859627243</t>
        </is>
      </c>
      <c r="B726" s="19" t="inlineStr">
        <is>
          <t>https://www.amazon.com/dp/</t>
        </is>
      </c>
      <c r="C726" s="20" t="inlineStr">
        <is>
          <t>B0CLQ2N13D</t>
        </is>
      </c>
      <c r="D726" s="44" t="n"/>
      <c r="E726" s="23" t="inlineStr">
        <is>
          <t>?th=1&amp;psc=1&amp;tag=sdcdeals03-20</t>
        </is>
      </c>
      <c r="F726" s="19">
        <f>HYPERLINK("https://redirect.sdcdeals.com/redirect?destination=https%3A%2F%2Fwww.amazon.com%2Fdp%2FB0CLQ2N13D%3Fth%3D1%26psc%3D1%26tag%3Dsdcdeals03-20", "Amazon Link")</f>
        <v/>
      </c>
      <c r="G726" s="19" t="inlineStr">
        <is>
          <t>https://www.jcpenney.com/s?searchTerm={search_term}</t>
        </is>
      </c>
      <c r="H726" s="23" t="inlineStr">
        <is>
          <t>196859627243</t>
        </is>
      </c>
      <c r="I726" s="19">
        <f>HYPERLINK("https://www.jcpenney.com/s?searchTerm=196859627243", "Retail Link")</f>
        <v/>
      </c>
      <c r="J726" s="23" t="inlineStr">
        <is>
          <t>n/a</t>
        </is>
      </c>
      <c r="K726" s="21" t="inlineStr">
        <is>
          <t>PUMA Womens Club 5v5 Sneaker, Warm White-Dewdrop-PUMA Womens Gold, 6.5</t>
        </is>
      </c>
      <c r="L726" s="24" t="n">
        <v>66.5</v>
      </c>
      <c r="M726" s="24" t="n">
        <v>64.98999999999999</v>
      </c>
      <c r="N726" s="24" t="n">
        <v>-17.6985</v>
      </c>
      <c r="O726" s="24">
        <f>V726-M726</f>
        <v/>
      </c>
      <c r="P726" s="25">
        <f>N726/L726</f>
        <v/>
      </c>
      <c r="Q726" s="23" t="n">
        <v>41667</v>
      </c>
      <c r="R726" s="23" t="n"/>
      <c r="S726" s="26" t="n">
        <v>1.3889106</v>
      </c>
      <c r="T726" s="24" t="n">
        <v>64.98999999999999</v>
      </c>
      <c r="U726" s="24" t="n">
        <v>59.72</v>
      </c>
      <c r="V726" s="24" t="n">
        <v>60.67</v>
      </c>
      <c r="W726" s="26" t="inlineStr">
        <is>
          <t>PUMA Club 5v5 Womens Sneakers</t>
        </is>
      </c>
      <c r="X726" s="23" t="n">
        <v>2</v>
      </c>
      <c r="Y726" s="18">
        <f>AC726-AB726</f>
        <v/>
      </c>
      <c r="Z726" s="27" t="n">
        <v>34</v>
      </c>
      <c r="AA726" s="27" t="n">
        <v>115</v>
      </c>
      <c r="AB726" s="27" t="n">
        <v>3</v>
      </c>
      <c r="AC726" s="27" t="n">
        <v>236</v>
      </c>
      <c r="AD726" s="1" t="inlineStr">
        <is>
          <t>39763511</t>
        </is>
      </c>
      <c r="AE726" s="1" t="inlineStr">
        <is>
          <t>Warm White-dewdrop-puma Gold</t>
        </is>
      </c>
      <c r="AF726" s="4" t="n">
        <v>9.75</v>
      </c>
      <c r="AG726" s="4" t="n">
        <v>6.44</v>
      </c>
    </row>
    <row r="727" ht="47.25" customHeight="1">
      <c r="A727" s="18" t="inlineStr">
        <is>
          <t>196859627182</t>
        </is>
      </c>
      <c r="B727" s="19" t="inlineStr">
        <is>
          <t>https://www.amazon.com/dp/</t>
        </is>
      </c>
      <c r="C727" s="20" t="inlineStr">
        <is>
          <t>B0CLQ8TPTK</t>
        </is>
      </c>
      <c r="D727" s="44" t="n"/>
      <c r="E727" s="23" t="inlineStr">
        <is>
          <t>?th=1&amp;psc=1&amp;tag=sdcdeals03-20</t>
        </is>
      </c>
      <c r="F727" s="19">
        <f>HYPERLINK("https://redirect.sdcdeals.com/redirect?destination=https%3A%2F%2Fwww.amazon.com%2Fdp%2FB0CLQ8TPTK%3Fth%3D1%26psc%3D1%26tag%3Dsdcdeals03-20", "Amazon Link")</f>
        <v/>
      </c>
      <c r="G727" s="19" t="inlineStr">
        <is>
          <t>https://www.jcpenney.com/s?searchTerm={search_term}</t>
        </is>
      </c>
      <c r="H727" s="23" t="inlineStr">
        <is>
          <t>196859627182</t>
        </is>
      </c>
      <c r="I727" s="19">
        <f>HYPERLINK("https://www.jcpenney.com/s?searchTerm=196859627182", "Retail Link")</f>
        <v/>
      </c>
      <c r="J727" s="23" t="inlineStr">
        <is>
          <t>n/a</t>
        </is>
      </c>
      <c r="K727" s="21" t="inlineStr">
        <is>
          <t>PUMA Womens Club 5v5 Sneaker, Warm White-Dewdrop-PUMA Womens Gold, 7</t>
        </is>
      </c>
      <c r="L727" s="24" t="n">
        <v>66.5</v>
      </c>
      <c r="M727" s="24" t="n">
        <v>79.97</v>
      </c>
      <c r="N727" s="24" t="n">
        <v>-4.965500000000006</v>
      </c>
      <c r="O727" s="24">
        <f>V727-M727</f>
        <v/>
      </c>
      <c r="P727" s="25">
        <f>N727/L727</f>
        <v/>
      </c>
      <c r="Q727" s="23" t="n">
        <v>41667</v>
      </c>
      <c r="R727" s="23" t="n"/>
      <c r="S727" s="26" t="n">
        <v>1.3889106</v>
      </c>
      <c r="T727" s="24" t="n">
        <v>79.97</v>
      </c>
      <c r="U727" s="24" t="n">
        <v>60.19</v>
      </c>
      <c r="V727" s="24" t="n">
        <v>61.68</v>
      </c>
      <c r="W727" s="26" t="inlineStr">
        <is>
          <t>PUMA Club 5v5 Womens Sneakers</t>
        </is>
      </c>
      <c r="X727" s="23" t="n">
        <v>3</v>
      </c>
      <c r="Y727" s="18">
        <f>AC727-AB727</f>
        <v/>
      </c>
      <c r="Z727" s="27" t="n">
        <v>40</v>
      </c>
      <c r="AA727" s="27" t="n">
        <v>114</v>
      </c>
      <c r="AB727" s="27" t="n">
        <v>3</v>
      </c>
      <c r="AC727" s="27" t="n">
        <v>236</v>
      </c>
      <c r="AD727" s="1" t="inlineStr">
        <is>
          <t>39763511</t>
        </is>
      </c>
      <c r="AE727" s="1" t="inlineStr">
        <is>
          <t>Warm White-dewdrop-puma Gold</t>
        </is>
      </c>
      <c r="AF727" s="4" t="inlineStr"/>
      <c r="AG727" s="4" t="n">
        <v>6.44</v>
      </c>
    </row>
    <row r="728" ht="47.25" customHeight="1">
      <c r="A728" s="18" t="inlineStr">
        <is>
          <t>196859627199</t>
        </is>
      </c>
      <c r="B728" s="19" t="inlineStr">
        <is>
          <t>https://www.amazon.com/dp/</t>
        </is>
      </c>
      <c r="C728" s="20" t="inlineStr">
        <is>
          <t>B0CLPSK7ZH</t>
        </is>
      </c>
      <c r="D728" s="44" t="n"/>
      <c r="E728" s="23" t="inlineStr">
        <is>
          <t>?th=1&amp;psc=1&amp;tag=sdcdeals03-20</t>
        </is>
      </c>
      <c r="F728" s="19">
        <f>HYPERLINK("https://redirect.sdcdeals.com/redirect?destination=https%3A%2F%2Fwww.amazon.com%2Fdp%2FB0CLPSK7ZH%3Fth%3D1%26psc%3D1%26tag%3Dsdcdeals03-20", "Amazon Link")</f>
        <v/>
      </c>
      <c r="G728" s="19" t="inlineStr">
        <is>
          <t>https://www.jcpenney.com/s?searchTerm={search_term}</t>
        </is>
      </c>
      <c r="H728" s="23" t="inlineStr">
        <is>
          <t>196859627199</t>
        </is>
      </c>
      <c r="I728" s="19">
        <f>HYPERLINK("https://www.jcpenney.com/s?searchTerm=196859627199", "Retail Link")</f>
        <v/>
      </c>
      <c r="J728" s="23" t="inlineStr">
        <is>
          <t>n/a</t>
        </is>
      </c>
      <c r="K728" s="21" t="inlineStr">
        <is>
          <t>PUMA Womens Club 5v5 Sneaker, Warm White-Dewdrop-PUMA Womens Gold, 7.5</t>
        </is>
      </c>
      <c r="L728" s="24" t="n">
        <v>66.5</v>
      </c>
      <c r="M728" s="24" t="n">
        <v>64.98999999999999</v>
      </c>
      <c r="N728" s="24" t="n">
        <v>-17.8685</v>
      </c>
      <c r="O728" s="24">
        <f>V728-M728</f>
        <v/>
      </c>
      <c r="P728" s="25">
        <f>N728/L728</f>
        <v/>
      </c>
      <c r="Q728" s="23" t="n">
        <v>40987</v>
      </c>
      <c r="R728" s="23" t="n"/>
      <c r="S728" s="26" t="n">
        <v>1.4550492</v>
      </c>
      <c r="T728" s="24" t="n">
        <v>64.98999999999999</v>
      </c>
      <c r="U728" s="24" t="n">
        <v>60.01</v>
      </c>
      <c r="V728" s="24" t="n">
        <v>61.2</v>
      </c>
      <c r="W728" s="26" t="inlineStr">
        <is>
          <t>PUMA Club 5v5 Womens Sneakers</t>
        </is>
      </c>
      <c r="X728" s="23" t="n">
        <v>3</v>
      </c>
      <c r="Y728" s="18">
        <f>AC728-AB728</f>
        <v/>
      </c>
      <c r="Z728" s="27" t="n">
        <v>34</v>
      </c>
      <c r="AA728" s="27" t="n">
        <v>112</v>
      </c>
      <c r="AB728" s="27" t="n">
        <v>7</v>
      </c>
      <c r="AC728" s="27" t="n">
        <v>239</v>
      </c>
      <c r="AD728" s="1" t="inlineStr">
        <is>
          <t>39763511</t>
        </is>
      </c>
      <c r="AE728" s="1" t="inlineStr">
        <is>
          <t>Warm White-dewdrop-puma Gold</t>
        </is>
      </c>
      <c r="AF728" s="4" t="n">
        <v>9.75</v>
      </c>
      <c r="AG728" s="4" t="n">
        <v>6.61</v>
      </c>
    </row>
    <row r="729" ht="47.25" customHeight="1">
      <c r="A729" s="18" t="inlineStr">
        <is>
          <t>196859627151</t>
        </is>
      </c>
      <c r="B729" s="19" t="inlineStr">
        <is>
          <t>https://www.amazon.com/dp/</t>
        </is>
      </c>
      <c r="C729" s="20" t="inlineStr">
        <is>
          <t>B0CLQ2V4MC</t>
        </is>
      </c>
      <c r="D729" s="44" t="n"/>
      <c r="E729" s="23" t="inlineStr">
        <is>
          <t>?th=1&amp;psc=1&amp;tag=sdcdeals03-20</t>
        </is>
      </c>
      <c r="F729" s="19">
        <f>HYPERLINK("https://redirect.sdcdeals.com/redirect?destination=https%3A%2F%2Fwww.amazon.com%2Fdp%2FB0CLQ2V4MC%3Fth%3D1%26psc%3D1%26tag%3Dsdcdeals03-20", "Amazon Link")</f>
        <v/>
      </c>
      <c r="G729" s="19" t="inlineStr">
        <is>
          <t>https://www.jcpenney.com/s?searchTerm={search_term}</t>
        </is>
      </c>
      <c r="H729" s="23" t="inlineStr">
        <is>
          <t>196859627151</t>
        </is>
      </c>
      <c r="I729" s="19">
        <f>HYPERLINK("https://www.jcpenney.com/s?searchTerm=196859627151", "Retail Link")</f>
        <v/>
      </c>
      <c r="J729" s="23" t="inlineStr">
        <is>
          <t>n/a</t>
        </is>
      </c>
      <c r="K729" s="21" t="inlineStr">
        <is>
          <t>PUMA Womens Club 5v5 Sneaker, Warm White-Dewdrop-PUMA Womens Gold, 8</t>
        </is>
      </c>
      <c r="L729" s="24" t="n">
        <v>66.5</v>
      </c>
      <c r="M729" s="24" t="n">
        <v>64.98999999999999</v>
      </c>
      <c r="N729" s="24" t="n">
        <v>-17.8685</v>
      </c>
      <c r="O729" s="24">
        <f>V729-M729</f>
        <v/>
      </c>
      <c r="P729" s="25">
        <f>N729/L729</f>
        <v/>
      </c>
      <c r="Q729" s="23" t="n">
        <v>41667</v>
      </c>
      <c r="R729" s="23" t="n"/>
      <c r="S729" s="26" t="n">
        <v>1.433003</v>
      </c>
      <c r="T729" s="24" t="n">
        <v>64.98999999999999</v>
      </c>
      <c r="U729" s="24" t="n">
        <v>60.08</v>
      </c>
      <c r="V729" s="24" t="n">
        <v>60.37</v>
      </c>
      <c r="W729" s="26" t="inlineStr">
        <is>
          <t>PUMA Club 5v5 Womens Sneakers</t>
        </is>
      </c>
      <c r="X729" s="23" t="n">
        <v>5</v>
      </c>
      <c r="Y729" s="18">
        <f>AC729-AB729</f>
        <v/>
      </c>
      <c r="Z729" s="27" t="n">
        <v>43</v>
      </c>
      <c r="AA729" s="27" t="n">
        <v>97</v>
      </c>
      <c r="AB729" s="27" t="n">
        <v>7</v>
      </c>
      <c r="AC729" s="27" t="n">
        <v>241</v>
      </c>
      <c r="AD729" s="1" t="inlineStr">
        <is>
          <t>39763511</t>
        </is>
      </c>
      <c r="AE729" s="1" t="inlineStr">
        <is>
          <t>Warm White-dewdrop-puma Gold</t>
        </is>
      </c>
      <c r="AF729" s="4" t="n">
        <v>9.75</v>
      </c>
      <c r="AG729" s="4" t="n">
        <v>6.61</v>
      </c>
    </row>
    <row r="730" ht="47.25" customHeight="1">
      <c r="A730" s="18" t="inlineStr">
        <is>
          <t>196859627175</t>
        </is>
      </c>
      <c r="B730" s="19" t="inlineStr">
        <is>
          <t>https://www.amazon.com/dp/</t>
        </is>
      </c>
      <c r="C730" s="20" t="inlineStr">
        <is>
          <t>B0CLQ47K6S</t>
        </is>
      </c>
      <c r="D730" s="44" t="n"/>
      <c r="E730" s="23" t="inlineStr">
        <is>
          <t>?th=1&amp;psc=1&amp;tag=sdcdeals03-20</t>
        </is>
      </c>
      <c r="F730" s="19">
        <f>HYPERLINK("https://redirect.sdcdeals.com/redirect?destination=https%3A%2F%2Fwww.amazon.com%2Fdp%2FB0CLQ47K6S%3Fth%3D1%26psc%3D1%26tag%3Dsdcdeals03-20", "Amazon Link")</f>
        <v/>
      </c>
      <c r="G730" s="19" t="inlineStr">
        <is>
          <t>https://www.jcpenney.com/s?searchTerm={search_term}</t>
        </is>
      </c>
      <c r="H730" s="23" t="inlineStr">
        <is>
          <t>196859627175</t>
        </is>
      </c>
      <c r="I730" s="19">
        <f>HYPERLINK("https://www.jcpenney.com/s?searchTerm=196859627175", "Retail Link")</f>
        <v/>
      </c>
      <c r="J730" s="23" t="inlineStr">
        <is>
          <t>n/a</t>
        </is>
      </c>
      <c r="K730" s="21" t="inlineStr">
        <is>
          <t>PUMA Womens Club 5v5 Sneaker, Warm White-Dewdrop-PUMA Womens Gold, 8.5</t>
        </is>
      </c>
      <c r="L730" s="24" t="n">
        <v>66.5</v>
      </c>
      <c r="M730" s="24" t="n">
        <v>64.98999999999999</v>
      </c>
      <c r="N730" s="24" t="n">
        <v>-18.28850000000001</v>
      </c>
      <c r="O730" s="24">
        <f>V730-M730</f>
        <v/>
      </c>
      <c r="P730" s="25">
        <f>N730/L730</f>
        <v/>
      </c>
      <c r="Q730" s="23" t="n">
        <v>37018</v>
      </c>
      <c r="R730" s="23" t="n"/>
      <c r="S730" s="26" t="n">
        <v>1.5873264</v>
      </c>
      <c r="T730" s="24" t="n">
        <v>64.98999999999999</v>
      </c>
      <c r="U730" s="24" t="n">
        <v>60.33</v>
      </c>
      <c r="V730" s="24" t="n">
        <v>61.58</v>
      </c>
      <c r="W730" s="26" t="inlineStr">
        <is>
          <t>PUMA Club 5v5 Womens Sneakers</t>
        </is>
      </c>
      <c r="X730" s="23" t="n">
        <v>7</v>
      </c>
      <c r="Y730" s="18">
        <f>AC730-AB730</f>
        <v/>
      </c>
      <c r="Z730" s="27" t="n">
        <v>43</v>
      </c>
      <c r="AA730" s="27" t="n">
        <v>137</v>
      </c>
      <c r="AB730" s="27" t="n">
        <v>7</v>
      </c>
      <c r="AC730" s="27" t="n">
        <v>245</v>
      </c>
      <c r="AD730" s="1" t="inlineStr">
        <is>
          <t>39763511</t>
        </is>
      </c>
      <c r="AE730" s="1" t="inlineStr">
        <is>
          <t>Warm White-dewdrop-puma Gold</t>
        </is>
      </c>
      <c r="AF730" s="4" t="n">
        <v>9.75</v>
      </c>
      <c r="AG730" s="4" t="n">
        <v>7.03</v>
      </c>
    </row>
    <row r="731" ht="47.25" customHeight="1">
      <c r="A731" s="18" t="inlineStr">
        <is>
          <t>196859627212</t>
        </is>
      </c>
      <c r="B731" s="19" t="inlineStr">
        <is>
          <t>https://www.amazon.com/dp/</t>
        </is>
      </c>
      <c r="C731" s="20" t="inlineStr">
        <is>
          <t>B0CLQ62SXX</t>
        </is>
      </c>
      <c r="D731" s="44" t="n"/>
      <c r="E731" s="23" t="inlineStr">
        <is>
          <t>?th=1&amp;psc=1&amp;tag=sdcdeals03-20</t>
        </is>
      </c>
      <c r="F731" s="19">
        <f>HYPERLINK("https://redirect.sdcdeals.com/redirect?destination=https%3A%2F%2Fwww.amazon.com%2Fdp%2FB0CLQ62SXX%3Fth%3D1%26psc%3D1%26tag%3Dsdcdeals03-20", "Amazon Link")</f>
        <v/>
      </c>
      <c r="G731" s="19" t="inlineStr">
        <is>
          <t>https://www.jcpenney.com/s?searchTerm={search_term}</t>
        </is>
      </c>
      <c r="H731" s="23" t="inlineStr">
        <is>
          <t>196859627212</t>
        </is>
      </c>
      <c r="I731" s="19">
        <f>HYPERLINK("https://www.jcpenney.com/s?searchTerm=196859627212", "Retail Link")</f>
        <v/>
      </c>
      <c r="J731" s="23" t="inlineStr">
        <is>
          <t>n/a</t>
        </is>
      </c>
      <c r="K731" s="21" t="inlineStr">
        <is>
          <t>PUMA Womens Club 5v5 Sneaker, Warm White-Dewdrop-PUMA Womens Gold, 9</t>
        </is>
      </c>
      <c r="L731" s="24" t="n">
        <v>66.5</v>
      </c>
      <c r="M731" s="24" t="n">
        <v>64.98999999999999</v>
      </c>
      <c r="N731" s="24" t="n">
        <v>-18.28850000000001</v>
      </c>
      <c r="O731" s="24">
        <f>V731-M731</f>
        <v/>
      </c>
      <c r="P731" s="25">
        <f>N731/L731</f>
        <v/>
      </c>
      <c r="Q731" s="23" t="n">
        <v>41667</v>
      </c>
      <c r="R731" s="23" t="n"/>
      <c r="S731" s="26" t="n">
        <v>1.5652802</v>
      </c>
      <c r="T731" s="24" t="n">
        <v>64.98999999999999</v>
      </c>
      <c r="U731" s="24" t="n">
        <v>59.16</v>
      </c>
      <c r="V731" s="24" t="n">
        <v>60.62</v>
      </c>
      <c r="W731" s="26" t="inlineStr">
        <is>
          <t>PUMA Club 5v5 Womens Sneakers</t>
        </is>
      </c>
      <c r="X731" s="23" t="n">
        <v>7</v>
      </c>
      <c r="Y731" s="18">
        <f>AC731-AB731</f>
        <v/>
      </c>
      <c r="Z731" s="27" t="n">
        <v>45</v>
      </c>
      <c r="AA731" s="27" t="n">
        <v>137</v>
      </c>
      <c r="AB731" s="27" t="n">
        <v>4</v>
      </c>
      <c r="AC731" s="27" t="n">
        <v>245</v>
      </c>
      <c r="AD731" s="1" t="inlineStr">
        <is>
          <t>39763511</t>
        </is>
      </c>
      <c r="AE731" s="1" t="inlineStr">
        <is>
          <t>Warm White-dewdrop-puma Gold</t>
        </is>
      </c>
      <c r="AF731" s="4" t="n">
        <v>9.75</v>
      </c>
      <c r="AG731" s="4" t="n">
        <v>7.03</v>
      </c>
    </row>
    <row r="732" ht="47.25" customHeight="1">
      <c r="A732" s="18" t="inlineStr">
        <is>
          <t>196859627250</t>
        </is>
      </c>
      <c r="B732" s="19" t="inlineStr">
        <is>
          <t>https://www.amazon.com/dp/</t>
        </is>
      </c>
      <c r="C732" s="20" t="inlineStr">
        <is>
          <t>B0CLQ1G2H4</t>
        </is>
      </c>
      <c r="D732" s="44" t="n"/>
      <c r="E732" s="23" t="inlineStr">
        <is>
          <t>?th=1&amp;psc=1&amp;tag=sdcdeals03-20</t>
        </is>
      </c>
      <c r="F732" s="19">
        <f>HYPERLINK("https://redirect.sdcdeals.com/redirect?destination=https%3A%2F%2Fwww.amazon.com%2Fdp%2FB0CLQ1G2H4%3Fth%3D1%26psc%3D1%26tag%3Dsdcdeals03-20", "Amazon Link")</f>
        <v/>
      </c>
      <c r="G732" s="19" t="inlineStr">
        <is>
          <t>https://www.jcpenney.com/s?searchTerm={search_term}</t>
        </is>
      </c>
      <c r="H732" s="23" t="inlineStr">
        <is>
          <t>196859627250</t>
        </is>
      </c>
      <c r="I732" s="19">
        <f>HYPERLINK("https://www.jcpenney.com/s?searchTerm=196859627250", "Retail Link")</f>
        <v/>
      </c>
      <c r="J732" s="23" t="inlineStr">
        <is>
          <t>n/a</t>
        </is>
      </c>
      <c r="K732" s="21" t="inlineStr">
        <is>
          <t>PUMA Womens Club 5v5 Sneaker, Warm White-Dewdrop-PUMA Womens Gold, 9.5</t>
        </is>
      </c>
      <c r="L732" s="24" t="n">
        <v>66.5</v>
      </c>
      <c r="M732" s="24" t="n">
        <v>64.98999999999999</v>
      </c>
      <c r="N732" s="24" t="n">
        <v>-18.28850000000001</v>
      </c>
      <c r="O732" s="24">
        <f>V732-M732</f>
        <v/>
      </c>
      <c r="P732" s="25">
        <f>N732/L732</f>
        <v/>
      </c>
      <c r="Q732" s="23" t="n">
        <v>41667</v>
      </c>
      <c r="R732" s="23" t="n"/>
      <c r="S732" s="26" t="n">
        <v>1.6314188</v>
      </c>
      <c r="T732" s="24" t="n">
        <v>64.98999999999999</v>
      </c>
      <c r="U732" s="24" t="n">
        <v>59.81</v>
      </c>
      <c r="V732" s="24" t="n">
        <v>61.08</v>
      </c>
      <c r="W732" s="26" t="inlineStr">
        <is>
          <t>PUMA Club 5v5 Womens Sneakers</t>
        </is>
      </c>
      <c r="X732" s="23" t="n">
        <v>7</v>
      </c>
      <c r="Y732" s="18">
        <f>AC732-AB732</f>
        <v/>
      </c>
      <c r="Z732" s="27" t="n">
        <v>32</v>
      </c>
      <c r="AA732" s="27" t="n">
        <v>101</v>
      </c>
      <c r="AB732" s="27" t="n">
        <v>7</v>
      </c>
      <c r="AC732" s="27" t="n">
        <v>236</v>
      </c>
      <c r="AD732" s="1" t="inlineStr">
        <is>
          <t>39763511</t>
        </is>
      </c>
      <c r="AE732" s="1" t="inlineStr">
        <is>
          <t>Warm White-dewdrop-puma Gold</t>
        </is>
      </c>
      <c r="AF732" s="4" t="n">
        <v>9.75</v>
      </c>
      <c r="AG732" s="4" t="n">
        <v>7.03</v>
      </c>
    </row>
    <row r="733" ht="47.25" customHeight="1">
      <c r="A733" s="18" t="inlineStr">
        <is>
          <t>196859627144</t>
        </is>
      </c>
      <c r="B733" s="19" t="inlineStr">
        <is>
          <t>https://www.amazon.com/dp/</t>
        </is>
      </c>
      <c r="C733" s="20" t="inlineStr">
        <is>
          <t>B0CLPYQQD9</t>
        </is>
      </c>
      <c r="D733" s="44" t="n"/>
      <c r="E733" s="23" t="inlineStr">
        <is>
          <t>?th=1&amp;psc=1&amp;tag=sdcdeals03-20</t>
        </is>
      </c>
      <c r="F733" s="19">
        <f>HYPERLINK("https://redirect.sdcdeals.com/redirect?destination=https%3A%2F%2Fwww.amazon.com%2Fdp%2FB0CLPYQQD9%3Fth%3D1%26psc%3D1%26tag%3Dsdcdeals03-20", "Amazon Link")</f>
        <v/>
      </c>
      <c r="G733" s="19" t="inlineStr">
        <is>
          <t>https://www.jcpenney.com/s?searchTerm={search_term}</t>
        </is>
      </c>
      <c r="H733" s="23" t="inlineStr">
        <is>
          <t>196859627144</t>
        </is>
      </c>
      <c r="I733" s="19">
        <f>HYPERLINK("https://www.jcpenney.com/s?searchTerm=196859627144", "Retail Link")</f>
        <v/>
      </c>
      <c r="J733" s="23" t="inlineStr">
        <is>
          <t>n/a</t>
        </is>
      </c>
      <c r="K733" s="21" t="inlineStr">
        <is>
          <t>PUMA Womens Club 5v5 Sneaker, Warm White-Dewdrop-PUMA Womens Gold, 10</t>
        </is>
      </c>
      <c r="L733" s="24" t="n">
        <v>66.5</v>
      </c>
      <c r="M733" s="24" t="n">
        <v>64.98999999999999</v>
      </c>
      <c r="N733" s="24" t="n">
        <v>-18.28850000000001</v>
      </c>
      <c r="O733" s="24">
        <f>V733-M733</f>
        <v/>
      </c>
      <c r="P733" s="25">
        <f>N733/L733</f>
        <v/>
      </c>
      <c r="Q733" s="23" t="n">
        <v>41667</v>
      </c>
      <c r="R733" s="23" t="n"/>
      <c r="S733" s="26" t="n">
        <v>1.653465</v>
      </c>
      <c r="T733" s="24" t="n">
        <v>64.94</v>
      </c>
      <c r="U733" s="24" t="n">
        <v>59.71</v>
      </c>
      <c r="V733" s="24" t="n">
        <v>60.98</v>
      </c>
      <c r="W733" s="26" t="inlineStr">
        <is>
          <t>PUMA Club 5v5 Womens Sneakers</t>
        </is>
      </c>
      <c r="X733" s="23" t="n">
        <v>3</v>
      </c>
      <c r="Y733" s="18">
        <f>AC733-AB733</f>
        <v/>
      </c>
      <c r="Z733" s="27" t="n">
        <v>35</v>
      </c>
      <c r="AA733" s="27" t="n">
        <v>117</v>
      </c>
      <c r="AB733" s="27" t="n">
        <v>7</v>
      </c>
      <c r="AC733" s="27" t="n">
        <v>239</v>
      </c>
      <c r="AD733" s="1" t="inlineStr">
        <is>
          <t>39763511</t>
        </is>
      </c>
      <c r="AE733" s="1" t="inlineStr">
        <is>
          <t>Warm White-dewdrop-puma Gold</t>
        </is>
      </c>
      <c r="AF733" s="4" t="n">
        <v>9.75</v>
      </c>
      <c r="AG733" s="4" t="n">
        <v>7.03</v>
      </c>
    </row>
    <row r="734" ht="47.25" customHeight="1">
      <c r="A734" s="18" t="inlineStr">
        <is>
          <t>196859627205</t>
        </is>
      </c>
      <c r="B734" s="19" t="inlineStr">
        <is>
          <t>https://www.amazon.com/dp/</t>
        </is>
      </c>
      <c r="C734" s="20" t="inlineStr">
        <is>
          <t>B0CLQ87RRT</t>
        </is>
      </c>
      <c r="D734" s="44" t="n"/>
      <c r="E734" s="23" t="inlineStr">
        <is>
          <t>?th=1&amp;psc=1&amp;tag=sdcdeals03-20</t>
        </is>
      </c>
      <c r="F734" s="19">
        <f>HYPERLINK("https://redirect.sdcdeals.com/redirect?destination=https%3A%2F%2Fwww.amazon.com%2Fdp%2FB0CLQ87RRT%3Fth%3D1%26psc%3D1%26tag%3Dsdcdeals03-20", "Amazon Link")</f>
        <v/>
      </c>
      <c r="G734" s="19" t="inlineStr">
        <is>
          <t>https://www.jcpenney.com/s?searchTerm={search_term}</t>
        </is>
      </c>
      <c r="H734" s="23" t="inlineStr">
        <is>
          <t>196859627205</t>
        </is>
      </c>
      <c r="I734" s="19">
        <f>HYPERLINK("https://www.jcpenney.com/s?searchTerm=196859627205", "Retail Link")</f>
        <v/>
      </c>
      <c r="J734" s="23" t="inlineStr">
        <is>
          <t>n/a</t>
        </is>
      </c>
      <c r="K734" s="21" t="inlineStr">
        <is>
          <t>PUMA Womens Club 5v5 Sneaker, Warm White-Dewdrop-PUMA Womens Gold, 11</t>
        </is>
      </c>
      <c r="L734" s="24" t="n">
        <v>66.5</v>
      </c>
      <c r="M734" s="24" t="n">
        <v>64.98999999999999</v>
      </c>
      <c r="N734" s="24" t="n">
        <v>-18.95850000000001</v>
      </c>
      <c r="O734" s="24">
        <f>V734-M734</f>
        <v/>
      </c>
      <c r="P734" s="25">
        <f>N734/L734</f>
        <v/>
      </c>
      <c r="Q734" s="23" t="n">
        <v>41667</v>
      </c>
      <c r="R734" s="23" t="n"/>
      <c r="S734" s="26" t="n">
        <v>1.763696</v>
      </c>
      <c r="T734" s="24" t="n">
        <v>64</v>
      </c>
      <c r="U734" s="24" t="n">
        <v>59.49</v>
      </c>
      <c r="V734" s="24" t="n">
        <v>61.22</v>
      </c>
      <c r="W734" s="26" t="inlineStr">
        <is>
          <t>PUMA Club 5v5 Womens Sneakers</t>
        </is>
      </c>
      <c r="X734" s="23" t="n">
        <v>7</v>
      </c>
      <c r="Y734" s="18">
        <f>AC734-AB734</f>
        <v/>
      </c>
      <c r="Z734" s="27" t="n">
        <v>35</v>
      </c>
      <c r="AA734" s="27" t="n">
        <v>114</v>
      </c>
      <c r="AB734" s="27" t="n">
        <v>4</v>
      </c>
      <c r="AC734" s="27" t="n">
        <v>245</v>
      </c>
      <c r="AD734" s="1" t="inlineStr">
        <is>
          <t>39763511</t>
        </is>
      </c>
      <c r="AE734" s="1" t="inlineStr">
        <is>
          <t>Warm White-dewdrop-puma Gold</t>
        </is>
      </c>
      <c r="AF734" s="4" t="n">
        <v>9.75</v>
      </c>
      <c r="AG734" s="4" t="n">
        <v>7.7</v>
      </c>
    </row>
    <row r="735" ht="47.25" customHeight="1">
      <c r="A735" s="18" t="inlineStr">
        <is>
          <t>197670210706</t>
        </is>
      </c>
      <c r="B735" s="19" t="inlineStr">
        <is>
          <t>https://www.amazon.com/dp/</t>
        </is>
      </c>
      <c r="C735" s="20" t="inlineStr">
        <is>
          <t>B0CV9HLWTY</t>
        </is>
      </c>
      <c r="D735" s="44" t="n"/>
      <c r="E735" s="23" t="inlineStr">
        <is>
          <t>?th=1&amp;psc=1&amp;tag=sdcdeals03-20</t>
        </is>
      </c>
      <c r="F735" s="19">
        <f>HYPERLINK("https://redirect.sdcdeals.com/redirect?destination=https%3A%2F%2Fwww.amazon.com%2Fdp%2FB0CV9HLWTY%3Fth%3D1%26psc%3D1%26tag%3Dsdcdeals03-20", "Amazon Link")</f>
        <v/>
      </c>
      <c r="G735" s="19" t="inlineStr">
        <is>
          <t>https://www.jcpenney.com/s?searchTerm={search_term}</t>
        </is>
      </c>
      <c r="H735" s="23" t="inlineStr">
        <is>
          <t>197670210706</t>
        </is>
      </c>
      <c r="I735" s="19">
        <f>HYPERLINK("https://www.jcpenney.com/s?searchTerm=197670210706", "Retail Link")</f>
        <v/>
      </c>
      <c r="J735" s="23" t="inlineStr">
        <is>
          <t>n/a</t>
        </is>
      </c>
      <c r="K735" s="21" t="inlineStr">
        <is>
          <t>PUMA Women's Rebound Layup Sneaker, White-Frosted Dew Black, 5.5</t>
        </is>
      </c>
      <c r="L735" s="24" t="n">
        <v>66.5</v>
      </c>
      <c r="M735" s="24" t="n">
        <v>70</v>
      </c>
      <c r="N735" s="24" t="n">
        <v>-14.03</v>
      </c>
      <c r="O735" s="24">
        <f>V735-M735</f>
        <v/>
      </c>
      <c r="P735" s="25">
        <f>N735/L735</f>
        <v/>
      </c>
      <c r="Q735" s="23" t="n">
        <v>159238</v>
      </c>
      <c r="R735" s="23" t="n"/>
      <c r="S735" s="26" t="n">
        <v>1.7196036</v>
      </c>
      <c r="T735" s="24" t="n">
        <v>70</v>
      </c>
      <c r="U735" s="24" t="n">
        <v>64.66</v>
      </c>
      <c r="V735" s="24" t="n">
        <v>67</v>
      </c>
      <c r="W735" s="26" t="inlineStr">
        <is>
          <t>PUMA Rebound Layup Womens Basketball Shoes</t>
        </is>
      </c>
      <c r="X735" s="23" t="n">
        <v>1</v>
      </c>
      <c r="Y735" s="18">
        <f>AC735-AB735</f>
        <v/>
      </c>
      <c r="Z735" s="27" t="n">
        <v>10</v>
      </c>
      <c r="AA735" s="27" t="n">
        <v>37</v>
      </c>
      <c r="AB735" s="27" t="n">
        <v>1</v>
      </c>
      <c r="AC735" s="27" t="n">
        <v>22</v>
      </c>
      <c r="AD735" s="1" t="inlineStr">
        <is>
          <t>39489152</t>
        </is>
      </c>
      <c r="AE735" s="1" t="inlineStr">
        <is>
          <t>Puma White-frosted Dew-puma Black</t>
        </is>
      </c>
      <c r="AF735" s="4" t="n">
        <v>10.5</v>
      </c>
      <c r="AG735" s="4" t="n">
        <v>7.03</v>
      </c>
    </row>
    <row r="736" ht="47.25" customHeight="1">
      <c r="A736" s="18" t="inlineStr">
        <is>
          <t>197670210713</t>
        </is>
      </c>
      <c r="B736" s="19" t="inlineStr">
        <is>
          <t>https://www.amazon.com/dp/</t>
        </is>
      </c>
      <c r="C736" s="20" t="inlineStr">
        <is>
          <t>B0CV9LSR18</t>
        </is>
      </c>
      <c r="D736" s="44" t="n"/>
      <c r="E736" s="23" t="inlineStr">
        <is>
          <t>?th=1&amp;psc=1&amp;tag=sdcdeals03-20</t>
        </is>
      </c>
      <c r="F736" s="19">
        <f>HYPERLINK("https://redirect.sdcdeals.com/redirect?destination=https%3A%2F%2Fwww.amazon.com%2Fdp%2FB0CV9LSR18%3Fth%3D1%26psc%3D1%26tag%3Dsdcdeals03-20", "Amazon Link")</f>
        <v/>
      </c>
      <c r="G736" s="19" t="inlineStr">
        <is>
          <t>https://www.jcpenney.com/s?searchTerm={search_term}</t>
        </is>
      </c>
      <c r="H736" s="23" t="inlineStr">
        <is>
          <t>197670210713</t>
        </is>
      </c>
      <c r="I736" s="19">
        <f>HYPERLINK("https://www.jcpenney.com/s?searchTerm=197670210713", "Retail Link")</f>
        <v/>
      </c>
      <c r="J736" s="23" t="inlineStr">
        <is>
          <t>n/a</t>
        </is>
      </c>
      <c r="K736" s="21" t="inlineStr">
        <is>
          <t>PUMA Women's Rebound Layup Sneaker, White-Frosted Dew Black, 6</t>
        </is>
      </c>
      <c r="L736" s="24" t="n">
        <v>66.5</v>
      </c>
      <c r="M736" s="24" t="n">
        <v>70</v>
      </c>
      <c r="N736" s="24" t="n">
        <v>-14.03</v>
      </c>
      <c r="O736" s="24">
        <f>V736-M736</f>
        <v/>
      </c>
      <c r="P736" s="25">
        <f>N736/L736</f>
        <v/>
      </c>
      <c r="Q736" s="23" t="n">
        <v>1594553</v>
      </c>
      <c r="R736" s="23" t="n"/>
      <c r="S736" s="26" t="n">
        <v>1.75928676</v>
      </c>
      <c r="T736" s="24" t="n">
        <v>69.95</v>
      </c>
      <c r="U736" s="24" t="n">
        <v>65.73999999999999</v>
      </c>
      <c r="V736" s="24" t="n">
        <v>67.44</v>
      </c>
      <c r="W736" s="26" t="inlineStr">
        <is>
          <t>PUMA Rebound Layup Womens Basketball Shoes</t>
        </is>
      </c>
      <c r="X736" s="23" t="n">
        <v>6</v>
      </c>
      <c r="Y736" s="18">
        <f>AC736-AB736</f>
        <v/>
      </c>
      <c r="Z736" s="27" t="n">
        <v>4</v>
      </c>
      <c r="AA736" s="27" t="n">
        <v>28</v>
      </c>
      <c r="AB736" s="27" t="n">
        <v>1</v>
      </c>
      <c r="AC736" s="27" t="n">
        <v>6</v>
      </c>
      <c r="AD736" s="1" t="inlineStr">
        <is>
          <t>39489152</t>
        </is>
      </c>
      <c r="AE736" s="1" t="inlineStr">
        <is>
          <t>Puma White-frosted Dew-puma Black</t>
        </is>
      </c>
      <c r="AF736" s="4" t="n">
        <v>10.5</v>
      </c>
      <c r="AG736" s="4" t="n">
        <v>7.03</v>
      </c>
    </row>
    <row r="737" ht="47.25" customHeight="1">
      <c r="A737" s="18" t="inlineStr">
        <is>
          <t>197670210720</t>
        </is>
      </c>
      <c r="B737" s="19" t="inlineStr">
        <is>
          <t>https://www.amazon.com/dp/</t>
        </is>
      </c>
      <c r="C737" s="20" t="inlineStr">
        <is>
          <t>B0CV9NMGM6</t>
        </is>
      </c>
      <c r="D737" s="44" t="n"/>
      <c r="E737" s="23" t="inlineStr">
        <is>
          <t>?th=1&amp;psc=1&amp;tag=sdcdeals03-20</t>
        </is>
      </c>
      <c r="F737" s="19">
        <f>HYPERLINK("https://redirect.sdcdeals.com/redirect?destination=https%3A%2F%2Fwww.amazon.com%2Fdp%2FB0CV9NMGM6%3Fth%3D1%26psc%3D1%26tag%3Dsdcdeals03-20", "Amazon Link")</f>
        <v/>
      </c>
      <c r="G737" s="19" t="inlineStr">
        <is>
          <t>https://www.jcpenney.com/s?searchTerm={search_term}</t>
        </is>
      </c>
      <c r="H737" s="23" t="inlineStr">
        <is>
          <t>197670210720</t>
        </is>
      </c>
      <c r="I737" s="19">
        <f>HYPERLINK("https://www.jcpenney.com/s?searchTerm=197670210720", "Retail Link")</f>
        <v/>
      </c>
      <c r="J737" s="23" t="inlineStr">
        <is>
          <t>n/a</t>
        </is>
      </c>
      <c r="K737" s="21" t="inlineStr">
        <is>
          <t>PUMA Women's Rebound Layup Sneaker, White-Frosted Dew Black, 6.5</t>
        </is>
      </c>
      <c r="L737" s="24" t="n">
        <v>66.5</v>
      </c>
      <c r="M737" s="24" t="n">
        <v>59.94</v>
      </c>
      <c r="N737" s="24" t="n">
        <v>-22.581</v>
      </c>
      <c r="O737" s="24">
        <f>V737-M737</f>
        <v/>
      </c>
      <c r="P737" s="25">
        <f>N737/L737</f>
        <v/>
      </c>
      <c r="Q737" s="23" t="n">
        <v>1573166</v>
      </c>
      <c r="R737" s="23" t="n"/>
      <c r="S737" s="26" t="n">
        <v>1.80999302</v>
      </c>
      <c r="T737" s="24" t="n">
        <v>59.94</v>
      </c>
      <c r="U737" s="24" t="n">
        <v>66.16</v>
      </c>
      <c r="V737" s="24" t="n">
        <v>67.56</v>
      </c>
      <c r="W737" s="26" t="inlineStr">
        <is>
          <t>PUMA Rebound Layup Womens Basketball Shoes</t>
        </is>
      </c>
      <c r="X737" s="23" t="n">
        <v>6</v>
      </c>
      <c r="Y737" s="18">
        <f>AC737-AB737</f>
        <v/>
      </c>
      <c r="Z737" s="27" t="n">
        <v>2</v>
      </c>
      <c r="AA737" s="27" t="n">
        <v>28</v>
      </c>
      <c r="AB737" s="27" t="n">
        <v>0</v>
      </c>
      <c r="AC737" s="27" t="n">
        <v>6</v>
      </c>
      <c r="AD737" s="1" t="inlineStr">
        <is>
          <t>39489152</t>
        </is>
      </c>
      <c r="AE737" s="1" t="inlineStr">
        <is>
          <t>Puma White-frosted Dew-puma Black</t>
        </is>
      </c>
      <c r="AF737" s="4" t="inlineStr"/>
      <c r="AG737" s="4" t="n">
        <v>7.03</v>
      </c>
    </row>
    <row r="738" ht="47.25" customHeight="1">
      <c r="A738" s="18" t="inlineStr">
        <is>
          <t>197670210737</t>
        </is>
      </c>
      <c r="B738" s="19" t="inlineStr">
        <is>
          <t>https://www.amazon.com/dp/</t>
        </is>
      </c>
      <c r="C738" s="20" t="inlineStr">
        <is>
          <t>B0CV9SNHYR</t>
        </is>
      </c>
      <c r="D738" s="44" t="n"/>
      <c r="E738" s="23" t="inlineStr">
        <is>
          <t>?th=1&amp;psc=1&amp;tag=sdcdeals03-20</t>
        </is>
      </c>
      <c r="F738" s="19">
        <f>HYPERLINK("https://redirect.sdcdeals.com/redirect?destination=https%3A%2F%2Fwww.amazon.com%2Fdp%2FB0CV9SNHYR%3Fth%3D1%26psc%3D1%26tag%3Dsdcdeals03-20", "Amazon Link")</f>
        <v/>
      </c>
      <c r="G738" s="19" t="inlineStr">
        <is>
          <t>https://www.jcpenney.com/s?searchTerm={search_term}</t>
        </is>
      </c>
      <c r="H738" s="23" t="inlineStr">
        <is>
          <t>197670210737</t>
        </is>
      </c>
      <c r="I738" s="19">
        <f>HYPERLINK("https://www.jcpenney.com/s?searchTerm=197670210737", "Retail Link")</f>
        <v/>
      </c>
      <c r="J738" s="23" t="inlineStr">
        <is>
          <t>n/a</t>
        </is>
      </c>
      <c r="K738" s="21" t="inlineStr">
        <is>
          <t>PUMA Women's Rebound Layup Sneaker, White-Frosted Dew Black, 7</t>
        </is>
      </c>
      <c r="L738" s="24" t="n">
        <v>66.5</v>
      </c>
      <c r="M738" s="24" t="n">
        <v>59.99</v>
      </c>
      <c r="N738" s="24" t="n">
        <v>-22.5385</v>
      </c>
      <c r="O738" s="24">
        <f>V738-M738</f>
        <v/>
      </c>
      <c r="P738" s="25">
        <f>N738/L738</f>
        <v/>
      </c>
      <c r="Q738" s="23" t="n">
        <v>119617</v>
      </c>
      <c r="R738" s="23" t="n"/>
      <c r="S738" s="26" t="n">
        <v>1.9069963</v>
      </c>
      <c r="T738" s="24" t="n">
        <v>59.94</v>
      </c>
      <c r="U738" s="24" t="n">
        <v>65.40000000000001</v>
      </c>
      <c r="V738" s="24" t="n">
        <v>66.81999999999999</v>
      </c>
      <c r="W738" s="26" t="inlineStr">
        <is>
          <t>PUMA Rebound Layup Womens Basketball Shoes</t>
        </is>
      </c>
      <c r="X738" s="23" t="n">
        <v>9</v>
      </c>
      <c r="Y738" s="18">
        <f>AC738-AB738</f>
        <v/>
      </c>
      <c r="Z738" s="27" t="n">
        <v>23</v>
      </c>
      <c r="AA738" s="27" t="n">
        <v>58</v>
      </c>
      <c r="AB738" s="27" t="n">
        <v>4</v>
      </c>
      <c r="AC738" s="27" t="n">
        <v>22</v>
      </c>
      <c r="AD738" s="1" t="inlineStr">
        <is>
          <t>39489152</t>
        </is>
      </c>
      <c r="AE738" s="1" t="inlineStr">
        <is>
          <t>Puma White-frosted Dew-puma Black</t>
        </is>
      </c>
      <c r="AF738" s="4" t="n">
        <v>9</v>
      </c>
      <c r="AG738" s="4" t="n">
        <v>7.03</v>
      </c>
    </row>
    <row r="739" ht="47.25" customHeight="1">
      <c r="A739" s="18" t="inlineStr">
        <is>
          <t>197670210744</t>
        </is>
      </c>
      <c r="B739" s="19" t="inlineStr">
        <is>
          <t>https://www.amazon.com/dp/</t>
        </is>
      </c>
      <c r="C739" s="20" t="inlineStr">
        <is>
          <t>B0CV9NL35D</t>
        </is>
      </c>
      <c r="D739" s="44" t="n"/>
      <c r="E739" s="23" t="inlineStr">
        <is>
          <t>?th=1&amp;psc=1&amp;tag=sdcdeals03-20</t>
        </is>
      </c>
      <c r="F739" s="19">
        <f>HYPERLINK("https://redirect.sdcdeals.com/redirect?destination=https%3A%2F%2Fwww.amazon.com%2Fdp%2FB0CV9NL35D%3Fth%3D1%26psc%3D1%26tag%3Dsdcdeals03-20", "Amazon Link")</f>
        <v/>
      </c>
      <c r="G739" s="19" t="inlineStr">
        <is>
          <t>https://www.jcpenney.com/s?searchTerm={search_term}</t>
        </is>
      </c>
      <c r="H739" s="23" t="inlineStr">
        <is>
          <t>197670210744</t>
        </is>
      </c>
      <c r="I739" s="19">
        <f>HYPERLINK("https://www.jcpenney.com/s?searchTerm=197670210744", "Retail Link")</f>
        <v/>
      </c>
      <c r="J739" s="23" t="inlineStr">
        <is>
          <t>n/a</t>
        </is>
      </c>
      <c r="K739" s="21" t="inlineStr">
        <is>
          <t>PUMA Women's Rebound Layup Sneaker, White-Frosted Dew Black, 7.5</t>
        </is>
      </c>
      <c r="L739" s="24" t="n">
        <v>66.5</v>
      </c>
      <c r="M739" s="24" t="n">
        <v>59.99</v>
      </c>
      <c r="N739" s="24" t="n">
        <v>-23.0485</v>
      </c>
      <c r="O739" s="24">
        <f>V739-M739</f>
        <v/>
      </c>
      <c r="P739" s="25">
        <f>N739/L739</f>
        <v/>
      </c>
      <c r="Q739" s="23" t="n">
        <v>1638020</v>
      </c>
      <c r="R739" s="23" t="n"/>
      <c r="S739" s="26" t="n">
        <v>1.90038244</v>
      </c>
      <c r="T739" s="24" t="n">
        <v>59.94</v>
      </c>
      <c r="U739" s="24" t="n">
        <v>63.66</v>
      </c>
      <c r="V739" s="24" t="n">
        <v>65.92</v>
      </c>
      <c r="W739" s="26" t="inlineStr">
        <is>
          <t>PUMA Rebound Layup Womens Basketball Shoes</t>
        </is>
      </c>
      <c r="X739" s="23" t="n">
        <v>7</v>
      </c>
      <c r="Y739" s="18">
        <f>AC739-AB739</f>
        <v/>
      </c>
      <c r="Z739" s="27" t="n">
        <v>4</v>
      </c>
      <c r="AA739" s="27" t="n">
        <v>29</v>
      </c>
      <c r="AB739" s="27" t="n">
        <v>4</v>
      </c>
      <c r="AC739" s="27" t="n">
        <v>6</v>
      </c>
      <c r="AD739" s="1" t="inlineStr">
        <is>
          <t>39489152</t>
        </is>
      </c>
      <c r="AE739" s="1" t="inlineStr">
        <is>
          <t>Puma White-frosted Dew-puma Black</t>
        </is>
      </c>
      <c r="AF739" s="4" t="n">
        <v>9</v>
      </c>
      <c r="AG739" s="4" t="n">
        <v>7.54</v>
      </c>
    </row>
    <row r="740" ht="47.25" customHeight="1">
      <c r="A740" s="18" t="inlineStr">
        <is>
          <t>197670210751</t>
        </is>
      </c>
      <c r="B740" s="19" t="inlineStr">
        <is>
          <t>https://www.amazon.com/dp/</t>
        </is>
      </c>
      <c r="C740" s="20" t="inlineStr">
        <is>
          <t>B0CV9SZSC7</t>
        </is>
      </c>
      <c r="D740" s="44" t="n"/>
      <c r="E740" s="23" t="inlineStr">
        <is>
          <t>?th=1&amp;psc=1&amp;tag=sdcdeals03-20</t>
        </is>
      </c>
      <c r="F740" s="19">
        <f>HYPERLINK("https://redirect.sdcdeals.com/redirect?destination=https%3A%2F%2Fwww.amazon.com%2Fdp%2FB0CV9SZSC7%3Fth%3D1%26psc%3D1%26tag%3Dsdcdeals03-20", "Amazon Link")</f>
        <v/>
      </c>
      <c r="G740" s="19" t="inlineStr">
        <is>
          <t>https://www.jcpenney.com/s?searchTerm={search_term}</t>
        </is>
      </c>
      <c r="H740" s="23" t="inlineStr">
        <is>
          <t>197670210751</t>
        </is>
      </c>
      <c r="I740" s="19">
        <f>HYPERLINK("https://www.jcpenney.com/s?searchTerm=197670210751", "Retail Link")</f>
        <v/>
      </c>
      <c r="J740" s="23" t="inlineStr">
        <is>
          <t>n/a</t>
        </is>
      </c>
      <c r="K740" s="21" t="inlineStr">
        <is>
          <t>PUMA Women's Rebound Layup Sneaker, White-Frosted Dew Black, 8</t>
        </is>
      </c>
      <c r="L740" s="24" t="n">
        <v>66.5</v>
      </c>
      <c r="M740" s="24" t="n">
        <v>59.99</v>
      </c>
      <c r="N740" s="24" t="n">
        <v>-23.1285</v>
      </c>
      <c r="O740" s="24">
        <f>V740-M740</f>
        <v/>
      </c>
      <c r="P740" s="25">
        <f>N740/L740</f>
        <v/>
      </c>
      <c r="Q740" s="23" t="n">
        <v>112728</v>
      </c>
      <c r="R740" s="23" t="n"/>
      <c r="S740" s="26" t="n">
        <v>1.9621118</v>
      </c>
      <c r="T740" s="24" t="n">
        <v>59.99</v>
      </c>
      <c r="U740" s="24" t="n">
        <v>65.48999999999999</v>
      </c>
      <c r="V740" s="24" t="n">
        <v>66.87</v>
      </c>
      <c r="W740" s="26" t="inlineStr">
        <is>
          <t>PUMA Rebound Layup Womens Basketball Shoes</t>
        </is>
      </c>
      <c r="X740" s="23" t="n">
        <v>8</v>
      </c>
      <c r="Y740" s="18">
        <f>AC740-AB740</f>
        <v/>
      </c>
      <c r="Z740" s="27" t="n">
        <v>39</v>
      </c>
      <c r="AA740" s="27" t="n">
        <v>106</v>
      </c>
      <c r="AB740" s="27" t="n">
        <v>4</v>
      </c>
      <c r="AC740" s="27" t="n">
        <v>22</v>
      </c>
      <c r="AD740" s="1" t="inlineStr">
        <is>
          <t>39489152</t>
        </is>
      </c>
      <c r="AE740" s="1" t="inlineStr">
        <is>
          <t>Puma White-frosted Dew-puma Black</t>
        </is>
      </c>
      <c r="AF740" s="4" t="n">
        <v>9</v>
      </c>
      <c r="AG740" s="4" t="n">
        <v>7.62</v>
      </c>
    </row>
    <row r="741" ht="47.25" customHeight="1">
      <c r="A741" s="18" t="inlineStr">
        <is>
          <t>197670210768</t>
        </is>
      </c>
      <c r="B741" s="19" t="inlineStr">
        <is>
          <t>https://www.amazon.com/dp/</t>
        </is>
      </c>
      <c r="C741" s="20" t="inlineStr">
        <is>
          <t>B0CV9DPGFL</t>
        </is>
      </c>
      <c r="D741" s="44" t="n"/>
      <c r="E741" s="23" t="inlineStr">
        <is>
          <t>?th=1&amp;psc=1&amp;tag=sdcdeals03-20</t>
        </is>
      </c>
      <c r="F741" s="19">
        <f>HYPERLINK("https://redirect.sdcdeals.com/redirect?destination=https%3A%2F%2Fwww.amazon.com%2Fdp%2FB0CV9DPGFL%3Fth%3D1%26psc%3D1%26tag%3Dsdcdeals03-20", "Amazon Link")</f>
        <v/>
      </c>
      <c r="G741" s="19" t="inlineStr">
        <is>
          <t>https://www.jcpenney.com/s?searchTerm={search_term}</t>
        </is>
      </c>
      <c r="H741" s="23" t="inlineStr">
        <is>
          <t>197670210768</t>
        </is>
      </c>
      <c r="I741" s="19">
        <f>HYPERLINK("https://www.jcpenney.com/s?searchTerm=197670210768", "Retail Link")</f>
        <v/>
      </c>
      <c r="J741" s="23" t="inlineStr">
        <is>
          <t>n/a</t>
        </is>
      </c>
      <c r="K741" s="21" t="inlineStr">
        <is>
          <t>PUMA Women's Rebound Layup Sneaker, White-Frosted Dew Black, 8.5</t>
        </is>
      </c>
      <c r="L741" s="24" t="n">
        <v>66.5</v>
      </c>
      <c r="M741" s="24" t="n">
        <v>59.99</v>
      </c>
      <c r="N741" s="24" t="n">
        <v>-23.1285</v>
      </c>
      <c r="O741" s="24">
        <f>V741-M741</f>
        <v/>
      </c>
      <c r="P741" s="25">
        <f>N741/L741</f>
        <v/>
      </c>
      <c r="Q741" s="23" t="n">
        <v>207300</v>
      </c>
      <c r="R741" s="23" t="n"/>
      <c r="S741" s="26" t="n">
        <v>2.03045502</v>
      </c>
      <c r="T741" s="24" t="n">
        <v>59.99</v>
      </c>
      <c r="U741" s="24" t="n">
        <v>65.76000000000001</v>
      </c>
      <c r="V741" s="24" t="n">
        <v>67.13</v>
      </c>
      <c r="W741" s="26" t="inlineStr">
        <is>
          <t>PUMA Rebound Layup Womens Basketball Shoes</t>
        </is>
      </c>
      <c r="X741" s="23" t="n">
        <v>8</v>
      </c>
      <c r="Y741" s="18">
        <f>AC741-AB741</f>
        <v/>
      </c>
      <c r="Z741" s="27" t="n">
        <v>29</v>
      </c>
      <c r="AA741" s="27" t="n">
        <v>74</v>
      </c>
      <c r="AB741" s="27" t="n">
        <v>3</v>
      </c>
      <c r="AC741" s="27" t="n">
        <v>22</v>
      </c>
      <c r="AD741" s="1" t="inlineStr">
        <is>
          <t>39489152</t>
        </is>
      </c>
      <c r="AE741" s="1" t="inlineStr">
        <is>
          <t>Puma White-frosted Dew-puma Black</t>
        </is>
      </c>
      <c r="AF741" s="4" t="n">
        <v>9</v>
      </c>
      <c r="AG741" s="4" t="n">
        <v>7.62</v>
      </c>
    </row>
    <row r="742" ht="47.25" customHeight="1">
      <c r="A742" s="18" t="inlineStr">
        <is>
          <t>197670210775</t>
        </is>
      </c>
      <c r="B742" s="19" t="inlineStr">
        <is>
          <t>https://www.amazon.com/dp/</t>
        </is>
      </c>
      <c r="C742" s="20" t="inlineStr">
        <is>
          <t>B0CV9Q5FJ3</t>
        </is>
      </c>
      <c r="D742" s="44" t="n"/>
      <c r="E742" s="23" t="inlineStr">
        <is>
          <t>?th=1&amp;psc=1&amp;tag=sdcdeals03-20</t>
        </is>
      </c>
      <c r="F742" s="19">
        <f>HYPERLINK("https://redirect.sdcdeals.com/redirect?destination=https%3A%2F%2Fwww.amazon.com%2Fdp%2FB0CV9Q5FJ3%3Fth%3D1%26psc%3D1%26tag%3Dsdcdeals03-20", "Amazon Link")</f>
        <v/>
      </c>
      <c r="G742" s="19" t="inlineStr">
        <is>
          <t>https://www.jcpenney.com/s?searchTerm={search_term}</t>
        </is>
      </c>
      <c r="H742" s="23" t="inlineStr">
        <is>
          <t>197670210775</t>
        </is>
      </c>
      <c r="I742" s="19">
        <f>HYPERLINK("https://www.jcpenney.com/s?searchTerm=197670210775", "Retail Link")</f>
        <v/>
      </c>
      <c r="J742" s="23" t="inlineStr">
        <is>
          <t>n/a</t>
        </is>
      </c>
      <c r="K742" s="21" t="inlineStr">
        <is>
          <t>PUMA Women's Rebound Layup Sneaker, White-Frosted Dew Black, 9</t>
        </is>
      </c>
      <c r="L742" s="24" t="n">
        <v>66.5</v>
      </c>
      <c r="M742" s="24" t="n">
        <v>59.99</v>
      </c>
      <c r="N742" s="24" t="n">
        <v>-23.1285</v>
      </c>
      <c r="O742" s="24">
        <f>V742-M742</f>
        <v/>
      </c>
      <c r="P742" s="25">
        <f>N742/L742</f>
        <v/>
      </c>
      <c r="Q742" s="23" t="n">
        <v>159238</v>
      </c>
      <c r="R742" s="23" t="n"/>
      <c r="S742" s="26" t="n">
        <v>2.094389</v>
      </c>
      <c r="T742" s="24" t="n">
        <v>59.99</v>
      </c>
      <c r="U742" s="24" t="n">
        <v>64.19</v>
      </c>
      <c r="V742" s="24" t="n">
        <v>66.11</v>
      </c>
      <c r="W742" s="26" t="inlineStr">
        <is>
          <t>PUMA Rebound Layup Womens Basketball Shoes</t>
        </is>
      </c>
      <c r="X742" s="23" t="n">
        <v>9</v>
      </c>
      <c r="Y742" s="18">
        <f>AC742-AB742</f>
        <v/>
      </c>
      <c r="Z742" s="27" t="n">
        <v>32</v>
      </c>
      <c r="AA742" s="27" t="n">
        <v>95</v>
      </c>
      <c r="AB742" s="27" t="n">
        <v>1</v>
      </c>
      <c r="AC742" s="27" t="n">
        <v>22</v>
      </c>
      <c r="AD742" s="1" t="inlineStr">
        <is>
          <t>39489152</t>
        </is>
      </c>
      <c r="AE742" s="1" t="inlineStr">
        <is>
          <t>Puma White-frosted Dew-puma Black</t>
        </is>
      </c>
      <c r="AF742" s="4" t="n">
        <v>9</v>
      </c>
      <c r="AG742" s="4" t="n">
        <v>7.62</v>
      </c>
    </row>
    <row r="743" ht="47.25" customHeight="1">
      <c r="A743" s="18" t="inlineStr">
        <is>
          <t>197670210782</t>
        </is>
      </c>
      <c r="B743" s="19" t="inlineStr">
        <is>
          <t>https://www.amazon.com/dp/</t>
        </is>
      </c>
      <c r="C743" s="20" t="inlineStr">
        <is>
          <t>B0CV9RWH3R</t>
        </is>
      </c>
      <c r="D743" s="44" t="n"/>
      <c r="E743" s="23" t="inlineStr">
        <is>
          <t>?th=1&amp;psc=1&amp;tag=sdcdeals03-20</t>
        </is>
      </c>
      <c r="F743" s="19">
        <f>HYPERLINK("https://redirect.sdcdeals.com/redirect?destination=https%3A%2F%2Fwww.amazon.com%2Fdp%2FB0CV9RWH3R%3Fth%3D1%26psc%3D1%26tag%3Dsdcdeals03-20", "Amazon Link")</f>
        <v/>
      </c>
      <c r="G743" s="19" t="inlineStr">
        <is>
          <t>https://www.jcpenney.com/s?searchTerm={search_term}</t>
        </is>
      </c>
      <c r="H743" s="23" t="inlineStr">
        <is>
          <t>197670210782</t>
        </is>
      </c>
      <c r="I743" s="19">
        <f>HYPERLINK("https://www.jcpenney.com/s?searchTerm=197670210782", "Retail Link")</f>
        <v/>
      </c>
      <c r="J743" s="23" t="inlineStr">
        <is>
          <t>n/a</t>
        </is>
      </c>
      <c r="K743" s="21" t="inlineStr">
        <is>
          <t>PUMA Women's Rebound Layup Sneaker, White-Frosted Dew Black, 9.5</t>
        </is>
      </c>
      <c r="L743" s="24" t="n">
        <v>66.5</v>
      </c>
      <c r="M743" s="24" t="n">
        <v>59.99</v>
      </c>
      <c r="N743" s="24" t="n">
        <v>-23.1285</v>
      </c>
      <c r="O743" s="24">
        <f>V743-M743</f>
        <v/>
      </c>
      <c r="P743" s="25">
        <f>N743/L743</f>
        <v/>
      </c>
      <c r="Q743" s="23" t="n">
        <v>191453</v>
      </c>
      <c r="R743" s="23" t="n"/>
      <c r="S743" s="26" t="n">
        <v>2.14068602</v>
      </c>
      <c r="T743" s="24" t="n">
        <v>59.99</v>
      </c>
      <c r="U743" s="24" t="n">
        <v>66.81</v>
      </c>
      <c r="V743" s="24" t="n">
        <v>67.62</v>
      </c>
      <c r="W743" s="26" t="inlineStr">
        <is>
          <t>PUMA Rebound Layup Womens Basketball Shoes</t>
        </is>
      </c>
      <c r="X743" s="23" t="n">
        <v>7</v>
      </c>
      <c r="Y743" s="18">
        <f>AC743-AB743</f>
        <v/>
      </c>
      <c r="Z743" s="27" t="n">
        <v>38</v>
      </c>
      <c r="AA743" s="27" t="n">
        <v>94</v>
      </c>
      <c r="AB743" s="27" t="n">
        <v>4</v>
      </c>
      <c r="AC743" s="27" t="n">
        <v>22</v>
      </c>
      <c r="AD743" s="1" t="inlineStr">
        <is>
          <t>39489152</t>
        </is>
      </c>
      <c r="AE743" s="1" t="inlineStr">
        <is>
          <t>Puma White-frosted Dew-puma Black</t>
        </is>
      </c>
      <c r="AF743" s="4" t="n">
        <v>9</v>
      </c>
      <c r="AG743" s="4" t="n">
        <v>7.62</v>
      </c>
    </row>
    <row r="744" ht="47.25" customHeight="1">
      <c r="A744" s="18" t="inlineStr">
        <is>
          <t>197670210799</t>
        </is>
      </c>
      <c r="B744" s="19" t="inlineStr">
        <is>
          <t>https://www.amazon.com/dp/</t>
        </is>
      </c>
      <c r="C744" s="20" t="inlineStr">
        <is>
          <t>B0CV9SF1VP</t>
        </is>
      </c>
      <c r="D744" s="44" t="n"/>
      <c r="E744" s="23" t="inlineStr">
        <is>
          <t>?th=1&amp;psc=1&amp;tag=sdcdeals03-20</t>
        </is>
      </c>
      <c r="F744" s="19">
        <f>HYPERLINK("https://redirect.sdcdeals.com/redirect?destination=https%3A%2F%2Fwww.amazon.com%2Fdp%2FB0CV9SF1VP%3Fth%3D1%26psc%3D1%26tag%3Dsdcdeals03-20", "Amazon Link")</f>
        <v/>
      </c>
      <c r="G744" s="19" t="inlineStr">
        <is>
          <t>https://www.jcpenney.com/s?searchTerm={search_term}</t>
        </is>
      </c>
      <c r="H744" s="23" t="inlineStr">
        <is>
          <t>197670210799</t>
        </is>
      </c>
      <c r="I744" s="19">
        <f>HYPERLINK("https://www.jcpenney.com/s?searchTerm=197670210799", "Retail Link")</f>
        <v/>
      </c>
      <c r="J744" s="23" t="inlineStr">
        <is>
          <t>n/a</t>
        </is>
      </c>
      <c r="K744" s="21" t="inlineStr">
        <is>
          <t>PUMA Women's Rebound Layup Sneaker, White-Frosted Dew Black, 10</t>
        </is>
      </c>
      <c r="L744" s="24" t="n">
        <v>66.5</v>
      </c>
      <c r="M744" s="24" t="n">
        <v>59.99</v>
      </c>
      <c r="N744" s="24" t="n">
        <v>-23.1285</v>
      </c>
      <c r="O744" s="24">
        <f>V744-M744</f>
        <v/>
      </c>
      <c r="P744" s="25">
        <f>N744/L744</f>
        <v/>
      </c>
      <c r="Q744" s="23" t="n">
        <v>200212</v>
      </c>
      <c r="R744" s="23" t="n"/>
      <c r="S744" s="26" t="n">
        <v>2.18036918</v>
      </c>
      <c r="T744" s="24" t="n">
        <v>59.99</v>
      </c>
      <c r="U744" s="24" t="n">
        <v>64.42</v>
      </c>
      <c r="V744" s="24" t="n">
        <v>66.76000000000001</v>
      </c>
      <c r="W744" s="26" t="inlineStr">
        <is>
          <t>PUMA Rebound Layup Womens Basketball Shoes</t>
        </is>
      </c>
      <c r="X744" s="23" t="n">
        <v>7</v>
      </c>
      <c r="Y744" s="18">
        <f>AC744-AB744</f>
        <v/>
      </c>
      <c r="Z744" s="27" t="n">
        <v>30</v>
      </c>
      <c r="AA744" s="27" t="n">
        <v>87</v>
      </c>
      <c r="AB744" s="27" t="n">
        <v>3</v>
      </c>
      <c r="AC744" s="27" t="n">
        <v>22</v>
      </c>
      <c r="AD744" s="1" t="inlineStr">
        <is>
          <t>39489152</t>
        </is>
      </c>
      <c r="AE744" s="1" t="inlineStr">
        <is>
          <t>Puma White-frosted Dew-puma Black</t>
        </is>
      </c>
      <c r="AF744" s="4" t="n">
        <v>9</v>
      </c>
      <c r="AG744" s="4" t="n">
        <v>7.62</v>
      </c>
    </row>
    <row r="745" ht="47.25" customHeight="1">
      <c r="A745" s="18" t="inlineStr">
        <is>
          <t>197670210812</t>
        </is>
      </c>
      <c r="B745" s="19" t="inlineStr">
        <is>
          <t>https://www.amazon.com/dp/</t>
        </is>
      </c>
      <c r="C745" s="20" t="inlineStr">
        <is>
          <t>B0CV9S9145</t>
        </is>
      </c>
      <c r="D745" s="44" t="n"/>
      <c r="E745" s="23" t="inlineStr">
        <is>
          <t>?th=1&amp;psc=1&amp;tag=sdcdeals03-20</t>
        </is>
      </c>
      <c r="F745" s="19">
        <f>HYPERLINK("https://redirect.sdcdeals.com/redirect?destination=https%3A%2F%2Fwww.amazon.com%2Fdp%2FB0CV9S9145%3Fth%3D1%26psc%3D1%26tag%3Dsdcdeals03-20", "Amazon Link")</f>
        <v/>
      </c>
      <c r="G745" s="19" t="inlineStr">
        <is>
          <t>https://www.jcpenney.com/s?searchTerm={search_term}</t>
        </is>
      </c>
      <c r="H745" s="23" t="inlineStr">
        <is>
          <t>197670210812</t>
        </is>
      </c>
      <c r="I745" s="19">
        <f>HYPERLINK("https://www.jcpenney.com/s?searchTerm=197670210812", "Retail Link")</f>
        <v/>
      </c>
      <c r="J745" s="23" t="inlineStr">
        <is>
          <t>n/a</t>
        </is>
      </c>
      <c r="K745" s="21" t="inlineStr">
        <is>
          <t>PUMA Women's Rebound Layup Sneaker, White-Frosted Dew Black, 11</t>
        </is>
      </c>
      <c r="L745" s="24" t="n">
        <v>66.5</v>
      </c>
      <c r="M745" s="24" t="n">
        <v>59.99</v>
      </c>
      <c r="N745" s="24" t="n">
        <v>-23.3685</v>
      </c>
      <c r="O745" s="24">
        <f>V745-M745</f>
        <v/>
      </c>
      <c r="P745" s="25">
        <f>N745/L745</f>
        <v/>
      </c>
      <c r="Q745" s="23" t="n">
        <v>119617</v>
      </c>
      <c r="R745" s="23" t="n"/>
      <c r="S745" s="26" t="n">
        <v>2.3589434</v>
      </c>
      <c r="T745" s="24" t="n">
        <v>59.94</v>
      </c>
      <c r="U745" s="24" t="n">
        <v>65.33</v>
      </c>
      <c r="V745" s="24" t="n">
        <v>66.77</v>
      </c>
      <c r="W745" s="26" t="inlineStr">
        <is>
          <t>PUMA Rebound Layup Womens Basketball Shoes</t>
        </is>
      </c>
      <c r="X745" s="23" t="n">
        <v>8</v>
      </c>
      <c r="Y745" s="18">
        <f>AC745-AB745</f>
        <v/>
      </c>
      <c r="Z745" s="27" t="n">
        <v>19</v>
      </c>
      <c r="AA745" s="27" t="n">
        <v>58</v>
      </c>
      <c r="AB745" s="27" t="n">
        <v>2</v>
      </c>
      <c r="AC745" s="27" t="n">
        <v>22</v>
      </c>
      <c r="AD745" s="1" t="inlineStr">
        <is>
          <t>39489152</t>
        </is>
      </c>
      <c r="AE745" s="1" t="inlineStr">
        <is>
          <t>Puma White-frosted Dew-puma Black</t>
        </is>
      </c>
      <c r="AF745" s="4" t="n">
        <v>9</v>
      </c>
      <c r="AG745" s="4" t="n">
        <v>7.86</v>
      </c>
    </row>
    <row r="746" ht="47.25" customHeight="1">
      <c r="A746" s="18" t="n"/>
      <c r="B746" s="19" t="n"/>
      <c r="C746" s="20" t="n"/>
      <c r="D746" s="44" t="n"/>
      <c r="E746" s="23" t="n"/>
      <c r="F746" s="19" t="n"/>
      <c r="G746" s="19" t="n"/>
      <c r="H746" s="23" t="n"/>
      <c r="I746" s="19" t="n"/>
      <c r="J746" s="23" t="n"/>
      <c r="K746" s="21" t="n"/>
      <c r="L746" s="24" t="n"/>
      <c r="M746" s="24" t="n"/>
      <c r="N746" s="24" t="n"/>
      <c r="O746" s="24" t="n"/>
      <c r="P746" s="25" t="n"/>
      <c r="Q746" s="23" t="n"/>
      <c r="R746" s="23" t="n"/>
      <c r="S746" s="26" t="n"/>
      <c r="T746" s="24" t="n"/>
      <c r="U746" s="24" t="n"/>
      <c r="V746" s="24" t="n"/>
      <c r="W746" s="26" t="n"/>
      <c r="X746" s="23" t="n"/>
      <c r="Y746" s="18" t="n"/>
      <c r="Z746" s="27" t="n"/>
      <c r="AA746" s="27" t="n"/>
      <c r="AB746" s="27" t="n"/>
      <c r="AC746" s="27" t="n"/>
      <c r="AD746" s="1" t="n"/>
      <c r="AE746" s="1" t="n"/>
      <c r="AF746" s="4" t="n"/>
      <c r="AG746" s="4" t="n"/>
    </row>
    <row r="747" ht="47.25" customHeight="1">
      <c r="A747" s="18" t="n"/>
      <c r="B747" s="19" t="n"/>
      <c r="C747" s="20" t="n"/>
      <c r="D747" s="44" t="n"/>
      <c r="E747" s="23" t="n"/>
      <c r="F747" s="19" t="n"/>
      <c r="G747" s="19" t="n"/>
      <c r="H747" s="23" t="n"/>
      <c r="I747" s="19" t="n"/>
      <c r="J747" s="23" t="n"/>
      <c r="K747" s="21" t="n"/>
      <c r="L747" s="24" t="n"/>
      <c r="M747" s="24" t="n"/>
      <c r="N747" s="24" t="n"/>
      <c r="O747" s="24" t="n"/>
      <c r="P747" s="25" t="n"/>
      <c r="Q747" s="23" t="n"/>
      <c r="R747" s="23" t="n"/>
      <c r="S747" s="26" t="n"/>
      <c r="T747" s="24" t="n"/>
      <c r="U747" s="24" t="n"/>
      <c r="V747" s="24" t="n"/>
      <c r="W747" s="26" t="n"/>
      <c r="X747" s="23" t="n"/>
      <c r="Y747" s="18" t="n"/>
      <c r="Z747" s="27" t="n"/>
      <c r="AA747" s="27" t="n"/>
      <c r="AB747" s="27" t="n"/>
      <c r="AC747" s="27" t="n"/>
      <c r="AD747" s="1" t="n"/>
      <c r="AE747" s="1" t="n"/>
      <c r="AF747" s="4" t="n"/>
      <c r="AG747" s="4" t="n"/>
    </row>
    <row r="748" ht="47.25" customHeight="1">
      <c r="A748" s="18" t="n"/>
      <c r="B748" s="19" t="n"/>
      <c r="C748" s="20" t="n"/>
      <c r="D748" s="44" t="n"/>
      <c r="E748" s="23" t="n"/>
      <c r="F748" s="19" t="n"/>
      <c r="G748" s="19" t="n"/>
      <c r="H748" s="23" t="n"/>
      <c r="I748" s="19" t="n"/>
      <c r="J748" s="23" t="n"/>
      <c r="K748" s="21" t="n"/>
      <c r="L748" s="24" t="n"/>
      <c r="M748" s="24" t="n"/>
      <c r="N748" s="24" t="n"/>
      <c r="O748" s="24" t="n"/>
      <c r="P748" s="25" t="n"/>
      <c r="Q748" s="23" t="n"/>
      <c r="R748" s="23" t="n"/>
      <c r="S748" s="26" t="n"/>
      <c r="T748" s="24" t="n"/>
      <c r="U748" s="24" t="n"/>
      <c r="V748" s="24" t="n"/>
      <c r="W748" s="26" t="n"/>
      <c r="X748" s="23" t="n"/>
      <c r="Y748" s="18" t="n"/>
      <c r="Z748" s="27" t="n"/>
      <c r="AA748" s="27" t="n"/>
      <c r="AB748" s="27" t="n"/>
      <c r="AC748" s="27" t="n"/>
      <c r="AD748" s="1" t="n"/>
      <c r="AE748" s="1" t="n"/>
      <c r="AF748" s="4" t="n"/>
      <c r="AG748" s="4" t="n"/>
    </row>
    <row r="749" ht="47.25" customHeight="1">
      <c r="A749" s="18" t="n"/>
      <c r="B749" s="19" t="n"/>
      <c r="C749" s="20" t="n"/>
      <c r="D749" s="44" t="n"/>
      <c r="E749" s="23" t="n"/>
      <c r="F749" s="19" t="n"/>
      <c r="G749" s="19" t="n"/>
      <c r="H749" s="23" t="n"/>
      <c r="I749" s="19" t="n"/>
      <c r="J749" s="23" t="n"/>
      <c r="K749" s="21" t="n"/>
      <c r="L749" s="24" t="n"/>
      <c r="M749" s="24" t="n"/>
      <c r="N749" s="24" t="n"/>
      <c r="O749" s="24" t="n"/>
      <c r="P749" s="25" t="n"/>
      <c r="Q749" s="23" t="n"/>
      <c r="R749" s="23" t="n"/>
      <c r="S749" s="26" t="n"/>
      <c r="T749" s="24" t="n"/>
      <c r="U749" s="24" t="n"/>
      <c r="V749" s="24" t="n"/>
      <c r="W749" s="26" t="n"/>
      <c r="X749" s="23" t="n"/>
      <c r="Y749" s="18" t="n"/>
      <c r="Z749" s="27" t="n"/>
      <c r="AA749" s="27" t="n"/>
      <c r="AB749" s="27" t="n"/>
      <c r="AC749" s="27" t="n"/>
      <c r="AD749" s="1" t="n"/>
      <c r="AE749" s="1" t="n"/>
      <c r="AF749" s="4" t="n"/>
      <c r="AG749" s="4" t="n"/>
    </row>
    <row r="750" ht="47.25" customHeight="1">
      <c r="A750" s="18" t="n"/>
      <c r="B750" s="19" t="n"/>
      <c r="C750" s="20" t="n"/>
      <c r="D750" s="44" t="n"/>
      <c r="E750" s="23" t="n"/>
      <c r="F750" s="19" t="n"/>
      <c r="G750" s="19" t="n"/>
      <c r="H750" s="23" t="n"/>
      <c r="I750" s="19" t="n"/>
      <c r="J750" s="23" t="n"/>
      <c r="K750" s="21" t="n"/>
      <c r="L750" s="24" t="n"/>
      <c r="M750" s="24" t="n"/>
      <c r="N750" s="24" t="n"/>
      <c r="O750" s="24" t="n"/>
      <c r="P750" s="25" t="n"/>
      <c r="Q750" s="23" t="n"/>
      <c r="R750" s="23" t="n"/>
      <c r="S750" s="26" t="n"/>
      <c r="T750" s="24" t="n"/>
      <c r="U750" s="24" t="n"/>
      <c r="V750" s="24" t="n"/>
      <c r="W750" s="26" t="n"/>
      <c r="X750" s="23" t="n"/>
      <c r="Y750" s="18" t="n"/>
      <c r="Z750" s="27" t="n"/>
      <c r="AA750" s="27" t="n"/>
      <c r="AB750" s="27" t="n"/>
      <c r="AC750" s="27" t="n"/>
      <c r="AD750" s="1" t="n"/>
      <c r="AE750" s="1" t="n"/>
      <c r="AF750" s="4" t="n"/>
      <c r="AG750" s="4" t="n"/>
    </row>
    <row r="751" ht="47.25" customHeight="1">
      <c r="A751" s="18" t="n"/>
      <c r="B751" s="19" t="n"/>
      <c r="C751" s="20" t="n"/>
      <c r="D751" s="44" t="n"/>
      <c r="E751" s="23" t="n"/>
      <c r="F751" s="19" t="n"/>
      <c r="G751" s="19" t="n"/>
      <c r="H751" s="23" t="n"/>
      <c r="I751" s="19" t="n"/>
      <c r="J751" s="23" t="n"/>
      <c r="K751" s="21" t="n"/>
      <c r="L751" s="24" t="n"/>
      <c r="M751" s="24" t="n"/>
      <c r="N751" s="24" t="n"/>
      <c r="O751" s="24" t="n"/>
      <c r="P751" s="25" t="n"/>
      <c r="Q751" s="23" t="n"/>
      <c r="R751" s="23" t="n"/>
      <c r="S751" s="26" t="n"/>
      <c r="T751" s="24" t="n"/>
      <c r="U751" s="24" t="n"/>
      <c r="V751" s="24" t="n"/>
      <c r="W751" s="26" t="n"/>
      <c r="X751" s="23" t="n"/>
      <c r="Y751" s="18" t="n"/>
      <c r="Z751" s="27" t="n"/>
      <c r="AA751" s="27" t="n"/>
      <c r="AB751" s="27" t="n"/>
      <c r="AC751" s="27" t="n"/>
      <c r="AD751" s="1" t="n"/>
      <c r="AE751" s="1" t="n"/>
      <c r="AF751" s="4" t="n"/>
      <c r="AG751" s="4" t="n"/>
    </row>
    <row r="752" ht="47.25" customHeight="1">
      <c r="A752" s="18" t="n"/>
      <c r="B752" s="19" t="n"/>
      <c r="C752" s="20" t="n"/>
      <c r="D752" s="44" t="n"/>
      <c r="E752" s="23" t="n"/>
      <c r="F752" s="19" t="n"/>
      <c r="G752" s="19" t="n"/>
      <c r="H752" s="23" t="n"/>
      <c r="I752" s="19" t="n"/>
      <c r="J752" s="23" t="n"/>
      <c r="K752" s="21" t="n"/>
      <c r="L752" s="24" t="n"/>
      <c r="M752" s="24" t="n"/>
      <c r="N752" s="24" t="n"/>
      <c r="O752" s="24" t="n"/>
      <c r="P752" s="25" t="n"/>
      <c r="Q752" s="23" t="n"/>
      <c r="R752" s="23" t="n"/>
      <c r="S752" s="26" t="n"/>
      <c r="T752" s="24" t="n"/>
      <c r="U752" s="24" t="n"/>
      <c r="V752" s="24" t="n"/>
      <c r="W752" s="26" t="n"/>
      <c r="X752" s="23" t="n"/>
      <c r="Y752" s="18" t="n"/>
      <c r="Z752" s="27" t="n"/>
      <c r="AA752" s="27" t="n"/>
      <c r="AB752" s="27" t="n"/>
      <c r="AC752" s="27" t="n"/>
      <c r="AD752" s="1" t="n"/>
      <c r="AE752" s="1" t="n"/>
      <c r="AF752" s="4" t="n"/>
      <c r="AG752" s="4" t="n"/>
    </row>
    <row r="753" ht="47.25" customHeight="1">
      <c r="A753" s="18" t="n"/>
      <c r="B753" s="19" t="n"/>
      <c r="C753" s="20" t="n"/>
      <c r="D753" s="44" t="n"/>
      <c r="E753" s="23" t="n"/>
      <c r="F753" s="19" t="n"/>
      <c r="G753" s="19" t="n"/>
      <c r="H753" s="23" t="n"/>
      <c r="I753" s="19" t="n"/>
      <c r="J753" s="23" t="n"/>
      <c r="K753" s="21" t="n"/>
      <c r="L753" s="24" t="n"/>
      <c r="M753" s="24" t="n"/>
      <c r="N753" s="24" t="n"/>
      <c r="O753" s="24" t="n"/>
      <c r="P753" s="25" t="n"/>
      <c r="Q753" s="23" t="n"/>
      <c r="R753" s="23" t="n"/>
      <c r="S753" s="26" t="n"/>
      <c r="T753" s="24" t="n"/>
      <c r="U753" s="24" t="n"/>
      <c r="V753" s="24" t="n"/>
      <c r="W753" s="26" t="n"/>
      <c r="X753" s="23" t="n"/>
      <c r="Y753" s="18" t="n"/>
      <c r="Z753" s="27" t="n"/>
      <c r="AA753" s="27" t="n"/>
      <c r="AB753" s="27" t="n"/>
      <c r="AC753" s="27" t="n"/>
      <c r="AD753" s="1" t="n"/>
      <c r="AE753" s="1" t="n"/>
      <c r="AF753" s="4" t="n"/>
      <c r="AG753" s="4" t="n"/>
    </row>
    <row r="754" ht="47.25" customHeight="1">
      <c r="A754" s="18" t="n"/>
      <c r="B754" s="19" t="n"/>
      <c r="C754" s="20" t="n"/>
      <c r="D754" s="44" t="n"/>
      <c r="E754" s="23" t="n"/>
      <c r="F754" s="19" t="n"/>
      <c r="G754" s="19" t="n"/>
      <c r="H754" s="23" t="n"/>
      <c r="I754" s="19" t="n"/>
      <c r="J754" s="23" t="n"/>
      <c r="K754" s="21" t="n"/>
      <c r="L754" s="24" t="n"/>
      <c r="M754" s="24" t="n"/>
      <c r="N754" s="24" t="n"/>
      <c r="O754" s="24" t="n"/>
      <c r="P754" s="25" t="n"/>
      <c r="Q754" s="23" t="n"/>
      <c r="R754" s="23" t="n"/>
      <c r="S754" s="26" t="n"/>
      <c r="T754" s="24" t="n"/>
      <c r="U754" s="24" t="n"/>
      <c r="V754" s="24" t="n"/>
      <c r="W754" s="26" t="n"/>
      <c r="X754" s="23" t="n"/>
      <c r="Y754" s="18" t="n"/>
      <c r="Z754" s="27" t="n"/>
      <c r="AA754" s="27" t="n"/>
      <c r="AB754" s="27" t="n"/>
      <c r="AC754" s="27" t="n"/>
      <c r="AD754" s="1" t="n"/>
      <c r="AE754" s="1" t="n"/>
      <c r="AF754" s="4" t="n"/>
      <c r="AG754" s="4" t="n"/>
    </row>
    <row r="755" ht="47.25" customHeight="1">
      <c r="A755" s="18" t="n"/>
      <c r="B755" s="19" t="n"/>
      <c r="C755" s="20" t="n"/>
      <c r="D755" s="44" t="n"/>
      <c r="E755" s="23" t="n"/>
      <c r="F755" s="19" t="n"/>
      <c r="G755" s="19" t="n"/>
      <c r="H755" s="23" t="n"/>
      <c r="I755" s="19" t="n"/>
      <c r="J755" s="23" t="n"/>
      <c r="K755" s="21" t="n"/>
      <c r="L755" s="24" t="n"/>
      <c r="M755" s="24" t="n"/>
      <c r="N755" s="24" t="n"/>
      <c r="O755" s="24" t="n"/>
      <c r="P755" s="25" t="n"/>
      <c r="Q755" s="23" t="n"/>
      <c r="R755" s="23" t="n"/>
      <c r="S755" s="26" t="n"/>
      <c r="T755" s="24" t="n"/>
      <c r="U755" s="24" t="n"/>
      <c r="V755" s="24" t="n"/>
      <c r="W755" s="26" t="n"/>
      <c r="X755" s="23" t="n"/>
      <c r="Y755" s="18" t="n"/>
      <c r="Z755" s="27" t="n"/>
      <c r="AA755" s="27" t="n"/>
      <c r="AB755" s="27" t="n"/>
      <c r="AC755" s="27" t="n"/>
      <c r="AD755" s="1" t="n"/>
      <c r="AE755" s="1" t="n"/>
      <c r="AF755" s="4" t="n"/>
      <c r="AG755" s="4" t="n"/>
    </row>
    <row r="756" ht="47.25" customHeight="1">
      <c r="A756" s="18" t="n"/>
      <c r="B756" s="19" t="n"/>
      <c r="C756" s="20" t="n"/>
      <c r="D756" s="44" t="n"/>
      <c r="E756" s="23" t="n"/>
      <c r="F756" s="19" t="n"/>
      <c r="G756" s="19" t="n"/>
      <c r="H756" s="23" t="n"/>
      <c r="I756" s="19" t="n"/>
      <c r="J756" s="23" t="n"/>
      <c r="K756" s="21" t="n"/>
      <c r="L756" s="24" t="n"/>
      <c r="M756" s="24" t="n"/>
      <c r="N756" s="24" t="n"/>
      <c r="O756" s="24" t="n"/>
      <c r="P756" s="25" t="n"/>
      <c r="Q756" s="23" t="n"/>
      <c r="R756" s="23" t="n"/>
      <c r="S756" s="26" t="n"/>
      <c r="T756" s="24" t="n"/>
      <c r="U756" s="24" t="n"/>
      <c r="V756" s="24" t="n"/>
      <c r="W756" s="26" t="n"/>
      <c r="X756" s="23" t="n"/>
      <c r="Y756" s="18" t="n"/>
      <c r="Z756" s="27" t="n"/>
      <c r="AA756" s="27" t="n"/>
      <c r="AB756" s="27" t="n"/>
      <c r="AC756" s="27" t="n"/>
      <c r="AD756" s="1" t="n"/>
      <c r="AE756" s="1" t="n"/>
      <c r="AF756" s="4" t="n"/>
      <c r="AG756" s="4" t="n"/>
    </row>
    <row r="757" ht="47.25" customHeight="1">
      <c r="A757" s="18" t="n"/>
      <c r="B757" s="19" t="n"/>
      <c r="C757" s="20" t="n"/>
      <c r="D757" s="44" t="n"/>
      <c r="E757" s="23" t="n"/>
      <c r="F757" s="19" t="n"/>
      <c r="G757" s="19" t="n"/>
      <c r="H757" s="23" t="n"/>
      <c r="I757" s="19" t="n"/>
      <c r="J757" s="23" t="n"/>
      <c r="K757" s="21" t="n"/>
      <c r="L757" s="24" t="n"/>
      <c r="M757" s="24" t="n"/>
      <c r="N757" s="24" t="n"/>
      <c r="O757" s="24" t="n"/>
      <c r="P757" s="25" t="n"/>
      <c r="Q757" s="23" t="n"/>
      <c r="R757" s="23" t="n"/>
      <c r="S757" s="26" t="n"/>
      <c r="T757" s="24" t="n"/>
      <c r="U757" s="24" t="n"/>
      <c r="V757" s="24" t="n"/>
      <c r="W757" s="26" t="n"/>
      <c r="X757" s="23" t="n"/>
      <c r="Y757" s="18" t="n"/>
      <c r="Z757" s="27" t="n"/>
      <c r="AA757" s="27" t="n"/>
      <c r="AB757" s="27" t="n"/>
      <c r="AC757" s="27" t="n"/>
      <c r="AD757" s="1" t="n"/>
      <c r="AE757" s="1" t="n"/>
      <c r="AF757" s="4" t="n"/>
      <c r="AG757" s="4" t="n"/>
    </row>
    <row r="758" ht="47.25" customHeight="1">
      <c r="A758" s="18" t="n"/>
      <c r="B758" s="19" t="n"/>
      <c r="C758" s="20" t="n"/>
      <c r="D758" s="44" t="n"/>
      <c r="E758" s="23" t="n"/>
      <c r="F758" s="19" t="n"/>
      <c r="G758" s="19" t="n"/>
      <c r="H758" s="23" t="n"/>
      <c r="I758" s="19" t="n"/>
      <c r="J758" s="23" t="n"/>
      <c r="K758" s="21" t="n"/>
      <c r="L758" s="24" t="n"/>
      <c r="M758" s="24" t="n"/>
      <c r="N758" s="24" t="n"/>
      <c r="O758" s="24" t="n"/>
      <c r="P758" s="25" t="n"/>
      <c r="Q758" s="23" t="n"/>
      <c r="R758" s="23" t="n"/>
      <c r="S758" s="26" t="n"/>
      <c r="T758" s="24" t="n"/>
      <c r="U758" s="24" t="n"/>
      <c r="V758" s="24" t="n"/>
      <c r="W758" s="26" t="n"/>
      <c r="X758" s="23" t="n"/>
      <c r="Y758" s="18" t="n"/>
      <c r="Z758" s="27" t="n"/>
      <c r="AA758" s="27" t="n"/>
      <c r="AB758" s="27" t="n"/>
      <c r="AC758" s="27" t="n"/>
      <c r="AD758" s="1" t="n"/>
      <c r="AE758" s="1" t="n"/>
      <c r="AF758" s="4" t="n"/>
      <c r="AG758" s="4" t="n"/>
    </row>
    <row r="759" ht="47.25" customHeight="1">
      <c r="A759" s="18" t="n"/>
      <c r="B759" s="19" t="n"/>
      <c r="C759" s="20" t="n"/>
      <c r="D759" s="44" t="n"/>
      <c r="E759" s="23" t="n"/>
      <c r="F759" s="19" t="n"/>
      <c r="G759" s="19" t="n"/>
      <c r="H759" s="23" t="n"/>
      <c r="I759" s="19" t="n"/>
      <c r="J759" s="23" t="n"/>
      <c r="K759" s="21" t="n"/>
      <c r="L759" s="24" t="n"/>
      <c r="M759" s="24" t="n"/>
      <c r="N759" s="24" t="n"/>
      <c r="O759" s="24" t="n"/>
      <c r="P759" s="25" t="n"/>
      <c r="Q759" s="23" t="n"/>
      <c r="R759" s="23" t="n"/>
      <c r="S759" s="26" t="n"/>
      <c r="T759" s="24" t="n"/>
      <c r="U759" s="24" t="n"/>
      <c r="V759" s="24" t="n"/>
      <c r="W759" s="26" t="n"/>
      <c r="X759" s="23" t="n"/>
      <c r="Y759" s="18" t="n"/>
      <c r="Z759" s="27" t="n"/>
      <c r="AA759" s="27" t="n"/>
      <c r="AB759" s="27" t="n"/>
      <c r="AC759" s="27" t="n"/>
      <c r="AD759" s="1" t="n"/>
      <c r="AE759" s="1" t="n"/>
      <c r="AF759" s="4" t="n"/>
      <c r="AG759" s="4" t="n"/>
    </row>
    <row r="760" ht="47.25" customHeight="1">
      <c r="A760" s="18" t="n"/>
      <c r="B760" s="19" t="n"/>
      <c r="C760" s="20" t="n"/>
      <c r="D760" s="44" t="n"/>
      <c r="E760" s="23" t="n"/>
      <c r="F760" s="19" t="n"/>
      <c r="G760" s="19" t="n"/>
      <c r="H760" s="23" t="n"/>
      <c r="I760" s="19" t="n"/>
      <c r="J760" s="23" t="n"/>
      <c r="K760" s="21" t="n"/>
      <c r="L760" s="24" t="n"/>
      <c r="M760" s="24" t="n"/>
      <c r="N760" s="24" t="n"/>
      <c r="O760" s="24" t="n"/>
      <c r="P760" s="25" t="n"/>
      <c r="Q760" s="23" t="n"/>
      <c r="R760" s="23" t="n"/>
      <c r="S760" s="26" t="n"/>
      <c r="T760" s="24" t="n"/>
      <c r="U760" s="24" t="n"/>
      <c r="V760" s="24" t="n"/>
      <c r="W760" s="26" t="n"/>
      <c r="X760" s="23" t="n"/>
      <c r="Y760" s="18" t="n"/>
      <c r="Z760" s="27" t="n"/>
      <c r="AA760" s="27" t="n"/>
      <c r="AB760" s="27" t="n"/>
      <c r="AC760" s="27" t="n"/>
      <c r="AD760" s="1" t="n"/>
      <c r="AE760" s="1" t="n"/>
      <c r="AF760" s="4" t="n"/>
      <c r="AG760" s="4" t="n"/>
    </row>
    <row r="761" ht="47.25" customHeight="1">
      <c r="A761" s="18" t="n"/>
      <c r="B761" s="19" t="n"/>
      <c r="C761" s="20" t="n"/>
      <c r="D761" s="44" t="n"/>
      <c r="E761" s="23" t="n"/>
      <c r="F761" s="19" t="n"/>
      <c r="G761" s="19" t="n"/>
      <c r="H761" s="23" t="n"/>
      <c r="I761" s="19" t="n"/>
      <c r="J761" s="23" t="n"/>
      <c r="K761" s="21" t="n"/>
      <c r="L761" s="24" t="n"/>
      <c r="M761" s="24" t="n"/>
      <c r="N761" s="24" t="n"/>
      <c r="O761" s="24" t="n"/>
      <c r="P761" s="25" t="n"/>
      <c r="Q761" s="23" t="n"/>
      <c r="R761" s="23" t="n"/>
      <c r="S761" s="26" t="n"/>
      <c r="T761" s="24" t="n"/>
      <c r="U761" s="24" t="n"/>
      <c r="V761" s="24" t="n"/>
      <c r="W761" s="26" t="n"/>
      <c r="X761" s="23" t="n"/>
      <c r="Y761" s="18" t="n"/>
      <c r="Z761" s="27" t="n"/>
      <c r="AA761" s="27" t="n"/>
      <c r="AB761" s="27" t="n"/>
      <c r="AC761" s="27" t="n"/>
      <c r="AD761" s="1" t="n"/>
      <c r="AE761" s="1" t="n"/>
      <c r="AF761" s="4" t="n"/>
      <c r="AG761" s="4" t="n"/>
    </row>
    <row r="762" ht="47.25" customHeight="1">
      <c r="A762" s="18" t="n"/>
      <c r="B762" s="19" t="n"/>
      <c r="C762" s="20" t="n"/>
      <c r="D762" s="44" t="n"/>
      <c r="E762" s="23" t="n"/>
      <c r="F762" s="19" t="n"/>
      <c r="G762" s="19" t="n"/>
      <c r="H762" s="23" t="n"/>
      <c r="I762" s="19" t="n"/>
      <c r="J762" s="23" t="n"/>
      <c r="K762" s="21" t="n"/>
      <c r="L762" s="24" t="n"/>
      <c r="M762" s="24" t="n"/>
      <c r="N762" s="24" t="n"/>
      <c r="O762" s="24" t="n"/>
      <c r="P762" s="25" t="n"/>
      <c r="Q762" s="23" t="n"/>
      <c r="R762" s="23" t="n"/>
      <c r="S762" s="26" t="n"/>
      <c r="T762" s="24" t="n"/>
      <c r="U762" s="24" t="n"/>
      <c r="V762" s="24" t="n"/>
      <c r="W762" s="26" t="n"/>
      <c r="X762" s="23" t="n"/>
      <c r="Y762" s="18" t="n"/>
      <c r="Z762" s="27" t="n"/>
      <c r="AA762" s="27" t="n"/>
      <c r="AB762" s="27" t="n"/>
      <c r="AC762" s="27" t="n"/>
      <c r="AD762" s="1" t="n"/>
      <c r="AE762" s="1" t="n"/>
      <c r="AF762" s="4" t="n"/>
      <c r="AG762" s="4" t="n"/>
    </row>
    <row r="763" ht="47.25" customHeight="1">
      <c r="A763" s="18" t="n"/>
      <c r="B763" s="19" t="n"/>
      <c r="C763" s="20" t="n"/>
      <c r="D763" s="44" t="n"/>
      <c r="E763" s="23" t="n"/>
      <c r="F763" s="19" t="n"/>
      <c r="G763" s="19" t="n"/>
      <c r="H763" s="23" t="n"/>
      <c r="I763" s="19" t="n"/>
      <c r="J763" s="23" t="n"/>
      <c r="K763" s="21" t="n"/>
      <c r="L763" s="24" t="n"/>
      <c r="M763" s="24" t="n"/>
      <c r="N763" s="24" t="n"/>
      <c r="O763" s="24" t="n"/>
      <c r="P763" s="25" t="n"/>
      <c r="Q763" s="23" t="n"/>
      <c r="R763" s="23" t="n"/>
      <c r="S763" s="26" t="n"/>
      <c r="T763" s="24" t="n"/>
      <c r="U763" s="24" t="n"/>
      <c r="V763" s="24" t="n"/>
      <c r="W763" s="26" t="n"/>
      <c r="X763" s="23" t="n"/>
      <c r="Y763" s="18" t="n"/>
      <c r="Z763" s="27" t="n"/>
      <c r="AA763" s="27" t="n"/>
      <c r="AB763" s="27" t="n"/>
      <c r="AC763" s="27" t="n"/>
      <c r="AD763" s="1" t="n"/>
      <c r="AE763" s="1" t="n"/>
      <c r="AF763" s="4" t="n"/>
      <c r="AG763" s="4" t="n"/>
    </row>
    <row r="764" ht="47.25" customHeight="1">
      <c r="A764" s="18" t="n"/>
      <c r="B764" s="19" t="n"/>
      <c r="C764" s="20" t="n"/>
      <c r="D764" s="44" t="n"/>
      <c r="E764" s="23" t="n"/>
      <c r="F764" s="19" t="n"/>
      <c r="G764" s="19" t="n"/>
      <c r="H764" s="23" t="n"/>
      <c r="I764" s="19" t="n"/>
      <c r="J764" s="23" t="n"/>
      <c r="K764" s="21" t="n"/>
      <c r="L764" s="24" t="n"/>
      <c r="M764" s="24" t="n"/>
      <c r="N764" s="24" t="n"/>
      <c r="O764" s="24" t="n"/>
      <c r="P764" s="25" t="n"/>
      <c r="Q764" s="23" t="n"/>
      <c r="R764" s="23" t="n"/>
      <c r="S764" s="26" t="n"/>
      <c r="T764" s="24" t="n"/>
      <c r="U764" s="24" t="n"/>
      <c r="V764" s="24" t="n"/>
      <c r="W764" s="26" t="n"/>
      <c r="X764" s="23" t="n"/>
      <c r="Y764" s="18" t="n"/>
      <c r="Z764" s="27" t="n"/>
      <c r="AA764" s="27" t="n"/>
      <c r="AB764" s="27" t="n"/>
      <c r="AC764" s="27" t="n"/>
      <c r="AD764" s="1" t="n"/>
      <c r="AE764" s="1" t="n"/>
      <c r="AF764" s="4" t="n"/>
      <c r="AG764" s="4" t="n"/>
    </row>
    <row r="765" ht="47.25" customHeight="1">
      <c r="A765" s="18" t="n"/>
      <c r="B765" s="19" t="n"/>
      <c r="C765" s="20" t="n"/>
      <c r="D765" s="44" t="n"/>
      <c r="E765" s="23" t="n"/>
      <c r="F765" s="19" t="n"/>
      <c r="G765" s="19" t="n"/>
      <c r="H765" s="23" t="n"/>
      <c r="I765" s="19" t="n"/>
      <c r="J765" s="23" t="n"/>
      <c r="K765" s="21" t="n"/>
      <c r="L765" s="24" t="n"/>
      <c r="M765" s="24" t="n"/>
      <c r="N765" s="24" t="n"/>
      <c r="O765" s="24" t="n"/>
      <c r="P765" s="25" t="n"/>
      <c r="Q765" s="23" t="n"/>
      <c r="R765" s="23" t="n"/>
      <c r="S765" s="26" t="n"/>
      <c r="T765" s="24" t="n"/>
      <c r="U765" s="24" t="n"/>
      <c r="V765" s="24" t="n"/>
      <c r="W765" s="26" t="n"/>
      <c r="X765" s="23" t="n"/>
      <c r="Y765" s="18" t="n"/>
      <c r="Z765" s="27" t="n"/>
      <c r="AA765" s="27" t="n"/>
      <c r="AB765" s="27" t="n"/>
      <c r="AC765" s="27" t="n"/>
      <c r="AD765" s="1" t="n"/>
      <c r="AE765" s="1" t="n"/>
      <c r="AF765" s="4" t="n"/>
      <c r="AG765" s="4" t="n"/>
    </row>
    <row r="766" ht="47.25" customHeight="1">
      <c r="A766" s="18" t="n"/>
      <c r="B766" s="19" t="n"/>
      <c r="C766" s="20" t="n"/>
      <c r="D766" s="44" t="n"/>
      <c r="E766" s="23" t="n"/>
      <c r="F766" s="19" t="n"/>
      <c r="G766" s="19" t="n"/>
      <c r="H766" s="23" t="n"/>
      <c r="I766" s="19" t="n"/>
      <c r="J766" s="23" t="n"/>
      <c r="K766" s="21" t="n"/>
      <c r="L766" s="24" t="n"/>
      <c r="M766" s="24" t="n"/>
      <c r="N766" s="24" t="n"/>
      <c r="O766" s="24" t="n"/>
      <c r="P766" s="25" t="n"/>
      <c r="Q766" s="23" t="n"/>
      <c r="R766" s="23" t="n"/>
      <c r="S766" s="26" t="n"/>
      <c r="T766" s="24" t="n"/>
      <c r="U766" s="24" t="n"/>
      <c r="V766" s="24" t="n"/>
      <c r="W766" s="26" t="n"/>
      <c r="X766" s="23" t="n"/>
      <c r="Y766" s="18" t="n"/>
      <c r="Z766" s="27" t="n"/>
      <c r="AA766" s="27" t="n"/>
      <c r="AB766" s="27" t="n"/>
      <c r="AC766" s="27" t="n"/>
      <c r="AD766" s="1" t="n"/>
      <c r="AE766" s="1" t="n"/>
      <c r="AF766" s="4" t="n"/>
      <c r="AG766" s="4" t="n"/>
    </row>
    <row r="767" ht="47.25" customHeight="1">
      <c r="A767" s="18" t="n"/>
      <c r="B767" s="19" t="n"/>
      <c r="C767" s="20" t="n"/>
      <c r="D767" s="44" t="n"/>
      <c r="E767" s="23" t="n"/>
      <c r="F767" s="19" t="n"/>
      <c r="G767" s="19" t="n"/>
      <c r="H767" s="23" t="n"/>
      <c r="I767" s="19" t="n"/>
      <c r="J767" s="23" t="n"/>
      <c r="K767" s="21" t="n"/>
      <c r="L767" s="24" t="n"/>
      <c r="M767" s="24" t="n"/>
      <c r="N767" s="24" t="n"/>
      <c r="O767" s="24" t="n"/>
      <c r="P767" s="25" t="n"/>
      <c r="Q767" s="23" t="n"/>
      <c r="R767" s="23" t="n"/>
      <c r="S767" s="26" t="n"/>
      <c r="T767" s="24" t="n"/>
      <c r="U767" s="24" t="n"/>
      <c r="V767" s="24" t="n"/>
      <c r="W767" s="26" t="n"/>
      <c r="X767" s="23" t="n"/>
      <c r="Y767" s="18" t="n"/>
      <c r="Z767" s="27" t="n"/>
      <c r="AA767" s="27" t="n"/>
      <c r="AB767" s="27" t="n"/>
      <c r="AC767" s="27" t="n"/>
      <c r="AD767" s="1" t="n"/>
      <c r="AE767" s="1" t="n"/>
      <c r="AF767" s="4" t="n"/>
      <c r="AG767" s="4" t="n"/>
    </row>
    <row r="768" ht="47.25" customHeight="1">
      <c r="A768" s="18" t="n"/>
      <c r="B768" s="19" t="n"/>
      <c r="C768" s="20" t="n"/>
      <c r="D768" s="44" t="n"/>
      <c r="E768" s="23" t="n"/>
      <c r="F768" s="19" t="n"/>
      <c r="G768" s="19" t="n"/>
      <c r="H768" s="23" t="n"/>
      <c r="I768" s="19" t="n"/>
      <c r="J768" s="23" t="n"/>
      <c r="K768" s="21" t="n"/>
      <c r="L768" s="24" t="n"/>
      <c r="M768" s="24" t="n"/>
      <c r="N768" s="24" t="n"/>
      <c r="O768" s="24" t="n"/>
      <c r="P768" s="25" t="n"/>
      <c r="Q768" s="23" t="n"/>
      <c r="R768" s="23" t="n"/>
      <c r="S768" s="26" t="n"/>
      <c r="T768" s="24" t="n"/>
      <c r="U768" s="24" t="n"/>
      <c r="V768" s="24" t="n"/>
      <c r="W768" s="26" t="n"/>
      <c r="X768" s="23" t="n"/>
      <c r="Y768" s="18" t="n"/>
      <c r="Z768" s="27" t="n"/>
      <c r="AA768" s="27" t="n"/>
      <c r="AB768" s="27" t="n"/>
      <c r="AC768" s="27" t="n"/>
      <c r="AD768" s="1" t="n"/>
      <c r="AE768" s="1" t="n"/>
      <c r="AF768" s="4" t="n"/>
      <c r="AG768" s="4" t="n"/>
    </row>
    <row r="769" ht="47.25" customHeight="1">
      <c r="A769" s="18" t="n"/>
      <c r="B769" s="19" t="n"/>
      <c r="C769" s="20" t="n"/>
      <c r="D769" s="44" t="n"/>
      <c r="E769" s="23" t="n"/>
      <c r="F769" s="19" t="n"/>
      <c r="G769" s="19" t="n"/>
      <c r="H769" s="23" t="n"/>
      <c r="I769" s="19" t="n"/>
      <c r="J769" s="23" t="n"/>
      <c r="K769" s="21" t="n"/>
      <c r="L769" s="24" t="n"/>
      <c r="M769" s="24" t="n"/>
      <c r="N769" s="24" t="n"/>
      <c r="O769" s="24" t="n"/>
      <c r="P769" s="25" t="n"/>
      <c r="Q769" s="23" t="n"/>
      <c r="R769" s="23" t="n"/>
      <c r="S769" s="26" t="n"/>
      <c r="T769" s="24" t="n"/>
      <c r="U769" s="24" t="n"/>
      <c r="V769" s="24" t="n"/>
      <c r="W769" s="26" t="n"/>
      <c r="X769" s="23" t="n"/>
      <c r="Y769" s="18" t="n"/>
      <c r="Z769" s="27" t="n"/>
      <c r="AA769" s="27" t="n"/>
      <c r="AB769" s="27" t="n"/>
      <c r="AC769" s="27" t="n"/>
      <c r="AD769" s="1" t="n"/>
      <c r="AE769" s="1" t="n"/>
      <c r="AF769" s="4" t="n"/>
      <c r="AG769" s="4" t="n"/>
    </row>
    <row r="770" ht="47.25" customHeight="1">
      <c r="A770" s="18" t="n"/>
      <c r="B770" s="19" t="n"/>
      <c r="C770" s="20" t="n"/>
      <c r="D770" s="44" t="n"/>
      <c r="E770" s="23" t="n"/>
      <c r="F770" s="19" t="n"/>
      <c r="G770" s="19" t="n"/>
      <c r="H770" s="23" t="n"/>
      <c r="I770" s="19" t="n"/>
      <c r="J770" s="23" t="n"/>
      <c r="K770" s="21" t="n"/>
      <c r="L770" s="24" t="n"/>
      <c r="M770" s="24" t="n"/>
      <c r="N770" s="24" t="n"/>
      <c r="O770" s="24" t="n"/>
      <c r="P770" s="25" t="n"/>
      <c r="Q770" s="23" t="n"/>
      <c r="R770" s="23" t="n"/>
      <c r="S770" s="26" t="n"/>
      <c r="T770" s="24" t="n"/>
      <c r="U770" s="24" t="n"/>
      <c r="V770" s="24" t="n"/>
      <c r="W770" s="26" t="n"/>
      <c r="X770" s="23" t="n"/>
      <c r="Y770" s="18" t="n"/>
      <c r="Z770" s="27" t="n"/>
      <c r="AA770" s="27" t="n"/>
      <c r="AB770" s="27" t="n"/>
      <c r="AC770" s="27" t="n"/>
      <c r="AD770" s="1" t="n"/>
      <c r="AE770" s="1" t="n"/>
      <c r="AF770" s="4" t="n"/>
      <c r="AG770" s="4" t="n"/>
    </row>
    <row r="771" ht="47.25" customHeight="1">
      <c r="A771" s="18" t="n"/>
      <c r="B771" s="19" t="n"/>
      <c r="C771" s="20" t="n"/>
      <c r="D771" s="44" t="n"/>
      <c r="E771" s="23" t="n"/>
      <c r="F771" s="19" t="n"/>
      <c r="G771" s="19" t="n"/>
      <c r="H771" s="23" t="n"/>
      <c r="I771" s="19" t="n"/>
      <c r="J771" s="23" t="n"/>
      <c r="K771" s="21" t="n"/>
      <c r="L771" s="24" t="n"/>
      <c r="M771" s="24" t="n"/>
      <c r="N771" s="24" t="n"/>
      <c r="O771" s="24" t="n"/>
      <c r="P771" s="25" t="n"/>
      <c r="Q771" s="23" t="n"/>
      <c r="R771" s="23" t="n"/>
      <c r="S771" s="26" t="n"/>
      <c r="T771" s="24" t="n"/>
      <c r="U771" s="24" t="n"/>
      <c r="V771" s="24" t="n"/>
      <c r="W771" s="26" t="n"/>
      <c r="X771" s="23" t="n"/>
      <c r="Y771" s="18" t="n"/>
      <c r="Z771" s="27" t="n"/>
      <c r="AA771" s="27" t="n"/>
      <c r="AB771" s="27" t="n"/>
      <c r="AC771" s="27" t="n"/>
      <c r="AD771" s="1" t="n"/>
      <c r="AE771" s="1" t="n"/>
      <c r="AF771" s="4" t="n"/>
      <c r="AG771" s="4" t="n"/>
    </row>
    <row r="772" ht="47.25" customHeight="1">
      <c r="A772" s="18" t="n"/>
      <c r="B772" s="19" t="n"/>
      <c r="C772" s="20" t="n"/>
      <c r="D772" s="44" t="n"/>
      <c r="E772" s="23" t="n"/>
      <c r="F772" s="19" t="n"/>
      <c r="G772" s="19" t="n"/>
      <c r="H772" s="23" t="n"/>
      <c r="I772" s="19" t="n"/>
      <c r="J772" s="23" t="n"/>
      <c r="K772" s="21" t="n"/>
      <c r="L772" s="24" t="n"/>
      <c r="M772" s="24" t="n"/>
      <c r="N772" s="24" t="n"/>
      <c r="O772" s="24" t="n"/>
      <c r="P772" s="25" t="n"/>
      <c r="Q772" s="23" t="n"/>
      <c r="R772" s="23" t="n"/>
      <c r="S772" s="26" t="n"/>
      <c r="T772" s="24" t="n"/>
      <c r="U772" s="24" t="n"/>
      <c r="V772" s="24" t="n"/>
      <c r="W772" s="26" t="n"/>
      <c r="X772" s="23" t="n"/>
      <c r="Y772" s="18" t="n"/>
      <c r="Z772" s="27" t="n"/>
      <c r="AA772" s="27" t="n"/>
      <c r="AB772" s="27" t="n"/>
      <c r="AC772" s="27" t="n"/>
      <c r="AD772" s="1" t="n"/>
      <c r="AE772" s="1" t="n"/>
      <c r="AF772" s="4" t="n"/>
      <c r="AG772" s="4" t="n"/>
    </row>
    <row r="773" ht="47.25" customHeight="1">
      <c r="A773" s="18" t="n"/>
      <c r="B773" s="19" t="n"/>
      <c r="C773" s="20" t="n"/>
      <c r="D773" s="44" t="n"/>
      <c r="E773" s="23" t="n"/>
      <c r="F773" s="19" t="n"/>
      <c r="G773" s="19" t="n"/>
      <c r="H773" s="23" t="n"/>
      <c r="I773" s="19" t="n"/>
      <c r="J773" s="23" t="n"/>
      <c r="K773" s="21" t="n"/>
      <c r="L773" s="24" t="n"/>
      <c r="M773" s="24" t="n"/>
      <c r="N773" s="24" t="n"/>
      <c r="O773" s="24" t="n"/>
      <c r="P773" s="25" t="n"/>
      <c r="Q773" s="23" t="n"/>
      <c r="R773" s="23" t="n"/>
      <c r="S773" s="26" t="n"/>
      <c r="T773" s="24" t="n"/>
      <c r="U773" s="24" t="n"/>
      <c r="V773" s="24" t="n"/>
      <c r="W773" s="26" t="n"/>
      <c r="X773" s="23" t="n"/>
      <c r="Y773" s="18" t="n"/>
      <c r="Z773" s="27" t="n"/>
      <c r="AA773" s="27" t="n"/>
      <c r="AB773" s="27" t="n"/>
      <c r="AC773" s="27" t="n"/>
      <c r="AD773" s="1" t="n"/>
      <c r="AE773" s="1" t="n"/>
      <c r="AF773" s="4" t="n"/>
      <c r="AG773" s="4" t="n"/>
    </row>
    <row r="774" ht="47.25" customHeight="1">
      <c r="A774" s="18" t="n"/>
      <c r="B774" s="19" t="n"/>
      <c r="C774" s="20" t="n"/>
      <c r="D774" s="44" t="n"/>
      <c r="E774" s="23" t="n"/>
      <c r="F774" s="19" t="n"/>
      <c r="G774" s="19" t="n"/>
      <c r="H774" s="23" t="n"/>
      <c r="I774" s="19" t="n"/>
      <c r="J774" s="23" t="n"/>
      <c r="K774" s="21" t="n"/>
      <c r="L774" s="24" t="n"/>
      <c r="M774" s="24" t="n"/>
      <c r="N774" s="24" t="n"/>
      <c r="O774" s="24" t="n"/>
      <c r="P774" s="25" t="n"/>
      <c r="Q774" s="23" t="n"/>
      <c r="R774" s="23" t="n"/>
      <c r="S774" s="26" t="n"/>
      <c r="T774" s="24" t="n"/>
      <c r="U774" s="24" t="n"/>
      <c r="V774" s="24" t="n"/>
      <c r="W774" s="26" t="n"/>
      <c r="X774" s="23" t="n"/>
      <c r="Y774" s="18" t="n"/>
      <c r="Z774" s="27" t="n"/>
      <c r="AA774" s="27" t="n"/>
      <c r="AB774" s="27" t="n"/>
      <c r="AC774" s="27" t="n"/>
      <c r="AD774" s="1" t="n"/>
      <c r="AE774" s="1" t="n"/>
      <c r="AF774" s="4" t="n"/>
      <c r="AG774" s="4" t="n"/>
    </row>
    <row r="775" ht="47.25" customHeight="1">
      <c r="A775" s="18" t="n"/>
      <c r="B775" s="19" t="n"/>
      <c r="C775" s="20" t="n"/>
      <c r="D775" s="44" t="n"/>
      <c r="E775" s="23" t="n"/>
      <c r="F775" s="19" t="n"/>
      <c r="G775" s="19" t="n"/>
      <c r="H775" s="23" t="n"/>
      <c r="I775" s="19" t="n"/>
      <c r="J775" s="23" t="n"/>
      <c r="K775" s="21" t="n"/>
      <c r="L775" s="24" t="n"/>
      <c r="M775" s="24" t="n"/>
      <c r="N775" s="24" t="n"/>
      <c r="O775" s="24" t="n"/>
      <c r="P775" s="25" t="n"/>
      <c r="Q775" s="23" t="n"/>
      <c r="R775" s="23" t="n"/>
      <c r="S775" s="26" t="n"/>
      <c r="T775" s="24" t="n"/>
      <c r="U775" s="24" t="n"/>
      <c r="V775" s="24" t="n"/>
      <c r="W775" s="26" t="n"/>
      <c r="X775" s="23" t="n"/>
      <c r="Y775" s="18" t="n"/>
      <c r="Z775" s="27" t="n"/>
      <c r="AA775" s="27" t="n"/>
      <c r="AB775" s="27" t="n"/>
      <c r="AC775" s="27" t="n"/>
      <c r="AD775" s="1" t="n"/>
      <c r="AE775" s="1" t="n"/>
      <c r="AF775" s="4" t="n"/>
      <c r="AG775" s="4" t="n"/>
    </row>
    <row r="776" ht="47.25" customHeight="1">
      <c r="A776" s="18" t="n"/>
      <c r="B776" s="19" t="n"/>
      <c r="C776" s="20" t="n"/>
      <c r="D776" s="44" t="n"/>
      <c r="E776" s="23" t="n"/>
      <c r="F776" s="19" t="n"/>
      <c r="G776" s="19" t="n"/>
      <c r="H776" s="23" t="n"/>
      <c r="I776" s="19" t="n"/>
      <c r="J776" s="23" t="n"/>
      <c r="K776" s="21" t="n"/>
      <c r="L776" s="24" t="n"/>
      <c r="M776" s="24" t="n"/>
      <c r="N776" s="24" t="n"/>
      <c r="O776" s="24" t="n"/>
      <c r="P776" s="25" t="n"/>
      <c r="Q776" s="23" t="n"/>
      <c r="R776" s="23" t="n"/>
      <c r="S776" s="26" t="n"/>
      <c r="T776" s="24" t="n"/>
      <c r="U776" s="24" t="n"/>
      <c r="V776" s="24" t="n"/>
      <c r="W776" s="26" t="n"/>
      <c r="X776" s="23" t="n"/>
      <c r="Y776" s="18" t="n"/>
      <c r="Z776" s="27" t="n"/>
      <c r="AA776" s="27" t="n"/>
      <c r="AB776" s="27" t="n"/>
      <c r="AC776" s="27" t="n"/>
      <c r="AD776" s="1" t="n"/>
      <c r="AE776" s="1" t="n"/>
      <c r="AF776" s="4" t="n"/>
      <c r="AG776" s="4" t="n"/>
    </row>
    <row r="777" ht="47.25" customHeight="1">
      <c r="A777" s="18" t="n"/>
      <c r="B777" s="19" t="n"/>
      <c r="C777" s="20" t="n"/>
      <c r="D777" s="44" t="n"/>
      <c r="E777" s="23" t="n"/>
      <c r="F777" s="19" t="n"/>
      <c r="G777" s="19" t="n"/>
      <c r="H777" s="23" t="n"/>
      <c r="I777" s="19" t="n"/>
      <c r="J777" s="23" t="n"/>
      <c r="K777" s="21" t="n"/>
      <c r="L777" s="24" t="n"/>
      <c r="M777" s="24" t="n"/>
      <c r="N777" s="24" t="n"/>
      <c r="O777" s="24" t="n"/>
      <c r="P777" s="25" t="n"/>
      <c r="Q777" s="23" t="n"/>
      <c r="R777" s="23" t="n"/>
      <c r="S777" s="26" t="n"/>
      <c r="T777" s="24" t="n"/>
      <c r="U777" s="24" t="n"/>
      <c r="V777" s="24" t="n"/>
      <c r="W777" s="26" t="n"/>
      <c r="X777" s="23" t="n"/>
      <c r="Y777" s="18" t="n"/>
      <c r="Z777" s="27" t="n"/>
      <c r="AA777" s="27" t="n"/>
      <c r="AB777" s="27" t="n"/>
      <c r="AC777" s="27" t="n"/>
      <c r="AD777" s="1" t="n"/>
      <c r="AE777" s="1" t="n"/>
      <c r="AF777" s="4" t="n"/>
      <c r="AG777" s="4" t="n"/>
    </row>
    <row r="778" ht="47.25" customHeight="1">
      <c r="A778" s="18" t="n"/>
      <c r="B778" s="19" t="n"/>
      <c r="C778" s="20" t="n"/>
      <c r="D778" s="44" t="n"/>
      <c r="E778" s="23" t="n"/>
      <c r="F778" s="19" t="n"/>
      <c r="G778" s="19" t="n"/>
      <c r="H778" s="23" t="n"/>
      <c r="I778" s="19" t="n"/>
      <c r="J778" s="23" t="n"/>
      <c r="K778" s="21" t="n"/>
      <c r="L778" s="24" t="n"/>
      <c r="M778" s="24" t="n"/>
      <c r="N778" s="24" t="n"/>
      <c r="O778" s="24" t="n"/>
      <c r="P778" s="25" t="n"/>
      <c r="Q778" s="23" t="n"/>
      <c r="R778" s="23" t="n"/>
      <c r="S778" s="26" t="n"/>
      <c r="T778" s="24" t="n"/>
      <c r="U778" s="24" t="n"/>
      <c r="V778" s="24" t="n"/>
      <c r="W778" s="26" t="n"/>
      <c r="X778" s="23" t="n"/>
      <c r="Y778" s="18" t="n"/>
      <c r="Z778" s="27" t="n"/>
      <c r="AA778" s="27" t="n"/>
      <c r="AB778" s="27" t="n"/>
      <c r="AC778" s="27" t="n"/>
      <c r="AD778" s="1" t="n"/>
      <c r="AE778" s="1" t="n"/>
      <c r="AF778" s="4" t="n"/>
      <c r="AG778" s="4" t="n"/>
    </row>
    <row r="779" ht="47.25" customHeight="1">
      <c r="A779" s="18" t="n"/>
      <c r="B779" s="19" t="n"/>
      <c r="C779" s="20" t="n"/>
      <c r="D779" s="44" t="n"/>
      <c r="E779" s="23" t="n"/>
      <c r="F779" s="19" t="n"/>
      <c r="G779" s="19" t="n"/>
      <c r="H779" s="23" t="n"/>
      <c r="I779" s="19" t="n"/>
      <c r="J779" s="23" t="n"/>
      <c r="K779" s="21" t="n"/>
      <c r="L779" s="24" t="n"/>
      <c r="M779" s="24" t="n"/>
      <c r="N779" s="24" t="n"/>
      <c r="O779" s="24" t="n"/>
      <c r="P779" s="25" t="n"/>
      <c r="Q779" s="23" t="n"/>
      <c r="R779" s="23" t="n"/>
      <c r="S779" s="26" t="n"/>
      <c r="T779" s="24" t="n"/>
      <c r="U779" s="24" t="n"/>
      <c r="V779" s="24" t="n"/>
      <c r="W779" s="26" t="n"/>
      <c r="X779" s="23" t="n"/>
      <c r="Y779" s="18" t="n"/>
      <c r="Z779" s="27" t="n"/>
      <c r="AA779" s="27" t="n"/>
      <c r="AB779" s="27" t="n"/>
      <c r="AC779" s="27" t="n"/>
      <c r="AD779" s="1" t="n"/>
      <c r="AE779" s="1" t="n"/>
      <c r="AF779" s="4" t="n"/>
      <c r="AG779" s="4" t="n"/>
    </row>
    <row r="780" ht="47.25" customHeight="1">
      <c r="A780" s="18" t="n"/>
      <c r="B780" s="19" t="n"/>
      <c r="C780" s="20" t="n"/>
      <c r="D780" s="44" t="n"/>
      <c r="E780" s="23" t="n"/>
      <c r="F780" s="19" t="n"/>
      <c r="G780" s="19" t="n"/>
      <c r="H780" s="23" t="n"/>
      <c r="I780" s="19" t="n"/>
      <c r="J780" s="23" t="n"/>
      <c r="K780" s="21" t="n"/>
      <c r="L780" s="24" t="n"/>
      <c r="M780" s="24" t="n"/>
      <c r="N780" s="24" t="n"/>
      <c r="O780" s="24" t="n"/>
      <c r="P780" s="25" t="n"/>
      <c r="Q780" s="23" t="n"/>
      <c r="R780" s="23" t="n"/>
      <c r="S780" s="26" t="n"/>
      <c r="T780" s="24" t="n"/>
      <c r="U780" s="24" t="n"/>
      <c r="V780" s="24" t="n"/>
      <c r="W780" s="26" t="n"/>
      <c r="X780" s="23" t="n"/>
      <c r="Y780" s="18" t="n"/>
      <c r="Z780" s="27" t="n"/>
      <c r="AA780" s="27" t="n"/>
      <c r="AB780" s="27" t="n"/>
      <c r="AC780" s="27" t="n"/>
      <c r="AD780" s="1" t="n"/>
      <c r="AE780" s="1" t="n"/>
      <c r="AF780" s="4" t="n"/>
      <c r="AG780" s="4" t="n"/>
    </row>
    <row r="781" ht="47.25" customHeight="1">
      <c r="A781" s="18" t="n"/>
      <c r="B781" s="19" t="n"/>
      <c r="C781" s="20" t="n"/>
      <c r="D781" s="44" t="n"/>
      <c r="E781" s="23" t="n"/>
      <c r="F781" s="19" t="n"/>
      <c r="G781" s="19" t="n"/>
      <c r="H781" s="23" t="n"/>
      <c r="I781" s="19" t="n"/>
      <c r="J781" s="23" t="n"/>
      <c r="K781" s="21" t="n"/>
      <c r="L781" s="24" t="n"/>
      <c r="M781" s="24" t="n"/>
      <c r="N781" s="24" t="n"/>
      <c r="O781" s="24" t="n"/>
      <c r="P781" s="25" t="n"/>
      <c r="Q781" s="23" t="n"/>
      <c r="R781" s="23" t="n"/>
      <c r="S781" s="26" t="n"/>
      <c r="T781" s="24" t="n"/>
      <c r="U781" s="24" t="n"/>
      <c r="V781" s="24" t="n"/>
      <c r="W781" s="26" t="n"/>
      <c r="X781" s="23" t="n"/>
      <c r="Y781" s="18" t="n"/>
      <c r="Z781" s="27" t="n"/>
      <c r="AA781" s="27" t="n"/>
      <c r="AB781" s="27" t="n"/>
      <c r="AC781" s="27" t="n"/>
      <c r="AD781" s="1" t="n"/>
      <c r="AE781" s="1" t="n"/>
      <c r="AF781" s="4" t="n"/>
      <c r="AG781" s="4" t="n"/>
    </row>
    <row r="782" ht="47.25" customHeight="1">
      <c r="A782" s="18" t="n"/>
      <c r="B782" s="19" t="n"/>
      <c r="C782" s="20" t="n"/>
      <c r="D782" s="44" t="n"/>
      <c r="E782" s="23" t="n"/>
      <c r="F782" s="19" t="n"/>
      <c r="G782" s="19" t="n"/>
      <c r="H782" s="23" t="n"/>
      <c r="I782" s="19" t="n"/>
      <c r="J782" s="23" t="n"/>
      <c r="K782" s="21" t="n"/>
      <c r="L782" s="24" t="n"/>
      <c r="M782" s="24" t="n"/>
      <c r="N782" s="24" t="n"/>
      <c r="O782" s="24" t="n"/>
      <c r="P782" s="25" t="n"/>
      <c r="Q782" s="23" t="n"/>
      <c r="R782" s="23" t="n"/>
      <c r="S782" s="26" t="n"/>
      <c r="T782" s="24" t="n"/>
      <c r="U782" s="24" t="n"/>
      <c r="V782" s="24" t="n"/>
      <c r="W782" s="26" t="n"/>
      <c r="X782" s="23" t="n"/>
      <c r="Y782" s="18" t="n"/>
      <c r="Z782" s="27" t="n"/>
      <c r="AA782" s="27" t="n"/>
      <c r="AB782" s="27" t="n"/>
      <c r="AC782" s="27" t="n"/>
      <c r="AD782" s="1" t="n"/>
      <c r="AE782" s="1" t="n"/>
      <c r="AF782" s="4" t="n"/>
      <c r="AG782" s="4" t="n"/>
    </row>
    <row r="783" ht="47.25" customHeight="1">
      <c r="A783" s="18" t="n"/>
      <c r="B783" s="19" t="n"/>
      <c r="C783" s="20" t="n"/>
      <c r="D783" s="44" t="n"/>
      <c r="E783" s="23" t="n"/>
      <c r="F783" s="19" t="n"/>
      <c r="G783" s="19" t="n"/>
      <c r="H783" s="23" t="n"/>
      <c r="I783" s="19" t="n"/>
      <c r="J783" s="23" t="n"/>
      <c r="K783" s="21" t="n"/>
      <c r="L783" s="24" t="n"/>
      <c r="M783" s="24" t="n"/>
      <c r="N783" s="24" t="n"/>
      <c r="O783" s="24" t="n"/>
      <c r="P783" s="25" t="n"/>
      <c r="Q783" s="23" t="n"/>
      <c r="R783" s="23" t="n"/>
      <c r="S783" s="26" t="n"/>
      <c r="T783" s="24" t="n"/>
      <c r="U783" s="24" t="n"/>
      <c r="V783" s="24" t="n"/>
      <c r="W783" s="26" t="n"/>
      <c r="X783" s="23" t="n"/>
      <c r="Y783" s="18" t="n"/>
      <c r="Z783" s="27" t="n"/>
      <c r="AA783" s="27" t="n"/>
      <c r="AB783" s="27" t="n"/>
      <c r="AC783" s="27" t="n"/>
      <c r="AD783" s="1" t="n"/>
      <c r="AE783" s="1" t="n"/>
      <c r="AF783" s="4" t="n"/>
      <c r="AG783" s="4" t="n"/>
    </row>
    <row r="784" ht="47.25" customHeight="1">
      <c r="A784" s="18" t="n"/>
      <c r="B784" s="19" t="n"/>
      <c r="C784" s="20" t="n"/>
      <c r="D784" s="44" t="n"/>
      <c r="E784" s="23" t="n"/>
      <c r="F784" s="19" t="n"/>
      <c r="G784" s="19" t="n"/>
      <c r="H784" s="23" t="n"/>
      <c r="I784" s="19" t="n"/>
      <c r="J784" s="23" t="n"/>
      <c r="K784" s="21" t="n"/>
      <c r="L784" s="24" t="n"/>
      <c r="M784" s="24" t="n"/>
      <c r="N784" s="24" t="n"/>
      <c r="O784" s="24" t="n"/>
      <c r="P784" s="25" t="n"/>
      <c r="Q784" s="23" t="n"/>
      <c r="R784" s="23" t="n"/>
      <c r="S784" s="26" t="n"/>
      <c r="T784" s="24" t="n"/>
      <c r="U784" s="24" t="n"/>
      <c r="V784" s="24" t="n"/>
      <c r="W784" s="26" t="n"/>
      <c r="X784" s="23" t="n"/>
      <c r="Y784" s="18" t="n"/>
      <c r="Z784" s="27" t="n"/>
      <c r="AA784" s="27" t="n"/>
      <c r="AB784" s="27" t="n"/>
      <c r="AC784" s="27" t="n"/>
      <c r="AD784" s="1" t="n"/>
      <c r="AE784" s="1" t="n"/>
      <c r="AF784" s="4" t="n"/>
      <c r="AG784" s="4" t="n"/>
    </row>
    <row r="785" ht="47.25" customHeight="1">
      <c r="A785" s="18" t="n"/>
      <c r="B785" s="19" t="n"/>
      <c r="C785" s="20" t="n"/>
      <c r="D785" s="44" t="n"/>
      <c r="E785" s="23" t="n"/>
      <c r="F785" s="19" t="n"/>
      <c r="G785" s="19" t="n"/>
      <c r="H785" s="23" t="n"/>
      <c r="I785" s="19" t="n"/>
      <c r="J785" s="23" t="n"/>
      <c r="K785" s="21" t="n"/>
      <c r="L785" s="24" t="n"/>
      <c r="M785" s="24" t="n"/>
      <c r="N785" s="24" t="n"/>
      <c r="O785" s="24" t="n"/>
      <c r="P785" s="25" t="n"/>
      <c r="Q785" s="23" t="n"/>
      <c r="R785" s="23" t="n"/>
      <c r="S785" s="26" t="n"/>
      <c r="T785" s="24" t="n"/>
      <c r="U785" s="24" t="n"/>
      <c r="V785" s="24" t="n"/>
      <c r="W785" s="26" t="n"/>
      <c r="X785" s="23" t="n"/>
      <c r="Y785" s="18" t="n"/>
      <c r="Z785" s="27" t="n"/>
      <c r="AA785" s="27" t="n"/>
      <c r="AB785" s="27" t="n"/>
      <c r="AC785" s="27" t="n"/>
      <c r="AD785" s="1" t="n"/>
      <c r="AE785" s="1" t="n"/>
      <c r="AF785" s="4" t="n"/>
      <c r="AG785" s="4" t="n"/>
    </row>
    <row r="786" ht="47.25" customHeight="1">
      <c r="A786" s="18" t="n"/>
      <c r="B786" s="19" t="n"/>
      <c r="C786" s="20" t="n"/>
      <c r="D786" s="44" t="n"/>
      <c r="E786" s="23" t="n"/>
      <c r="F786" s="19" t="n"/>
      <c r="G786" s="19" t="n"/>
      <c r="H786" s="23" t="n"/>
      <c r="I786" s="19" t="n"/>
      <c r="J786" s="23" t="n"/>
      <c r="K786" s="21" t="n"/>
      <c r="L786" s="24" t="n"/>
      <c r="M786" s="24" t="n"/>
      <c r="N786" s="24" t="n"/>
      <c r="O786" s="24" t="n"/>
      <c r="P786" s="25" t="n"/>
      <c r="Q786" s="23" t="n"/>
      <c r="R786" s="23" t="n"/>
      <c r="S786" s="26" t="n"/>
      <c r="T786" s="24" t="n"/>
      <c r="U786" s="24" t="n"/>
      <c r="V786" s="24" t="n"/>
      <c r="W786" s="26" t="n"/>
      <c r="X786" s="23" t="n"/>
      <c r="Y786" s="18" t="n"/>
      <c r="Z786" s="27" t="n"/>
      <c r="AA786" s="27" t="n"/>
      <c r="AB786" s="27" t="n"/>
      <c r="AC786" s="27" t="n"/>
      <c r="AD786" s="1" t="n"/>
      <c r="AE786" s="1" t="n"/>
      <c r="AF786" s="4" t="n"/>
      <c r="AG786" s="4" t="n"/>
    </row>
    <row r="787" ht="47.25" customHeight="1">
      <c r="A787" s="18" t="n"/>
      <c r="B787" s="19" t="n"/>
      <c r="C787" s="20" t="n"/>
      <c r="D787" s="44" t="n"/>
      <c r="E787" s="23" t="n"/>
      <c r="F787" s="19" t="n"/>
      <c r="G787" s="19" t="n"/>
      <c r="H787" s="23" t="n"/>
      <c r="I787" s="19" t="n"/>
      <c r="J787" s="23" t="n"/>
      <c r="K787" s="21" t="n"/>
      <c r="L787" s="24" t="n"/>
      <c r="M787" s="24" t="n"/>
      <c r="N787" s="24" t="n"/>
      <c r="O787" s="24" t="n"/>
      <c r="P787" s="25" t="n"/>
      <c r="Q787" s="23" t="n"/>
      <c r="R787" s="23" t="n"/>
      <c r="S787" s="26" t="n"/>
      <c r="T787" s="24" t="n"/>
      <c r="U787" s="24" t="n"/>
      <c r="V787" s="24" t="n"/>
      <c r="W787" s="26" t="n"/>
      <c r="X787" s="23" t="n"/>
      <c r="Y787" s="18" t="n"/>
      <c r="Z787" s="27" t="n"/>
      <c r="AA787" s="27" t="n"/>
      <c r="AB787" s="27" t="n"/>
      <c r="AC787" s="27" t="n"/>
      <c r="AD787" s="1" t="n"/>
      <c r="AE787" s="1" t="n"/>
      <c r="AF787" s="4" t="n"/>
      <c r="AG787" s="4" t="n"/>
    </row>
    <row r="788" ht="47.25" customHeight="1">
      <c r="A788" s="18" t="n"/>
      <c r="B788" s="19" t="n"/>
      <c r="C788" s="20" t="n"/>
      <c r="D788" s="44" t="n"/>
      <c r="E788" s="23" t="n"/>
      <c r="F788" s="19" t="n"/>
      <c r="G788" s="19" t="n"/>
      <c r="H788" s="23" t="n"/>
      <c r="I788" s="19" t="n"/>
      <c r="J788" s="23" t="n"/>
      <c r="K788" s="21" t="n"/>
      <c r="L788" s="24" t="n"/>
      <c r="M788" s="24" t="n"/>
      <c r="N788" s="24" t="n"/>
      <c r="O788" s="24" t="n"/>
      <c r="P788" s="25" t="n"/>
      <c r="Q788" s="23" t="n"/>
      <c r="R788" s="23" t="n"/>
      <c r="S788" s="26" t="n"/>
      <c r="T788" s="24" t="n"/>
      <c r="U788" s="24" t="n"/>
      <c r="V788" s="24" t="n"/>
      <c r="W788" s="26" t="n"/>
      <c r="X788" s="23" t="n"/>
      <c r="Y788" s="18" t="n"/>
      <c r="Z788" s="27" t="n"/>
      <c r="AA788" s="27" t="n"/>
      <c r="AB788" s="27" t="n"/>
      <c r="AC788" s="27" t="n"/>
      <c r="AD788" s="1" t="n"/>
      <c r="AE788" s="1" t="n"/>
      <c r="AF788" s="4" t="n"/>
      <c r="AG788" s="4" t="n"/>
    </row>
    <row r="789" ht="47.25" customHeight="1">
      <c r="A789" s="18" t="n"/>
      <c r="B789" s="19" t="n"/>
      <c r="C789" s="20" t="n"/>
      <c r="D789" s="44" t="n"/>
      <c r="E789" s="23" t="n"/>
      <c r="F789" s="19" t="n"/>
      <c r="G789" s="19" t="n"/>
      <c r="H789" s="23" t="n"/>
      <c r="I789" s="19" t="n"/>
      <c r="J789" s="23" t="n"/>
      <c r="K789" s="21" t="n"/>
      <c r="L789" s="24" t="n"/>
      <c r="M789" s="24" t="n"/>
      <c r="N789" s="24" t="n"/>
      <c r="O789" s="24" t="n"/>
      <c r="P789" s="25" t="n"/>
      <c r="Q789" s="23" t="n"/>
      <c r="R789" s="23" t="n"/>
      <c r="S789" s="26" t="n"/>
      <c r="T789" s="24" t="n"/>
      <c r="U789" s="24" t="n"/>
      <c r="V789" s="24" t="n"/>
      <c r="W789" s="26" t="n"/>
      <c r="X789" s="23" t="n"/>
      <c r="Y789" s="18" t="n"/>
      <c r="Z789" s="27" t="n"/>
      <c r="AA789" s="27" t="n"/>
      <c r="AB789" s="27" t="n"/>
      <c r="AC789" s="27" t="n"/>
      <c r="AD789" s="1" t="n"/>
      <c r="AE789" s="1" t="n"/>
      <c r="AF789" s="4" t="n"/>
      <c r="AG789" s="4" t="n"/>
    </row>
    <row r="790" ht="47.25" customHeight="1">
      <c r="A790" s="18" t="n"/>
      <c r="B790" s="19" t="n"/>
      <c r="C790" s="20" t="n"/>
      <c r="D790" s="44" t="n"/>
      <c r="E790" s="23" t="n"/>
      <c r="F790" s="19" t="n"/>
      <c r="G790" s="19" t="n"/>
      <c r="H790" s="23" t="n"/>
      <c r="I790" s="19" t="n"/>
      <c r="J790" s="23" t="n"/>
      <c r="K790" s="21" t="n"/>
      <c r="L790" s="24" t="n"/>
      <c r="M790" s="24" t="n"/>
      <c r="N790" s="24" t="n"/>
      <c r="O790" s="24" t="n"/>
      <c r="P790" s="25" t="n"/>
      <c r="Q790" s="23" t="n"/>
      <c r="R790" s="23" t="n"/>
      <c r="S790" s="26" t="n"/>
      <c r="T790" s="24" t="n"/>
      <c r="U790" s="24" t="n"/>
      <c r="V790" s="24" t="n"/>
      <c r="W790" s="26" t="n"/>
      <c r="X790" s="23" t="n"/>
      <c r="Y790" s="18" t="n"/>
      <c r="Z790" s="27" t="n"/>
      <c r="AA790" s="27" t="n"/>
      <c r="AB790" s="27" t="n"/>
      <c r="AC790" s="27" t="n"/>
      <c r="AD790" s="1" t="n"/>
      <c r="AE790" s="1" t="n"/>
      <c r="AF790" s="4" t="n"/>
      <c r="AG790" s="4" t="n"/>
    </row>
    <row r="791" ht="47.25" customHeight="1">
      <c r="A791" s="18" t="n"/>
      <c r="B791" s="19" t="n"/>
      <c r="C791" s="20" t="n"/>
      <c r="D791" s="44" t="n"/>
      <c r="E791" s="23" t="n"/>
      <c r="F791" s="19" t="n"/>
      <c r="G791" s="19" t="n"/>
      <c r="H791" s="23" t="n"/>
      <c r="I791" s="19" t="n"/>
      <c r="J791" s="23" t="n"/>
      <c r="K791" s="21" t="n"/>
      <c r="L791" s="24" t="n"/>
      <c r="M791" s="24" t="n"/>
      <c r="N791" s="24" t="n"/>
      <c r="O791" s="24" t="n"/>
      <c r="P791" s="25" t="n"/>
      <c r="Q791" s="23" t="n"/>
      <c r="R791" s="23" t="n"/>
      <c r="S791" s="26" t="n"/>
      <c r="T791" s="24" t="n"/>
      <c r="U791" s="24" t="n"/>
      <c r="V791" s="24" t="n"/>
      <c r="W791" s="26" t="n"/>
      <c r="X791" s="23" t="n"/>
      <c r="Y791" s="18" t="n"/>
      <c r="Z791" s="27" t="n"/>
      <c r="AA791" s="27" t="n"/>
      <c r="AB791" s="27" t="n"/>
      <c r="AC791" s="27" t="n"/>
      <c r="AD791" s="1" t="n"/>
      <c r="AE791" s="1" t="n"/>
      <c r="AF791" s="4" t="n"/>
      <c r="AG791" s="4" t="n"/>
    </row>
    <row r="792" ht="47.25" customHeight="1">
      <c r="A792" s="18" t="n"/>
      <c r="B792" s="19" t="n"/>
      <c r="C792" s="20" t="n"/>
      <c r="D792" s="44" t="n"/>
      <c r="E792" s="23" t="n"/>
      <c r="F792" s="19" t="n"/>
      <c r="G792" s="19" t="n"/>
      <c r="H792" s="23" t="n"/>
      <c r="I792" s="19" t="n"/>
      <c r="J792" s="23" t="n"/>
      <c r="K792" s="21" t="n"/>
      <c r="L792" s="24" t="n"/>
      <c r="M792" s="24" t="n"/>
      <c r="N792" s="24" t="n"/>
      <c r="O792" s="24" t="n"/>
      <c r="P792" s="25" t="n"/>
      <c r="Q792" s="23" t="n"/>
      <c r="R792" s="23" t="n"/>
      <c r="S792" s="26" t="n"/>
      <c r="T792" s="24" t="n"/>
      <c r="U792" s="24" t="n"/>
      <c r="V792" s="24" t="n"/>
      <c r="W792" s="26" t="n"/>
      <c r="X792" s="23" t="n"/>
      <c r="Y792" s="18" t="n"/>
      <c r="Z792" s="27" t="n"/>
      <c r="AA792" s="27" t="n"/>
      <c r="AB792" s="27" t="n"/>
      <c r="AC792" s="27" t="n"/>
      <c r="AD792" s="1" t="n"/>
      <c r="AE792" s="1" t="n"/>
      <c r="AF792" s="4" t="n"/>
      <c r="AG792" s="4" t="n"/>
    </row>
    <row r="793" ht="47.25" customHeight="1">
      <c r="A793" s="18" t="n"/>
      <c r="B793" s="19" t="n"/>
      <c r="C793" s="20" t="n"/>
      <c r="D793" s="44" t="n"/>
      <c r="E793" s="23" t="n"/>
      <c r="F793" s="19" t="n"/>
      <c r="G793" s="19" t="n"/>
      <c r="H793" s="23" t="n"/>
      <c r="I793" s="19" t="n"/>
      <c r="J793" s="23" t="n"/>
      <c r="K793" s="21" t="n"/>
      <c r="L793" s="24" t="n"/>
      <c r="M793" s="24" t="n"/>
      <c r="N793" s="24" t="n"/>
      <c r="O793" s="24" t="n"/>
      <c r="P793" s="25" t="n"/>
      <c r="Q793" s="23" t="n"/>
      <c r="R793" s="23" t="n"/>
      <c r="S793" s="26" t="n"/>
      <c r="T793" s="24" t="n"/>
      <c r="U793" s="24" t="n"/>
      <c r="V793" s="24" t="n"/>
      <c r="W793" s="26" t="n"/>
      <c r="X793" s="23" t="n"/>
      <c r="Y793" s="18" t="n"/>
      <c r="Z793" s="27" t="n"/>
      <c r="AA793" s="27" t="n"/>
      <c r="AB793" s="27" t="n"/>
      <c r="AC793" s="27" t="n"/>
      <c r="AD793" s="1" t="n"/>
      <c r="AE793" s="1" t="n"/>
      <c r="AF793" s="4" t="n"/>
      <c r="AG793" s="4" t="n"/>
    </row>
    <row r="794" ht="47.25" customHeight="1">
      <c r="A794" s="18" t="n"/>
      <c r="B794" s="19" t="n"/>
      <c r="C794" s="20" t="n"/>
      <c r="D794" s="44" t="n"/>
      <c r="E794" s="23" t="n"/>
      <c r="F794" s="19" t="n"/>
      <c r="G794" s="19" t="n"/>
      <c r="H794" s="23" t="n"/>
      <c r="I794" s="19" t="n"/>
      <c r="J794" s="23" t="n"/>
      <c r="K794" s="21" t="n"/>
      <c r="L794" s="24" t="n"/>
      <c r="M794" s="24" t="n"/>
      <c r="N794" s="24" t="n"/>
      <c r="O794" s="24" t="n"/>
      <c r="P794" s="25" t="n"/>
      <c r="Q794" s="23" t="n"/>
      <c r="R794" s="23" t="n"/>
      <c r="S794" s="26" t="n"/>
      <c r="T794" s="24" t="n"/>
      <c r="U794" s="24" t="n"/>
      <c r="V794" s="24" t="n"/>
      <c r="W794" s="26" t="n"/>
      <c r="X794" s="23" t="n"/>
      <c r="Y794" s="18" t="n"/>
      <c r="Z794" s="27" t="n"/>
      <c r="AA794" s="27" t="n"/>
      <c r="AB794" s="27" t="n"/>
      <c r="AC794" s="27" t="n"/>
      <c r="AD794" s="1" t="n"/>
      <c r="AE794" s="1" t="n"/>
      <c r="AF794" s="4" t="n"/>
      <c r="AG794" s="4" t="n"/>
    </row>
    <row r="795" ht="47.25" customHeight="1">
      <c r="A795" s="18" t="n"/>
      <c r="B795" s="19" t="n"/>
      <c r="C795" s="20" t="n"/>
      <c r="D795" s="44" t="n"/>
      <c r="E795" s="23" t="n"/>
      <c r="F795" s="19" t="n"/>
      <c r="G795" s="19" t="n"/>
      <c r="H795" s="23" t="n"/>
      <c r="I795" s="19" t="n"/>
      <c r="J795" s="23" t="n"/>
      <c r="K795" s="21" t="n"/>
      <c r="L795" s="24" t="n"/>
      <c r="M795" s="24" t="n"/>
      <c r="N795" s="24" t="n"/>
      <c r="O795" s="24" t="n"/>
      <c r="P795" s="25" t="n"/>
      <c r="Q795" s="23" t="n"/>
      <c r="R795" s="23" t="n"/>
      <c r="S795" s="26" t="n"/>
      <c r="T795" s="24" t="n"/>
      <c r="U795" s="24" t="n"/>
      <c r="V795" s="24" t="n"/>
      <c r="W795" s="26" t="n"/>
      <c r="X795" s="23" t="n"/>
      <c r="Y795" s="18" t="n"/>
      <c r="Z795" s="27" t="n"/>
      <c r="AA795" s="27" t="n"/>
      <c r="AB795" s="27" t="n"/>
      <c r="AC795" s="27" t="n"/>
      <c r="AD795" s="1" t="n"/>
      <c r="AE795" s="1" t="n"/>
      <c r="AF795" s="4" t="n"/>
      <c r="AG795" s="4" t="n"/>
    </row>
    <row r="796" ht="47.25" customHeight="1">
      <c r="A796" s="18" t="n"/>
      <c r="B796" s="19" t="n"/>
      <c r="C796" s="20" t="n"/>
      <c r="D796" s="44" t="n"/>
      <c r="E796" s="23" t="n"/>
      <c r="F796" s="19" t="n"/>
      <c r="G796" s="19" t="n"/>
      <c r="H796" s="23" t="n"/>
      <c r="I796" s="19" t="n"/>
      <c r="J796" s="23" t="n"/>
      <c r="K796" s="21" t="n"/>
      <c r="L796" s="24" t="n"/>
      <c r="M796" s="24" t="n"/>
      <c r="N796" s="24" t="n"/>
      <c r="O796" s="24" t="n"/>
      <c r="P796" s="25" t="n"/>
      <c r="Q796" s="23" t="n"/>
      <c r="R796" s="23" t="n"/>
      <c r="S796" s="26" t="n"/>
      <c r="T796" s="24" t="n"/>
      <c r="U796" s="24" t="n"/>
      <c r="V796" s="24" t="n"/>
      <c r="W796" s="26" t="n"/>
      <c r="X796" s="23" t="n"/>
      <c r="Y796" s="18" t="n"/>
      <c r="Z796" s="27" t="n"/>
      <c r="AA796" s="27" t="n"/>
      <c r="AB796" s="27" t="n"/>
      <c r="AC796" s="27" t="n"/>
      <c r="AD796" s="1" t="n"/>
      <c r="AE796" s="1" t="n"/>
      <c r="AF796" s="4" t="n"/>
      <c r="AG796" s="4" t="n"/>
    </row>
    <row r="797" ht="47.25" customHeight="1">
      <c r="A797" s="18" t="n"/>
      <c r="B797" s="19" t="n"/>
      <c r="C797" s="20" t="n"/>
      <c r="D797" s="44" t="n"/>
      <c r="E797" s="23" t="n"/>
      <c r="F797" s="19" t="n"/>
      <c r="G797" s="19" t="n"/>
      <c r="H797" s="23" t="n"/>
      <c r="I797" s="19" t="n"/>
      <c r="J797" s="23" t="n"/>
      <c r="K797" s="21" t="n"/>
      <c r="L797" s="24" t="n"/>
      <c r="M797" s="24" t="n"/>
      <c r="N797" s="24" t="n"/>
      <c r="O797" s="24" t="n"/>
      <c r="P797" s="25" t="n"/>
      <c r="Q797" s="23" t="n"/>
      <c r="R797" s="23" t="n"/>
      <c r="S797" s="26" t="n"/>
      <c r="T797" s="24" t="n"/>
      <c r="U797" s="24" t="n"/>
      <c r="V797" s="24" t="n"/>
      <c r="W797" s="26" t="n"/>
      <c r="X797" s="23" t="n"/>
      <c r="Y797" s="18" t="n"/>
      <c r="Z797" s="27" t="n"/>
      <c r="AA797" s="27" t="n"/>
      <c r="AB797" s="27" t="n"/>
      <c r="AC797" s="27" t="n"/>
      <c r="AD797" s="1" t="n"/>
      <c r="AE797" s="1" t="n"/>
      <c r="AF797" s="4" t="n"/>
      <c r="AG797" s="4" t="n"/>
    </row>
    <row r="798" ht="47.25" customHeight="1">
      <c r="A798" s="18" t="n"/>
      <c r="B798" s="19" t="n"/>
      <c r="C798" s="20" t="n"/>
      <c r="D798" s="44" t="n"/>
      <c r="E798" s="23" t="n"/>
      <c r="F798" s="19" t="n"/>
      <c r="G798" s="19" t="n"/>
      <c r="H798" s="23" t="n"/>
      <c r="I798" s="19" t="n"/>
      <c r="J798" s="23" t="n"/>
      <c r="K798" s="21" t="n"/>
      <c r="L798" s="24" t="n"/>
      <c r="M798" s="24" t="n"/>
      <c r="N798" s="24" t="n"/>
      <c r="O798" s="24" t="n"/>
      <c r="P798" s="25" t="n"/>
      <c r="Q798" s="23" t="n"/>
      <c r="R798" s="23" t="n"/>
      <c r="S798" s="26" t="n"/>
      <c r="T798" s="24" t="n"/>
      <c r="U798" s="24" t="n"/>
      <c r="V798" s="24" t="n"/>
      <c r="W798" s="26" t="n"/>
      <c r="X798" s="23" t="n"/>
      <c r="Y798" s="18" t="n"/>
      <c r="Z798" s="27" t="n"/>
      <c r="AA798" s="27" t="n"/>
      <c r="AB798" s="27" t="n"/>
      <c r="AC798" s="27" t="n"/>
      <c r="AD798" s="1" t="n"/>
      <c r="AE798" s="1" t="n"/>
      <c r="AF798" s="4" t="n"/>
      <c r="AG798" s="4" t="n"/>
    </row>
    <row r="799" ht="47.25" customHeight="1">
      <c r="A799" s="18" t="n"/>
      <c r="B799" s="19" t="n"/>
      <c r="C799" s="20" t="n"/>
      <c r="D799" s="44" t="n"/>
      <c r="E799" s="23" t="n"/>
      <c r="F799" s="19" t="n"/>
      <c r="G799" s="19" t="n"/>
      <c r="H799" s="23" t="n"/>
      <c r="I799" s="19" t="n"/>
      <c r="J799" s="23" t="n"/>
      <c r="K799" s="21" t="n"/>
      <c r="L799" s="24" t="n"/>
      <c r="M799" s="24" t="n"/>
      <c r="N799" s="24" t="n"/>
      <c r="O799" s="24" t="n"/>
      <c r="P799" s="25" t="n"/>
      <c r="Q799" s="23" t="n"/>
      <c r="R799" s="23" t="n"/>
      <c r="S799" s="26" t="n"/>
      <c r="T799" s="24" t="n"/>
      <c r="U799" s="24" t="n"/>
      <c r="V799" s="24" t="n"/>
      <c r="W799" s="26" t="n"/>
      <c r="X799" s="23" t="n"/>
      <c r="Y799" s="18" t="n"/>
      <c r="Z799" s="27" t="n"/>
      <c r="AA799" s="27" t="n"/>
      <c r="AB799" s="27" t="n"/>
      <c r="AC799" s="27" t="n"/>
      <c r="AD799" s="1" t="n"/>
      <c r="AE799" s="1" t="n"/>
      <c r="AF799" s="4" t="n"/>
      <c r="AG799" s="4" t="n"/>
    </row>
    <row r="800" ht="47.25" customHeight="1">
      <c r="A800" s="18" t="n"/>
      <c r="B800" s="19" t="n"/>
      <c r="C800" s="20" t="n"/>
      <c r="D800" s="44" t="n"/>
      <c r="E800" s="23" t="n"/>
      <c r="F800" s="19" t="n"/>
      <c r="G800" s="19" t="n"/>
      <c r="H800" s="23" t="n"/>
      <c r="I800" s="19" t="n"/>
      <c r="J800" s="23" t="n"/>
      <c r="K800" s="21" t="n"/>
      <c r="L800" s="24" t="n"/>
      <c r="M800" s="24" t="n"/>
      <c r="N800" s="24" t="n"/>
      <c r="O800" s="24" t="n"/>
      <c r="P800" s="25" t="n"/>
      <c r="Q800" s="23" t="n"/>
      <c r="R800" s="23" t="n"/>
      <c r="S800" s="26" t="n"/>
      <c r="T800" s="24" t="n"/>
      <c r="U800" s="24" t="n"/>
      <c r="V800" s="24" t="n"/>
      <c r="W800" s="26" t="n"/>
      <c r="X800" s="23" t="n"/>
      <c r="Y800" s="18" t="n"/>
      <c r="Z800" s="27" t="n"/>
      <c r="AA800" s="27" t="n"/>
      <c r="AB800" s="27" t="n"/>
      <c r="AC800" s="27" t="n"/>
      <c r="AD800" s="1" t="n"/>
      <c r="AE800" s="1" t="n"/>
      <c r="AF800" s="4" t="n"/>
      <c r="AG800" s="4" t="n"/>
    </row>
    <row r="801" ht="47.25" customHeight="1">
      <c r="A801" s="18" t="n"/>
      <c r="B801" s="19" t="n"/>
      <c r="C801" s="20" t="n"/>
      <c r="D801" s="44" t="n"/>
      <c r="E801" s="23" t="n"/>
      <c r="F801" s="19" t="n"/>
      <c r="G801" s="19" t="n"/>
      <c r="H801" s="23" t="n"/>
      <c r="I801" s="19" t="n"/>
      <c r="J801" s="23" t="n"/>
      <c r="K801" s="21" t="n"/>
      <c r="L801" s="24" t="n"/>
      <c r="M801" s="24" t="n"/>
      <c r="N801" s="24" t="n"/>
      <c r="O801" s="24" t="n"/>
      <c r="P801" s="25" t="n"/>
      <c r="Q801" s="23" t="n"/>
      <c r="R801" s="23" t="n"/>
      <c r="S801" s="26" t="n"/>
      <c r="T801" s="24" t="n"/>
      <c r="U801" s="24" t="n"/>
      <c r="V801" s="24" t="n"/>
      <c r="W801" s="26" t="n"/>
      <c r="X801" s="23" t="n"/>
      <c r="Y801" s="18" t="n"/>
      <c r="Z801" s="27" t="n"/>
      <c r="AA801" s="27" t="n"/>
      <c r="AB801" s="27" t="n"/>
      <c r="AC801" s="27" t="n"/>
      <c r="AD801" s="1" t="n"/>
      <c r="AE801" s="1" t="n"/>
      <c r="AF801" s="4" t="n"/>
      <c r="AG801" s="4" t="n"/>
    </row>
    <row r="802" ht="47.25" customHeight="1">
      <c r="A802" s="18" t="n"/>
      <c r="B802" s="19" t="n"/>
      <c r="C802" s="20" t="n"/>
      <c r="D802" s="44" t="n"/>
      <c r="E802" s="23" t="n"/>
      <c r="F802" s="19" t="n"/>
      <c r="G802" s="19" t="n"/>
      <c r="H802" s="23" t="n"/>
      <c r="I802" s="19" t="n"/>
      <c r="J802" s="23" t="n"/>
      <c r="K802" s="21" t="n"/>
      <c r="L802" s="24" t="n"/>
      <c r="M802" s="24" t="n"/>
      <c r="N802" s="24" t="n"/>
      <c r="O802" s="24" t="n"/>
      <c r="P802" s="25" t="n"/>
      <c r="Q802" s="23" t="n"/>
      <c r="R802" s="23" t="n"/>
      <c r="S802" s="26" t="n"/>
      <c r="T802" s="24" t="n"/>
      <c r="U802" s="24" t="n"/>
      <c r="V802" s="24" t="n"/>
      <c r="W802" s="26" t="n"/>
      <c r="X802" s="23" t="n"/>
      <c r="Y802" s="18" t="n"/>
      <c r="Z802" s="27" t="n"/>
      <c r="AA802" s="27" t="n"/>
      <c r="AB802" s="27" t="n"/>
      <c r="AC802" s="27" t="n"/>
      <c r="AD802" s="1" t="n"/>
      <c r="AE802" s="1" t="n"/>
      <c r="AF802" s="4" t="n"/>
      <c r="AG802" s="4" t="n"/>
    </row>
    <row r="803" ht="47.25" customHeight="1">
      <c r="A803" s="18" t="n"/>
      <c r="B803" s="19" t="n"/>
      <c r="C803" s="20" t="n"/>
      <c r="D803" s="44" t="n"/>
      <c r="E803" s="23" t="n"/>
      <c r="F803" s="19" t="n"/>
      <c r="G803" s="19" t="n"/>
      <c r="H803" s="23" t="n"/>
      <c r="I803" s="19" t="n"/>
      <c r="J803" s="23" t="n"/>
      <c r="K803" s="21" t="n"/>
      <c r="L803" s="24" t="n"/>
      <c r="M803" s="24" t="n"/>
      <c r="N803" s="24" t="n"/>
      <c r="O803" s="24" t="n"/>
      <c r="P803" s="25" t="n"/>
      <c r="Q803" s="23" t="n"/>
      <c r="R803" s="23" t="n"/>
      <c r="S803" s="26" t="n"/>
      <c r="T803" s="24" t="n"/>
      <c r="U803" s="24" t="n"/>
      <c r="V803" s="24" t="n"/>
      <c r="W803" s="26" t="n"/>
      <c r="X803" s="23" t="n"/>
      <c r="Y803" s="18" t="n"/>
      <c r="Z803" s="27" t="n"/>
      <c r="AA803" s="27" t="n"/>
      <c r="AB803" s="27" t="n"/>
      <c r="AC803" s="27" t="n"/>
      <c r="AD803" s="1" t="n"/>
      <c r="AE803" s="1" t="n"/>
      <c r="AF803" s="4" t="n"/>
      <c r="AG803" s="4" t="n"/>
    </row>
    <row r="804" ht="47.25" customHeight="1">
      <c r="A804" s="18" t="n"/>
      <c r="B804" s="19" t="n"/>
      <c r="C804" s="20" t="n"/>
      <c r="D804" s="44" t="n"/>
      <c r="E804" s="23" t="n"/>
      <c r="F804" s="19" t="n"/>
      <c r="G804" s="19" t="n"/>
      <c r="H804" s="23" t="n"/>
      <c r="I804" s="19" t="n"/>
      <c r="J804" s="23" t="n"/>
      <c r="K804" s="21" t="n"/>
      <c r="L804" s="24" t="n"/>
      <c r="M804" s="24" t="n"/>
      <c r="N804" s="24" t="n"/>
      <c r="O804" s="24" t="n"/>
      <c r="P804" s="25" t="n"/>
      <c r="Q804" s="23" t="n"/>
      <c r="R804" s="23" t="n"/>
      <c r="S804" s="26" t="n"/>
      <c r="T804" s="24" t="n"/>
      <c r="U804" s="24" t="n"/>
      <c r="V804" s="24" t="n"/>
      <c r="W804" s="26" t="n"/>
      <c r="X804" s="23" t="n"/>
      <c r="Y804" s="18" t="n"/>
      <c r="Z804" s="27" t="n"/>
      <c r="AA804" s="27" t="n"/>
      <c r="AB804" s="27" t="n"/>
      <c r="AC804" s="27" t="n"/>
      <c r="AD804" s="1" t="n"/>
      <c r="AE804" s="1" t="n"/>
      <c r="AF804" s="4" t="n"/>
      <c r="AG804" s="4" t="n"/>
    </row>
    <row r="805" ht="47.25" customHeight="1">
      <c r="A805" s="18" t="n"/>
      <c r="B805" s="19" t="n"/>
      <c r="C805" s="20" t="n"/>
      <c r="D805" s="44" t="n"/>
      <c r="E805" s="23" t="n"/>
      <c r="F805" s="19" t="n"/>
      <c r="G805" s="19" t="n"/>
      <c r="H805" s="23" t="n"/>
      <c r="I805" s="19" t="n"/>
      <c r="J805" s="23" t="n"/>
      <c r="K805" s="21" t="n"/>
      <c r="L805" s="24" t="n"/>
      <c r="M805" s="24" t="n"/>
      <c r="N805" s="24" t="n"/>
      <c r="O805" s="24" t="n"/>
      <c r="P805" s="25" t="n"/>
      <c r="Q805" s="23" t="n"/>
      <c r="R805" s="23" t="n"/>
      <c r="S805" s="26" t="n"/>
      <c r="T805" s="24" t="n"/>
      <c r="U805" s="24" t="n"/>
      <c r="V805" s="24" t="n"/>
      <c r="W805" s="26" t="n"/>
      <c r="X805" s="23" t="n"/>
      <c r="Y805" s="18" t="n"/>
      <c r="Z805" s="27" t="n"/>
      <c r="AA805" s="27" t="n"/>
      <c r="AB805" s="27" t="n"/>
      <c r="AC805" s="27" t="n"/>
      <c r="AD805" s="1" t="n"/>
      <c r="AE805" s="1" t="n"/>
      <c r="AF805" s="4" t="n"/>
      <c r="AG805" s="4" t="n"/>
    </row>
    <row r="806" ht="47.25" customHeight="1">
      <c r="A806" s="18" t="n"/>
      <c r="B806" s="19" t="n"/>
      <c r="C806" s="20" t="n"/>
      <c r="D806" s="44" t="n"/>
      <c r="E806" s="23" t="n"/>
      <c r="F806" s="19" t="n"/>
      <c r="G806" s="19" t="n"/>
      <c r="H806" s="23" t="n"/>
      <c r="I806" s="19" t="n"/>
      <c r="J806" s="23" t="n"/>
      <c r="K806" s="21" t="n"/>
      <c r="L806" s="24" t="n"/>
      <c r="M806" s="24" t="n"/>
      <c r="N806" s="24" t="n"/>
      <c r="O806" s="24" t="n"/>
      <c r="P806" s="25" t="n"/>
      <c r="Q806" s="23" t="n"/>
      <c r="R806" s="23" t="n"/>
      <c r="S806" s="26" t="n"/>
      <c r="T806" s="24" t="n"/>
      <c r="U806" s="24" t="n"/>
      <c r="V806" s="24" t="n"/>
      <c r="W806" s="26" t="n"/>
      <c r="X806" s="23" t="n"/>
      <c r="Y806" s="18" t="n"/>
      <c r="Z806" s="27" t="n"/>
      <c r="AA806" s="27" t="n"/>
      <c r="AB806" s="27" t="n"/>
      <c r="AC806" s="27" t="n"/>
      <c r="AD806" s="1" t="n"/>
      <c r="AE806" s="1" t="n"/>
      <c r="AF806" s="4" t="n"/>
      <c r="AG806" s="4" t="n"/>
    </row>
    <row r="807" ht="47.25" customHeight="1">
      <c r="A807" s="18" t="n"/>
      <c r="B807" s="19" t="n"/>
      <c r="C807" s="20" t="n"/>
      <c r="D807" s="44" t="n"/>
      <c r="E807" s="23" t="n"/>
      <c r="F807" s="19" t="n"/>
      <c r="G807" s="19" t="n"/>
      <c r="H807" s="23" t="n"/>
      <c r="I807" s="19" t="n"/>
      <c r="J807" s="23" t="n"/>
      <c r="K807" s="21" t="n"/>
      <c r="L807" s="24" t="n"/>
      <c r="M807" s="24" t="n"/>
      <c r="N807" s="24" t="n"/>
      <c r="O807" s="24" t="n"/>
      <c r="P807" s="25" t="n"/>
      <c r="Q807" s="23" t="n"/>
      <c r="R807" s="23" t="n"/>
      <c r="S807" s="26" t="n"/>
      <c r="T807" s="24" t="n"/>
      <c r="U807" s="24" t="n"/>
      <c r="V807" s="24" t="n"/>
      <c r="W807" s="26" t="n"/>
      <c r="X807" s="23" t="n"/>
      <c r="Y807" s="18" t="n"/>
      <c r="Z807" s="27" t="n"/>
      <c r="AA807" s="27" t="n"/>
      <c r="AB807" s="27" t="n"/>
      <c r="AC807" s="27" t="n"/>
      <c r="AD807" s="1" t="n"/>
      <c r="AE807" s="1" t="n"/>
      <c r="AF807" s="4" t="n"/>
      <c r="AG807" s="4" t="n"/>
    </row>
    <row r="808" ht="47.25" customHeight="1">
      <c r="A808" s="18" t="n"/>
      <c r="B808" s="19" t="n"/>
      <c r="C808" s="20" t="n"/>
      <c r="D808" s="44" t="n"/>
      <c r="E808" s="23" t="n"/>
      <c r="F808" s="19" t="n"/>
      <c r="G808" s="19" t="n"/>
      <c r="H808" s="23" t="n"/>
      <c r="I808" s="19" t="n"/>
      <c r="J808" s="23" t="n"/>
      <c r="K808" s="21" t="n"/>
      <c r="L808" s="24" t="n"/>
      <c r="M808" s="24" t="n"/>
      <c r="N808" s="24" t="n"/>
      <c r="O808" s="24" t="n"/>
      <c r="P808" s="25" t="n"/>
      <c r="Q808" s="23" t="n"/>
      <c r="R808" s="23" t="n"/>
      <c r="S808" s="26" t="n"/>
      <c r="T808" s="24" t="n"/>
      <c r="U808" s="24" t="n"/>
      <c r="V808" s="24" t="n"/>
      <c r="W808" s="26" t="n"/>
      <c r="X808" s="23" t="n"/>
      <c r="Y808" s="18" t="n"/>
      <c r="Z808" s="27" t="n"/>
      <c r="AA808" s="27" t="n"/>
      <c r="AB808" s="27" t="n"/>
      <c r="AC808" s="27" t="n"/>
      <c r="AD808" s="1" t="n"/>
      <c r="AE808" s="1" t="n"/>
      <c r="AF808" s="4" t="n"/>
      <c r="AG808" s="4" t="n"/>
    </row>
    <row r="809" ht="47.25" customHeight="1">
      <c r="A809" s="18" t="n"/>
      <c r="B809" s="19" t="n"/>
      <c r="C809" s="20" t="n"/>
      <c r="D809" s="44" t="n"/>
      <c r="E809" s="23" t="n"/>
      <c r="F809" s="19" t="n"/>
      <c r="G809" s="19" t="n"/>
      <c r="H809" s="23" t="n"/>
      <c r="I809" s="19" t="n"/>
      <c r="J809" s="23" t="n"/>
      <c r="K809" s="21" t="n"/>
      <c r="L809" s="24" t="n"/>
      <c r="M809" s="24" t="n"/>
      <c r="N809" s="24" t="n"/>
      <c r="O809" s="24" t="n"/>
      <c r="P809" s="25" t="n"/>
      <c r="Q809" s="23" t="n"/>
      <c r="R809" s="23" t="n"/>
      <c r="S809" s="26" t="n"/>
      <c r="T809" s="24" t="n"/>
      <c r="U809" s="24" t="n"/>
      <c r="V809" s="24" t="n"/>
      <c r="W809" s="26" t="n"/>
      <c r="X809" s="23" t="n"/>
      <c r="Y809" s="18" t="n"/>
      <c r="Z809" s="27" t="n"/>
      <c r="AA809" s="27" t="n"/>
      <c r="AB809" s="27" t="n"/>
      <c r="AC809" s="27" t="n"/>
      <c r="AD809" s="1" t="n"/>
      <c r="AE809" s="1" t="n"/>
      <c r="AF809" s="4" t="n"/>
      <c r="AG809" s="4" t="n"/>
    </row>
    <row r="810" ht="47.25" customHeight="1">
      <c r="A810" s="18" t="n"/>
      <c r="B810" s="19" t="n"/>
      <c r="C810" s="20" t="n"/>
      <c r="D810" s="44" t="n"/>
      <c r="E810" s="23" t="n"/>
      <c r="F810" s="19" t="n"/>
      <c r="G810" s="19" t="n"/>
      <c r="H810" s="23" t="n"/>
      <c r="I810" s="19" t="n"/>
      <c r="J810" s="23" t="n"/>
      <c r="K810" s="21" t="n"/>
      <c r="L810" s="24" t="n"/>
      <c r="M810" s="24" t="n"/>
      <c r="N810" s="24" t="n"/>
      <c r="O810" s="24" t="n"/>
      <c r="P810" s="25" t="n"/>
      <c r="Q810" s="23" t="n"/>
      <c r="R810" s="23" t="n"/>
      <c r="S810" s="26" t="n"/>
      <c r="T810" s="24" t="n"/>
      <c r="U810" s="24" t="n"/>
      <c r="V810" s="24" t="n"/>
      <c r="W810" s="26" t="n"/>
      <c r="X810" s="23" t="n"/>
      <c r="Y810" s="18" t="n"/>
      <c r="Z810" s="27" t="n"/>
      <c r="AA810" s="27" t="n"/>
      <c r="AB810" s="27" t="n"/>
      <c r="AC810" s="27" t="n"/>
      <c r="AD810" s="1" t="n"/>
      <c r="AE810" s="1" t="n"/>
      <c r="AF810" s="4" t="n"/>
      <c r="AG810" s="4" t="n"/>
    </row>
    <row r="811" ht="47.25" customHeight="1">
      <c r="A811" s="18" t="n"/>
      <c r="B811" s="19" t="n"/>
      <c r="C811" s="20" t="n"/>
      <c r="D811" s="44" t="n"/>
      <c r="E811" s="23" t="n"/>
      <c r="F811" s="19" t="n"/>
      <c r="G811" s="19" t="n"/>
      <c r="H811" s="23" t="n"/>
      <c r="I811" s="19" t="n"/>
      <c r="J811" s="23" t="n"/>
      <c r="K811" s="21" t="n"/>
      <c r="L811" s="24" t="n"/>
      <c r="M811" s="24" t="n"/>
      <c r="N811" s="24" t="n"/>
      <c r="O811" s="24" t="n"/>
      <c r="P811" s="25" t="n"/>
      <c r="Q811" s="23" t="n"/>
      <c r="R811" s="23" t="n"/>
      <c r="S811" s="26" t="n"/>
      <c r="T811" s="24" t="n"/>
      <c r="U811" s="24" t="n"/>
      <c r="V811" s="24" t="n"/>
      <c r="W811" s="26" t="n"/>
      <c r="X811" s="23" t="n"/>
      <c r="Y811" s="18" t="n"/>
      <c r="Z811" s="27" t="n"/>
      <c r="AA811" s="27" t="n"/>
      <c r="AB811" s="27" t="n"/>
      <c r="AC811" s="27" t="n"/>
      <c r="AD811" s="1" t="n"/>
      <c r="AE811" s="1" t="n"/>
      <c r="AF811" s="4" t="n"/>
      <c r="AG811" s="4" t="n"/>
    </row>
    <row r="812" ht="47.25" customHeight="1">
      <c r="A812" s="18" t="n"/>
      <c r="B812" s="19" t="n"/>
      <c r="C812" s="20" t="n"/>
      <c r="D812" s="44" t="n"/>
      <c r="E812" s="23" t="n"/>
      <c r="F812" s="19" t="n"/>
      <c r="G812" s="19" t="n"/>
      <c r="H812" s="23" t="n"/>
      <c r="I812" s="19" t="n"/>
      <c r="J812" s="23" t="n"/>
      <c r="K812" s="21" t="n"/>
      <c r="L812" s="24" t="n"/>
      <c r="M812" s="24" t="n"/>
      <c r="N812" s="24" t="n"/>
      <c r="O812" s="24" t="n"/>
      <c r="P812" s="25" t="n"/>
      <c r="Q812" s="23" t="n"/>
      <c r="R812" s="23" t="n"/>
      <c r="S812" s="26" t="n"/>
      <c r="T812" s="24" t="n"/>
      <c r="U812" s="24" t="n"/>
      <c r="V812" s="24" t="n"/>
      <c r="W812" s="26" t="n"/>
      <c r="X812" s="23" t="n"/>
      <c r="Y812" s="18" t="n"/>
      <c r="Z812" s="27" t="n"/>
      <c r="AA812" s="27" t="n"/>
      <c r="AB812" s="27" t="n"/>
      <c r="AC812" s="27" t="n"/>
      <c r="AD812" s="1" t="n"/>
      <c r="AE812" s="1" t="n"/>
      <c r="AF812" s="4" t="n"/>
      <c r="AG812" s="4" t="n"/>
    </row>
    <row r="813" ht="47.25" customHeight="1">
      <c r="A813" s="18" t="n"/>
      <c r="B813" s="19" t="n"/>
      <c r="C813" s="20" t="n"/>
      <c r="D813" s="44" t="n"/>
      <c r="E813" s="23" t="n"/>
      <c r="F813" s="19" t="n"/>
      <c r="G813" s="19" t="n"/>
      <c r="H813" s="23" t="n"/>
      <c r="I813" s="19" t="n"/>
      <c r="J813" s="23" t="n"/>
      <c r="K813" s="21" t="n"/>
      <c r="L813" s="24" t="n"/>
      <c r="M813" s="24" t="n"/>
      <c r="N813" s="24" t="n"/>
      <c r="O813" s="24" t="n"/>
      <c r="P813" s="25" t="n"/>
      <c r="Q813" s="23" t="n"/>
      <c r="R813" s="23" t="n"/>
      <c r="S813" s="26" t="n"/>
      <c r="T813" s="24" t="n"/>
      <c r="U813" s="24" t="n"/>
      <c r="V813" s="24" t="n"/>
      <c r="W813" s="26" t="n"/>
      <c r="X813" s="23" t="n"/>
      <c r="Y813" s="18" t="n"/>
      <c r="Z813" s="27" t="n"/>
      <c r="AA813" s="27" t="n"/>
      <c r="AB813" s="27" t="n"/>
      <c r="AC813" s="27" t="n"/>
      <c r="AD813" s="1" t="n"/>
      <c r="AE813" s="1" t="n"/>
      <c r="AF813" s="4" t="n"/>
      <c r="AG813" s="4" t="n"/>
    </row>
    <row r="814" ht="47.25" customHeight="1">
      <c r="A814" s="18" t="n"/>
      <c r="B814" s="19" t="n"/>
      <c r="C814" s="20" t="n"/>
      <c r="D814" s="44" t="n"/>
      <c r="E814" s="23" t="n"/>
      <c r="F814" s="19" t="n"/>
      <c r="G814" s="19" t="n"/>
      <c r="H814" s="23" t="n"/>
      <c r="I814" s="19" t="n"/>
      <c r="J814" s="23" t="n"/>
      <c r="K814" s="21" t="n"/>
      <c r="L814" s="24" t="n"/>
      <c r="M814" s="24" t="n"/>
      <c r="N814" s="24" t="n"/>
      <c r="O814" s="24" t="n"/>
      <c r="P814" s="25" t="n"/>
      <c r="Q814" s="23" t="n"/>
      <c r="R814" s="23" t="n"/>
      <c r="S814" s="26" t="n"/>
      <c r="T814" s="24" t="n"/>
      <c r="U814" s="24" t="n"/>
      <c r="V814" s="24" t="n"/>
      <c r="W814" s="26" t="n"/>
      <c r="X814" s="23" t="n"/>
      <c r="Y814" s="18" t="n"/>
      <c r="Z814" s="27" t="n"/>
      <c r="AA814" s="27" t="n"/>
      <c r="AB814" s="27" t="n"/>
      <c r="AC814" s="27" t="n"/>
      <c r="AD814" s="1" t="n"/>
      <c r="AE814" s="1" t="n"/>
      <c r="AF814" s="4" t="n"/>
      <c r="AG814" s="4" t="n"/>
    </row>
    <row r="815" ht="47.25" customHeight="1">
      <c r="A815" s="18" t="n"/>
      <c r="B815" s="19" t="n"/>
      <c r="C815" s="20" t="n"/>
      <c r="D815" s="44" t="n"/>
      <c r="E815" s="23" t="n"/>
      <c r="F815" s="19" t="n"/>
      <c r="G815" s="19" t="n"/>
      <c r="H815" s="23" t="n"/>
      <c r="I815" s="19" t="n"/>
      <c r="J815" s="23" t="n"/>
      <c r="K815" s="21" t="n"/>
      <c r="L815" s="24" t="n"/>
      <c r="M815" s="24" t="n"/>
      <c r="N815" s="24" t="n"/>
      <c r="O815" s="24" t="n"/>
      <c r="P815" s="25" t="n"/>
      <c r="Q815" s="23" t="n"/>
      <c r="R815" s="23" t="n"/>
      <c r="S815" s="26" t="n"/>
      <c r="T815" s="24" t="n"/>
      <c r="U815" s="24" t="n"/>
      <c r="V815" s="24" t="n"/>
      <c r="W815" s="26" t="n"/>
      <c r="X815" s="23" t="n"/>
      <c r="Y815" s="18" t="n"/>
      <c r="Z815" s="27" t="n"/>
      <c r="AA815" s="27" t="n"/>
      <c r="AB815" s="27" t="n"/>
      <c r="AC815" s="27" t="n"/>
      <c r="AD815" s="1" t="n"/>
      <c r="AE815" s="1" t="n"/>
      <c r="AF815" s="4" t="n"/>
      <c r="AG815" s="4" t="n"/>
    </row>
    <row r="816" ht="47.25" customHeight="1">
      <c r="A816" s="18" t="n"/>
      <c r="B816" s="19" t="n"/>
      <c r="C816" s="20" t="n"/>
      <c r="D816" s="44" t="n"/>
      <c r="E816" s="23" t="n"/>
      <c r="F816" s="19" t="n"/>
      <c r="G816" s="19" t="n"/>
      <c r="H816" s="23" t="n"/>
      <c r="I816" s="19" t="n"/>
      <c r="J816" s="23" t="n"/>
      <c r="K816" s="21" t="n"/>
      <c r="L816" s="24" t="n"/>
      <c r="M816" s="24" t="n"/>
      <c r="N816" s="24" t="n"/>
      <c r="O816" s="24" t="n"/>
      <c r="P816" s="25" t="n"/>
      <c r="Q816" s="23" t="n"/>
      <c r="R816" s="23" t="n"/>
      <c r="S816" s="26" t="n"/>
      <c r="T816" s="24" t="n"/>
      <c r="U816" s="24" t="n"/>
      <c r="V816" s="24" t="n"/>
      <c r="W816" s="26" t="n"/>
      <c r="X816" s="23" t="n"/>
      <c r="Y816" s="18" t="n"/>
      <c r="Z816" s="27" t="n"/>
      <c r="AA816" s="27" t="n"/>
      <c r="AB816" s="27" t="n"/>
      <c r="AC816" s="27" t="n"/>
      <c r="AD816" s="1" t="n"/>
      <c r="AE816" s="1" t="n"/>
      <c r="AF816" s="4" t="n"/>
      <c r="AG816" s="4" t="n"/>
    </row>
    <row r="817" ht="47.25" customHeight="1">
      <c r="A817" s="18" t="n"/>
      <c r="B817" s="19" t="n"/>
      <c r="C817" s="20" t="n"/>
      <c r="D817" s="44" t="n"/>
      <c r="E817" s="23" t="n"/>
      <c r="F817" s="19" t="n"/>
      <c r="G817" s="19" t="n"/>
      <c r="H817" s="23" t="n"/>
      <c r="I817" s="19" t="n"/>
      <c r="J817" s="23" t="n"/>
      <c r="K817" s="21" t="n"/>
      <c r="L817" s="24" t="n"/>
      <c r="M817" s="24" t="n"/>
      <c r="N817" s="24" t="n"/>
      <c r="O817" s="24" t="n"/>
      <c r="P817" s="25" t="n"/>
      <c r="Q817" s="23" t="n"/>
      <c r="R817" s="23" t="n"/>
      <c r="S817" s="26" t="n"/>
      <c r="T817" s="24" t="n"/>
      <c r="U817" s="24" t="n"/>
      <c r="V817" s="24" t="n"/>
      <c r="W817" s="26" t="n"/>
      <c r="X817" s="23" t="n"/>
      <c r="Y817" s="18" t="n"/>
      <c r="Z817" s="27" t="n"/>
      <c r="AA817" s="27" t="n"/>
      <c r="AB817" s="27" t="n"/>
      <c r="AC817" s="27" t="n"/>
      <c r="AD817" s="1" t="n"/>
      <c r="AE817" s="1" t="n"/>
      <c r="AF817" s="4" t="n"/>
      <c r="AG817" s="4" t="n"/>
    </row>
    <row r="818" ht="47.25" customHeight="1">
      <c r="A818" s="18" t="n"/>
      <c r="B818" s="19" t="n"/>
      <c r="C818" s="20" t="n"/>
      <c r="D818" s="44" t="n"/>
      <c r="E818" s="23" t="n"/>
      <c r="F818" s="19" t="n"/>
      <c r="G818" s="19" t="n"/>
      <c r="H818" s="23" t="n"/>
      <c r="I818" s="19" t="n"/>
      <c r="J818" s="23" t="n"/>
      <c r="K818" s="21" t="n"/>
      <c r="L818" s="24" t="n"/>
      <c r="M818" s="24" t="n"/>
      <c r="N818" s="24" t="n"/>
      <c r="O818" s="24" t="n"/>
      <c r="P818" s="25" t="n"/>
      <c r="Q818" s="23" t="n"/>
      <c r="R818" s="23" t="n"/>
      <c r="S818" s="26" t="n"/>
      <c r="T818" s="24" t="n"/>
      <c r="U818" s="24" t="n"/>
      <c r="V818" s="24" t="n"/>
      <c r="W818" s="26" t="n"/>
      <c r="X818" s="23" t="n"/>
      <c r="Y818" s="18" t="n"/>
      <c r="Z818" s="27" t="n"/>
      <c r="AA818" s="27" t="n"/>
      <c r="AB818" s="27" t="n"/>
      <c r="AC818" s="27" t="n"/>
      <c r="AD818" s="1" t="n"/>
      <c r="AE818" s="1" t="n"/>
      <c r="AF818" s="4" t="n"/>
      <c r="AG818" s="4" t="n"/>
    </row>
    <row r="819" ht="47.25" customHeight="1">
      <c r="A819" s="18" t="n"/>
      <c r="B819" s="19" t="n"/>
      <c r="C819" s="20" t="n"/>
      <c r="D819" s="44" t="n"/>
      <c r="E819" s="23" t="n"/>
      <c r="F819" s="19" t="n"/>
      <c r="G819" s="19" t="n"/>
      <c r="H819" s="23" t="n"/>
      <c r="I819" s="19" t="n"/>
      <c r="J819" s="23" t="n"/>
      <c r="K819" s="21" t="n"/>
      <c r="L819" s="24" t="n"/>
      <c r="M819" s="24" t="n"/>
      <c r="N819" s="24" t="n"/>
      <c r="O819" s="24" t="n"/>
      <c r="P819" s="25" t="n"/>
      <c r="Q819" s="23" t="n"/>
      <c r="R819" s="23" t="n"/>
      <c r="S819" s="26" t="n"/>
      <c r="T819" s="24" t="n"/>
      <c r="U819" s="24" t="n"/>
      <c r="V819" s="24" t="n"/>
      <c r="W819" s="26" t="n"/>
      <c r="X819" s="23" t="n"/>
      <c r="Y819" s="18" t="n"/>
      <c r="Z819" s="27" t="n"/>
      <c r="AA819" s="27" t="n"/>
      <c r="AB819" s="27" t="n"/>
      <c r="AC819" s="27" t="n"/>
      <c r="AD819" s="1" t="n"/>
      <c r="AE819" s="1" t="n"/>
      <c r="AF819" s="4" t="n"/>
      <c r="AG819" s="4" t="n"/>
    </row>
    <row r="820" ht="47.25" customHeight="1">
      <c r="A820" s="18" t="n"/>
      <c r="B820" s="19" t="n"/>
      <c r="C820" s="20" t="n"/>
      <c r="D820" s="44" t="n"/>
      <c r="E820" s="23" t="n"/>
      <c r="F820" s="19" t="n"/>
      <c r="G820" s="19" t="n"/>
      <c r="H820" s="23" t="n"/>
      <c r="I820" s="19" t="n"/>
      <c r="J820" s="23" t="n"/>
      <c r="K820" s="21" t="n"/>
      <c r="L820" s="24" t="n"/>
      <c r="M820" s="24" t="n"/>
      <c r="N820" s="24" t="n"/>
      <c r="O820" s="24" t="n"/>
      <c r="P820" s="25" t="n"/>
      <c r="Q820" s="23" t="n"/>
      <c r="R820" s="23" t="n"/>
      <c r="S820" s="26" t="n"/>
      <c r="T820" s="24" t="n"/>
      <c r="U820" s="24" t="n"/>
      <c r="V820" s="24" t="n"/>
      <c r="W820" s="26" t="n"/>
      <c r="X820" s="23" t="n"/>
      <c r="Y820" s="18" t="n"/>
      <c r="Z820" s="27" t="n"/>
      <c r="AA820" s="27" t="n"/>
      <c r="AB820" s="27" t="n"/>
      <c r="AC820" s="27" t="n"/>
      <c r="AD820" s="1" t="n"/>
      <c r="AE820" s="1" t="n"/>
      <c r="AF820" s="4" t="n"/>
      <c r="AG820" s="4" t="n"/>
    </row>
    <row r="821" ht="47.25" customHeight="1">
      <c r="A821" s="18" t="n"/>
      <c r="B821" s="19" t="n"/>
      <c r="C821" s="20" t="n"/>
      <c r="D821" s="44" t="n"/>
      <c r="E821" s="23" t="n"/>
      <c r="F821" s="19" t="n"/>
      <c r="G821" s="19" t="n"/>
      <c r="H821" s="23" t="n"/>
      <c r="I821" s="19" t="n"/>
      <c r="J821" s="23" t="n"/>
      <c r="K821" s="21" t="n"/>
      <c r="L821" s="24" t="n"/>
      <c r="M821" s="24" t="n"/>
      <c r="N821" s="24" t="n"/>
      <c r="O821" s="24" t="n"/>
      <c r="P821" s="25" t="n"/>
      <c r="Q821" s="23" t="n"/>
      <c r="R821" s="23" t="n"/>
      <c r="S821" s="26" t="n"/>
      <c r="T821" s="24" t="n"/>
      <c r="U821" s="24" t="n"/>
      <c r="V821" s="24" t="n"/>
      <c r="W821" s="26" t="n"/>
      <c r="X821" s="23" t="n"/>
      <c r="Y821" s="18" t="n"/>
      <c r="Z821" s="27" t="n"/>
      <c r="AA821" s="27" t="n"/>
      <c r="AB821" s="27" t="n"/>
      <c r="AC821" s="27" t="n"/>
      <c r="AD821" s="1" t="n"/>
      <c r="AE821" s="1" t="n"/>
      <c r="AF821" s="4" t="n"/>
      <c r="AG821" s="4" t="n"/>
    </row>
    <row r="822" ht="47.25" customHeight="1">
      <c r="A822" s="18" t="n"/>
      <c r="B822" s="19" t="n"/>
      <c r="C822" s="20" t="n"/>
      <c r="D822" s="44" t="n"/>
      <c r="E822" s="23" t="n"/>
      <c r="F822" s="19" t="n"/>
      <c r="G822" s="19" t="n"/>
      <c r="H822" s="23" t="n"/>
      <c r="I822" s="19" t="n"/>
      <c r="J822" s="23" t="n"/>
      <c r="K822" s="21" t="n"/>
      <c r="L822" s="24" t="n"/>
      <c r="M822" s="24" t="n"/>
      <c r="N822" s="24" t="n"/>
      <c r="O822" s="24" t="n"/>
      <c r="P822" s="25" t="n"/>
      <c r="Q822" s="23" t="n"/>
      <c r="R822" s="23" t="n"/>
      <c r="S822" s="26" t="n"/>
      <c r="T822" s="24" t="n"/>
      <c r="U822" s="24" t="n"/>
      <c r="V822" s="24" t="n"/>
      <c r="W822" s="26" t="n"/>
      <c r="X822" s="23" t="n"/>
      <c r="Y822" s="18" t="n"/>
      <c r="Z822" s="27" t="n"/>
      <c r="AA822" s="27" t="n"/>
      <c r="AB822" s="27" t="n"/>
      <c r="AC822" s="27" t="n"/>
      <c r="AD822" s="1" t="n"/>
      <c r="AE822" s="1" t="n"/>
      <c r="AF822" s="4" t="n"/>
      <c r="AG822" s="4" t="n"/>
    </row>
    <row r="823" ht="47.25" customHeight="1">
      <c r="A823" s="18" t="n"/>
      <c r="B823" s="19" t="n"/>
      <c r="C823" s="20" t="n"/>
      <c r="D823" s="44" t="n"/>
      <c r="E823" s="23" t="n"/>
      <c r="F823" s="19" t="n"/>
      <c r="G823" s="19" t="n"/>
      <c r="H823" s="23" t="n"/>
      <c r="I823" s="19" t="n"/>
      <c r="J823" s="23" t="n"/>
      <c r="K823" s="21" t="n"/>
      <c r="L823" s="24" t="n"/>
      <c r="M823" s="24" t="n"/>
      <c r="N823" s="24" t="n"/>
      <c r="O823" s="24" t="n"/>
      <c r="P823" s="25" t="n"/>
      <c r="Q823" s="23" t="n"/>
      <c r="R823" s="23" t="n"/>
      <c r="S823" s="26" t="n"/>
      <c r="T823" s="24" t="n"/>
      <c r="U823" s="24" t="n"/>
      <c r="V823" s="24" t="n"/>
      <c r="W823" s="26" t="n"/>
      <c r="X823" s="23" t="n"/>
      <c r="Y823" s="18" t="n"/>
      <c r="Z823" s="27" t="n"/>
      <c r="AA823" s="27" t="n"/>
      <c r="AB823" s="27" t="n"/>
      <c r="AC823" s="27" t="n"/>
      <c r="AD823" s="1" t="n"/>
      <c r="AE823" s="1" t="n"/>
      <c r="AF823" s="4" t="n"/>
      <c r="AG823" s="4" t="n"/>
    </row>
    <row r="824" ht="47.25" customHeight="1">
      <c r="A824" s="18" t="n"/>
      <c r="B824" s="19" t="n"/>
      <c r="C824" s="20" t="n"/>
      <c r="D824" s="44" t="n"/>
      <c r="E824" s="23" t="n"/>
      <c r="F824" s="19" t="n"/>
      <c r="G824" s="19" t="n"/>
      <c r="H824" s="23" t="n"/>
      <c r="I824" s="19" t="n"/>
      <c r="J824" s="23" t="n"/>
      <c r="K824" s="21" t="n"/>
      <c r="L824" s="24" t="n"/>
      <c r="M824" s="24" t="n"/>
      <c r="N824" s="24" t="n"/>
      <c r="O824" s="24" t="n"/>
      <c r="P824" s="25" t="n"/>
      <c r="Q824" s="23" t="n"/>
      <c r="R824" s="23" t="n"/>
      <c r="S824" s="26" t="n"/>
      <c r="T824" s="24" t="n"/>
      <c r="U824" s="24" t="n"/>
      <c r="V824" s="24" t="n"/>
      <c r="W824" s="26" t="n"/>
      <c r="X824" s="23" t="n"/>
      <c r="Y824" s="18" t="n"/>
      <c r="Z824" s="27" t="n"/>
      <c r="AA824" s="27" t="n"/>
      <c r="AB824" s="27" t="n"/>
      <c r="AC824" s="27" t="n"/>
      <c r="AD824" s="1" t="n"/>
      <c r="AE824" s="1" t="n"/>
      <c r="AF824" s="4" t="n"/>
      <c r="AG824" s="4" t="n"/>
    </row>
    <row r="825" ht="47.25" customHeight="1">
      <c r="A825" s="18" t="n"/>
      <c r="B825" s="19" t="n"/>
      <c r="C825" s="20" t="n"/>
      <c r="D825" s="44" t="n"/>
      <c r="E825" s="23" t="n"/>
      <c r="F825" s="19" t="n"/>
      <c r="G825" s="19" t="n"/>
      <c r="H825" s="23" t="n"/>
      <c r="I825" s="19" t="n"/>
      <c r="J825" s="23" t="n"/>
      <c r="K825" s="21" t="n"/>
      <c r="L825" s="24" t="n"/>
      <c r="M825" s="24" t="n"/>
      <c r="N825" s="24" t="n"/>
      <c r="O825" s="24" t="n"/>
      <c r="P825" s="25" t="n"/>
      <c r="Q825" s="23" t="n"/>
      <c r="R825" s="23" t="n"/>
      <c r="S825" s="26" t="n"/>
      <c r="T825" s="24" t="n"/>
      <c r="U825" s="24" t="n"/>
      <c r="V825" s="24" t="n"/>
      <c r="W825" s="26" t="n"/>
      <c r="X825" s="23" t="n"/>
      <c r="Y825" s="18" t="n"/>
      <c r="Z825" s="27" t="n"/>
      <c r="AA825" s="27" t="n"/>
      <c r="AB825" s="27" t="n"/>
      <c r="AC825" s="27" t="n"/>
      <c r="AD825" s="1" t="n"/>
      <c r="AE825" s="1" t="n"/>
      <c r="AF825" s="4" t="n"/>
      <c r="AG825" s="4" t="n"/>
    </row>
    <row r="826" ht="47.25" customHeight="1">
      <c r="A826" s="18" t="n"/>
      <c r="B826" s="19" t="n"/>
      <c r="C826" s="20" t="n"/>
      <c r="D826" s="44" t="n"/>
      <c r="E826" s="23" t="n"/>
      <c r="F826" s="19" t="n"/>
      <c r="G826" s="19" t="n"/>
      <c r="H826" s="23" t="n"/>
      <c r="I826" s="19" t="n"/>
      <c r="J826" s="23" t="n"/>
      <c r="K826" s="21" t="n"/>
      <c r="L826" s="24" t="n"/>
      <c r="M826" s="24" t="n"/>
      <c r="N826" s="24" t="n"/>
      <c r="O826" s="24" t="n"/>
      <c r="P826" s="25" t="n"/>
      <c r="Q826" s="23" t="n"/>
      <c r="R826" s="23" t="n"/>
      <c r="S826" s="26" t="n"/>
      <c r="T826" s="24" t="n"/>
      <c r="U826" s="24" t="n"/>
      <c r="V826" s="24" t="n"/>
      <c r="W826" s="26" t="n"/>
      <c r="X826" s="23" t="n"/>
      <c r="Y826" s="18" t="n"/>
      <c r="Z826" s="27" t="n"/>
      <c r="AA826" s="27" t="n"/>
      <c r="AB826" s="27" t="n"/>
      <c r="AC826" s="27" t="n"/>
      <c r="AD826" s="1" t="n"/>
      <c r="AE826" s="1" t="n"/>
      <c r="AF826" s="4" t="n"/>
      <c r="AG826" s="4" t="n"/>
    </row>
    <row r="827" ht="47.25" customHeight="1">
      <c r="A827" s="18" t="n"/>
      <c r="B827" s="19" t="n"/>
      <c r="C827" s="20" t="n"/>
      <c r="D827" s="44" t="n"/>
      <c r="E827" s="23" t="n"/>
      <c r="F827" s="19" t="n"/>
      <c r="G827" s="19" t="n"/>
      <c r="H827" s="23" t="n"/>
      <c r="I827" s="19" t="n"/>
      <c r="J827" s="23" t="n"/>
      <c r="K827" s="21" t="n"/>
      <c r="L827" s="24" t="n"/>
      <c r="M827" s="24" t="n"/>
      <c r="N827" s="24" t="n"/>
      <c r="O827" s="24" t="n"/>
      <c r="P827" s="25" t="n"/>
      <c r="Q827" s="23" t="n"/>
      <c r="R827" s="23" t="n"/>
      <c r="S827" s="26" t="n"/>
      <c r="T827" s="24" t="n"/>
      <c r="U827" s="24" t="n"/>
      <c r="V827" s="24" t="n"/>
      <c r="W827" s="26" t="n"/>
      <c r="X827" s="23" t="n"/>
      <c r="Y827" s="18" t="n"/>
      <c r="Z827" s="27" t="n"/>
      <c r="AA827" s="27" t="n"/>
      <c r="AB827" s="27" t="n"/>
      <c r="AC827" s="27" t="n"/>
      <c r="AD827" s="1" t="n"/>
      <c r="AE827" s="1" t="n"/>
      <c r="AF827" s="4" t="n"/>
      <c r="AG827" s="4" t="n"/>
    </row>
    <row r="828" ht="47.25" customHeight="1">
      <c r="A828" s="18" t="n"/>
      <c r="B828" s="19" t="n"/>
      <c r="C828" s="20" t="n"/>
      <c r="D828" s="44" t="n"/>
      <c r="E828" s="23" t="n"/>
      <c r="F828" s="19" t="n"/>
      <c r="G828" s="19" t="n"/>
      <c r="H828" s="23" t="n"/>
      <c r="I828" s="19" t="n"/>
      <c r="J828" s="23" t="n"/>
      <c r="K828" s="21" t="n"/>
      <c r="L828" s="24" t="n"/>
      <c r="M828" s="24" t="n"/>
      <c r="N828" s="24" t="n"/>
      <c r="O828" s="24" t="n"/>
      <c r="P828" s="25" t="n"/>
      <c r="Q828" s="23" t="n"/>
      <c r="R828" s="23" t="n"/>
      <c r="S828" s="26" t="n"/>
      <c r="T828" s="24" t="n"/>
      <c r="U828" s="24" t="n"/>
      <c r="V828" s="24" t="n"/>
      <c r="W828" s="26" t="n"/>
      <c r="X828" s="23" t="n"/>
      <c r="Y828" s="18" t="n"/>
      <c r="Z828" s="27" t="n"/>
      <c r="AA828" s="27" t="n"/>
      <c r="AB828" s="27" t="n"/>
      <c r="AC828" s="27" t="n"/>
      <c r="AD828" s="1" t="n"/>
      <c r="AE828" s="1" t="n"/>
      <c r="AF828" s="4" t="n"/>
      <c r="AG828" s="4" t="n"/>
    </row>
    <row r="829" ht="47.25" customHeight="1">
      <c r="A829" s="18" t="n"/>
      <c r="B829" s="19" t="n"/>
      <c r="C829" s="20" t="n"/>
      <c r="D829" s="44" t="n"/>
      <c r="E829" s="23" t="n"/>
      <c r="F829" s="19" t="n"/>
      <c r="G829" s="19" t="n"/>
      <c r="H829" s="23" t="n"/>
      <c r="I829" s="19" t="n"/>
      <c r="J829" s="23" t="n"/>
      <c r="K829" s="21" t="n"/>
      <c r="L829" s="24" t="n"/>
      <c r="M829" s="24" t="n"/>
      <c r="N829" s="24" t="n"/>
      <c r="O829" s="24" t="n"/>
      <c r="P829" s="25" t="n"/>
      <c r="Q829" s="23" t="n"/>
      <c r="R829" s="23" t="n"/>
      <c r="S829" s="26" t="n"/>
      <c r="T829" s="24" t="n"/>
      <c r="U829" s="24" t="n"/>
      <c r="V829" s="24" t="n"/>
      <c r="W829" s="26" t="n"/>
      <c r="X829" s="23" t="n"/>
      <c r="Y829" s="18" t="n"/>
      <c r="Z829" s="27" t="n"/>
      <c r="AA829" s="27" t="n"/>
      <c r="AB829" s="27" t="n"/>
      <c r="AC829" s="27" t="n"/>
      <c r="AD829" s="1" t="n"/>
      <c r="AE829" s="1" t="n"/>
      <c r="AF829" s="4" t="n"/>
      <c r="AG829" s="4" t="n"/>
    </row>
    <row r="830" ht="47.25" customHeight="1">
      <c r="A830" s="18" t="n"/>
      <c r="B830" s="19" t="n"/>
      <c r="C830" s="20" t="n"/>
      <c r="D830" s="44" t="n"/>
      <c r="E830" s="23" t="n"/>
      <c r="F830" s="19" t="n"/>
      <c r="G830" s="19" t="n"/>
      <c r="H830" s="23" t="n"/>
      <c r="I830" s="19" t="n"/>
      <c r="J830" s="23" t="n"/>
      <c r="K830" s="21" t="n"/>
      <c r="L830" s="24" t="n"/>
      <c r="M830" s="24" t="n"/>
      <c r="N830" s="24" t="n"/>
      <c r="O830" s="24" t="n"/>
      <c r="P830" s="25" t="n"/>
      <c r="Q830" s="23" t="n"/>
      <c r="R830" s="23" t="n"/>
      <c r="S830" s="26" t="n"/>
      <c r="T830" s="24" t="n"/>
      <c r="U830" s="24" t="n"/>
      <c r="V830" s="24" t="n"/>
      <c r="W830" s="26" t="n"/>
      <c r="X830" s="23" t="n"/>
      <c r="Y830" s="18" t="n"/>
      <c r="Z830" s="27" t="n"/>
      <c r="AA830" s="27" t="n"/>
      <c r="AB830" s="27" t="n"/>
      <c r="AC830" s="27" t="n"/>
      <c r="AD830" s="1" t="n"/>
      <c r="AE830" s="1" t="n"/>
      <c r="AF830" s="4" t="n"/>
      <c r="AG830" s="4" t="n"/>
    </row>
    <row r="831" ht="47.25" customHeight="1">
      <c r="A831" s="18" t="n"/>
      <c r="B831" s="19" t="n"/>
      <c r="C831" s="20" t="n"/>
      <c r="D831" s="44" t="n"/>
      <c r="E831" s="23" t="n"/>
      <c r="F831" s="19" t="n"/>
      <c r="G831" s="19" t="n"/>
      <c r="H831" s="23" t="n"/>
      <c r="I831" s="19" t="n"/>
      <c r="J831" s="23" t="n"/>
      <c r="K831" s="21" t="n"/>
      <c r="L831" s="24" t="n"/>
      <c r="M831" s="24" t="n"/>
      <c r="N831" s="24" t="n"/>
      <c r="O831" s="24" t="n"/>
      <c r="P831" s="25" t="n"/>
      <c r="Q831" s="23" t="n"/>
      <c r="R831" s="23" t="n"/>
      <c r="S831" s="26" t="n"/>
      <c r="T831" s="24" t="n"/>
      <c r="U831" s="24" t="n"/>
      <c r="V831" s="24" t="n"/>
      <c r="W831" s="26" t="n"/>
      <c r="X831" s="23" t="n"/>
      <c r="Y831" s="18" t="n"/>
      <c r="Z831" s="27" t="n"/>
      <c r="AA831" s="27" t="n"/>
      <c r="AB831" s="27" t="n"/>
      <c r="AC831" s="27" t="n"/>
      <c r="AD831" s="1" t="n"/>
      <c r="AE831" s="1" t="n"/>
      <c r="AF831" s="4" t="n"/>
      <c r="AG831" s="4" t="n"/>
    </row>
    <row r="832" ht="47.25" customHeight="1">
      <c r="A832" s="18" t="n"/>
      <c r="B832" s="19" t="n"/>
      <c r="C832" s="20" t="n"/>
      <c r="D832" s="44" t="n"/>
      <c r="E832" s="23" t="n"/>
      <c r="F832" s="19" t="n"/>
      <c r="G832" s="19" t="n"/>
      <c r="H832" s="23" t="n"/>
      <c r="I832" s="19" t="n"/>
      <c r="J832" s="23" t="n"/>
      <c r="K832" s="21" t="n"/>
      <c r="L832" s="24" t="n"/>
      <c r="M832" s="24" t="n"/>
      <c r="N832" s="24" t="n"/>
      <c r="O832" s="24" t="n"/>
      <c r="P832" s="25" t="n"/>
      <c r="Q832" s="23" t="n"/>
      <c r="R832" s="23" t="n"/>
      <c r="S832" s="26" t="n"/>
      <c r="T832" s="24" t="n"/>
      <c r="U832" s="24" t="n"/>
      <c r="V832" s="24" t="n"/>
      <c r="W832" s="26" t="n"/>
      <c r="X832" s="23" t="n"/>
      <c r="Y832" s="18" t="n"/>
      <c r="Z832" s="27" t="n"/>
      <c r="AA832" s="27" t="n"/>
      <c r="AB832" s="27" t="n"/>
      <c r="AC832" s="27" t="n"/>
      <c r="AD832" s="1" t="n"/>
      <c r="AE832" s="1" t="n"/>
      <c r="AF832" s="4" t="n"/>
      <c r="AG832" s="4" t="n"/>
    </row>
    <row r="833" ht="47.25" customHeight="1">
      <c r="A833" s="18" t="n"/>
      <c r="B833" s="19" t="n"/>
      <c r="C833" s="20" t="n"/>
      <c r="D833" s="44" t="n"/>
      <c r="E833" s="23" t="n"/>
      <c r="F833" s="19" t="n"/>
      <c r="G833" s="19" t="n"/>
      <c r="H833" s="23" t="n"/>
      <c r="I833" s="19" t="n"/>
      <c r="J833" s="23" t="n"/>
      <c r="K833" s="21" t="n"/>
      <c r="L833" s="24" t="n"/>
      <c r="M833" s="24" t="n"/>
      <c r="N833" s="24" t="n"/>
      <c r="O833" s="24" t="n"/>
      <c r="P833" s="25" t="n"/>
      <c r="Q833" s="23" t="n"/>
      <c r="R833" s="23" t="n"/>
      <c r="S833" s="26" t="n"/>
      <c r="T833" s="24" t="n"/>
      <c r="U833" s="24" t="n"/>
      <c r="V833" s="24" t="n"/>
      <c r="W833" s="26" t="n"/>
      <c r="X833" s="23" t="n"/>
      <c r="Y833" s="18" t="n"/>
      <c r="Z833" s="27" t="n"/>
      <c r="AA833" s="27" t="n"/>
      <c r="AB833" s="27" t="n"/>
      <c r="AC833" s="27" t="n"/>
      <c r="AD833" s="1" t="n"/>
      <c r="AE833" s="1" t="n"/>
      <c r="AF833" s="4" t="n"/>
      <c r="AG833" s="4" t="n"/>
    </row>
    <row r="834" ht="47.25" customHeight="1">
      <c r="A834" s="18" t="n"/>
      <c r="B834" s="19" t="n"/>
      <c r="C834" s="20" t="n"/>
      <c r="D834" s="44" t="n"/>
      <c r="E834" s="23" t="n"/>
      <c r="F834" s="19" t="n"/>
      <c r="G834" s="19" t="n"/>
      <c r="H834" s="23" t="n"/>
      <c r="I834" s="19" t="n"/>
      <c r="J834" s="23" t="n"/>
      <c r="K834" s="21" t="n"/>
      <c r="L834" s="24" t="n"/>
      <c r="M834" s="24" t="n"/>
      <c r="N834" s="24" t="n"/>
      <c r="O834" s="24" t="n"/>
      <c r="P834" s="25" t="n"/>
      <c r="Q834" s="23" t="n"/>
      <c r="R834" s="23" t="n"/>
      <c r="S834" s="26" t="n"/>
      <c r="T834" s="24" t="n"/>
      <c r="U834" s="24" t="n"/>
      <c r="V834" s="24" t="n"/>
      <c r="W834" s="26" t="n"/>
      <c r="X834" s="23" t="n"/>
      <c r="Y834" s="18" t="n"/>
      <c r="Z834" s="27" t="n"/>
      <c r="AA834" s="27" t="n"/>
      <c r="AB834" s="27" t="n"/>
      <c r="AC834" s="27" t="n"/>
      <c r="AD834" s="1" t="n"/>
      <c r="AE834" s="1" t="n"/>
      <c r="AF834" s="4" t="n"/>
      <c r="AG834" s="4" t="n"/>
    </row>
    <row r="835" ht="47.25" customHeight="1">
      <c r="A835" s="18" t="n"/>
      <c r="B835" s="19" t="n"/>
      <c r="C835" s="20" t="n"/>
      <c r="D835" s="44" t="n"/>
      <c r="E835" s="23" t="n"/>
      <c r="F835" s="19" t="n"/>
      <c r="G835" s="19" t="n"/>
      <c r="H835" s="23" t="n"/>
      <c r="I835" s="19" t="n"/>
      <c r="J835" s="23" t="n"/>
      <c r="K835" s="21" t="n"/>
      <c r="L835" s="24" t="n"/>
      <c r="M835" s="24" t="n"/>
      <c r="N835" s="24" t="n"/>
      <c r="O835" s="24" t="n"/>
      <c r="P835" s="25" t="n"/>
      <c r="Q835" s="23" t="n"/>
      <c r="R835" s="23" t="n"/>
      <c r="S835" s="26" t="n"/>
      <c r="T835" s="24" t="n"/>
      <c r="U835" s="24" t="n"/>
      <c r="V835" s="24" t="n"/>
      <c r="W835" s="26" t="n"/>
      <c r="X835" s="23" t="n"/>
      <c r="Y835" s="18" t="n"/>
      <c r="Z835" s="27" t="n"/>
      <c r="AA835" s="27" t="n"/>
      <c r="AB835" s="27" t="n"/>
      <c r="AC835" s="27" t="n"/>
      <c r="AD835" s="1" t="n"/>
      <c r="AE835" s="1" t="n"/>
      <c r="AF835" s="4" t="n"/>
      <c r="AG835" s="4" t="n"/>
    </row>
    <row r="836" ht="47.25" customHeight="1">
      <c r="A836" s="18" t="n"/>
      <c r="B836" s="19" t="n"/>
      <c r="C836" s="20" t="n"/>
      <c r="D836" s="44" t="n"/>
      <c r="E836" s="23" t="n"/>
      <c r="F836" s="19" t="n"/>
      <c r="G836" s="19" t="n"/>
      <c r="H836" s="23" t="n"/>
      <c r="I836" s="19" t="n"/>
      <c r="J836" s="23" t="n"/>
      <c r="K836" s="21" t="n"/>
      <c r="L836" s="24" t="n"/>
      <c r="M836" s="24" t="n"/>
      <c r="N836" s="24" t="n"/>
      <c r="O836" s="24" t="n"/>
      <c r="P836" s="25" t="n"/>
      <c r="Q836" s="23" t="n"/>
      <c r="R836" s="23" t="n"/>
      <c r="S836" s="26" t="n"/>
      <c r="T836" s="24" t="n"/>
      <c r="U836" s="24" t="n"/>
      <c r="V836" s="24" t="n"/>
      <c r="W836" s="26" t="n"/>
      <c r="X836" s="23" t="n"/>
      <c r="Y836" s="18" t="n"/>
      <c r="Z836" s="27" t="n"/>
      <c r="AA836" s="27" t="n"/>
      <c r="AB836" s="27" t="n"/>
      <c r="AC836" s="27" t="n"/>
      <c r="AD836" s="1" t="n"/>
      <c r="AE836" s="1" t="n"/>
      <c r="AF836" s="4" t="n"/>
      <c r="AG836" s="4" t="n"/>
    </row>
    <row r="837" ht="47.25" customHeight="1">
      <c r="A837" s="18" t="n"/>
      <c r="B837" s="19" t="n"/>
      <c r="C837" s="20" t="n"/>
      <c r="D837" s="44" t="n"/>
      <c r="E837" s="23" t="n"/>
      <c r="F837" s="19" t="n"/>
      <c r="G837" s="19" t="n"/>
      <c r="H837" s="23" t="n"/>
      <c r="I837" s="19" t="n"/>
      <c r="J837" s="23" t="n"/>
      <c r="K837" s="21" t="n"/>
      <c r="L837" s="24" t="n"/>
      <c r="M837" s="24" t="n"/>
      <c r="N837" s="24" t="n"/>
      <c r="O837" s="24" t="n"/>
      <c r="P837" s="25" t="n"/>
      <c r="Q837" s="23" t="n"/>
      <c r="R837" s="23" t="n"/>
      <c r="S837" s="26" t="n"/>
      <c r="T837" s="24" t="n"/>
      <c r="U837" s="24" t="n"/>
      <c r="V837" s="24" t="n"/>
      <c r="W837" s="26" t="n"/>
      <c r="X837" s="23" t="n"/>
      <c r="Y837" s="18" t="n"/>
      <c r="Z837" s="27" t="n"/>
      <c r="AA837" s="27" t="n"/>
      <c r="AB837" s="27" t="n"/>
      <c r="AC837" s="27" t="n"/>
      <c r="AD837" s="1" t="n"/>
      <c r="AE837" s="1" t="n"/>
      <c r="AF837" s="4" t="n"/>
      <c r="AG837" s="4" t="n"/>
    </row>
    <row r="838" ht="47.25" customHeight="1">
      <c r="A838" s="18" t="n"/>
      <c r="B838" s="19" t="n"/>
      <c r="C838" s="20" t="n"/>
      <c r="D838" s="44" t="n"/>
      <c r="E838" s="23" t="n"/>
      <c r="F838" s="19" t="n"/>
      <c r="G838" s="19" t="n"/>
      <c r="H838" s="23" t="n"/>
      <c r="I838" s="19" t="n"/>
      <c r="J838" s="23" t="n"/>
      <c r="K838" s="21" t="n"/>
      <c r="L838" s="24" t="n"/>
      <c r="M838" s="24" t="n"/>
      <c r="N838" s="24" t="n"/>
      <c r="O838" s="24" t="n"/>
      <c r="P838" s="25" t="n"/>
      <c r="Q838" s="23" t="n"/>
      <c r="R838" s="23" t="n"/>
      <c r="S838" s="26" t="n"/>
      <c r="T838" s="24" t="n"/>
      <c r="U838" s="24" t="n"/>
      <c r="V838" s="24" t="n"/>
      <c r="W838" s="26" t="n"/>
      <c r="X838" s="23" t="n"/>
      <c r="Y838" s="18" t="n"/>
      <c r="Z838" s="27" t="n"/>
      <c r="AA838" s="27" t="n"/>
      <c r="AB838" s="27" t="n"/>
      <c r="AC838" s="27" t="n"/>
      <c r="AD838" s="1" t="n"/>
      <c r="AE838" s="1" t="n"/>
      <c r="AF838" s="4" t="n"/>
      <c r="AG838" s="4" t="n"/>
    </row>
    <row r="839" ht="47.25" customHeight="1">
      <c r="A839" s="18" t="n"/>
      <c r="B839" s="19" t="n"/>
      <c r="C839" s="20" t="n"/>
      <c r="D839" s="44" t="n"/>
      <c r="E839" s="23" t="n"/>
      <c r="F839" s="19" t="n"/>
      <c r="G839" s="19" t="n"/>
      <c r="H839" s="23" t="n"/>
      <c r="I839" s="19" t="n"/>
      <c r="J839" s="23" t="n"/>
      <c r="K839" s="21" t="n"/>
      <c r="L839" s="24" t="n"/>
      <c r="M839" s="24" t="n"/>
      <c r="N839" s="24" t="n"/>
      <c r="O839" s="24" t="n"/>
      <c r="P839" s="25" t="n"/>
      <c r="Q839" s="23" t="n"/>
      <c r="R839" s="23" t="n"/>
      <c r="S839" s="26" t="n"/>
      <c r="T839" s="24" t="n"/>
      <c r="U839" s="24" t="n"/>
      <c r="V839" s="24" t="n"/>
      <c r="W839" s="26" t="n"/>
      <c r="X839" s="23" t="n"/>
      <c r="Y839" s="18" t="n"/>
      <c r="Z839" s="27" t="n"/>
      <c r="AA839" s="27" t="n"/>
      <c r="AB839" s="27" t="n"/>
      <c r="AC839" s="27" t="n"/>
      <c r="AD839" s="1" t="n"/>
      <c r="AE839" s="1" t="n"/>
      <c r="AF839" s="4" t="n"/>
      <c r="AG839" s="4" t="n"/>
    </row>
    <row r="840" ht="47.25" customHeight="1">
      <c r="A840" s="18" t="n"/>
      <c r="B840" s="19" t="n"/>
      <c r="C840" s="20" t="n"/>
      <c r="D840" s="44" t="n"/>
      <c r="E840" s="23" t="n"/>
      <c r="F840" s="19" t="n"/>
      <c r="G840" s="19" t="n"/>
      <c r="H840" s="23" t="n"/>
      <c r="I840" s="19" t="n"/>
      <c r="J840" s="23" t="n"/>
      <c r="K840" s="21" t="n"/>
      <c r="L840" s="24" t="n"/>
      <c r="M840" s="24" t="n"/>
      <c r="N840" s="24" t="n"/>
      <c r="O840" s="24" t="n"/>
      <c r="P840" s="25" t="n"/>
      <c r="Q840" s="23" t="n"/>
      <c r="R840" s="23" t="n"/>
      <c r="S840" s="26" t="n"/>
      <c r="T840" s="24" t="n"/>
      <c r="U840" s="24" t="n"/>
      <c r="V840" s="24" t="n"/>
      <c r="W840" s="26" t="n"/>
      <c r="X840" s="23" t="n"/>
      <c r="Y840" s="18" t="n"/>
      <c r="Z840" s="27" t="n"/>
      <c r="AA840" s="27" t="n"/>
      <c r="AB840" s="27" t="n"/>
      <c r="AC840" s="27" t="n"/>
      <c r="AD840" s="1" t="n"/>
      <c r="AE840" s="1" t="n"/>
      <c r="AF840" s="4" t="n"/>
      <c r="AG840" s="4" t="n"/>
    </row>
    <row r="841" ht="47.25" customHeight="1">
      <c r="A841" s="18" t="n"/>
      <c r="B841" s="19" t="n"/>
      <c r="C841" s="20" t="n"/>
      <c r="D841" s="44" t="n"/>
      <c r="E841" s="23" t="n"/>
      <c r="F841" s="19" t="n"/>
      <c r="G841" s="19" t="n"/>
      <c r="H841" s="23" t="n"/>
      <c r="I841" s="19" t="n"/>
      <c r="J841" s="23" t="n"/>
      <c r="K841" s="21" t="n"/>
      <c r="L841" s="24" t="n"/>
      <c r="M841" s="24" t="n"/>
      <c r="N841" s="24" t="n"/>
      <c r="O841" s="24" t="n"/>
      <c r="P841" s="25" t="n"/>
      <c r="Q841" s="23" t="n"/>
      <c r="R841" s="23" t="n"/>
      <c r="S841" s="26" t="n"/>
      <c r="T841" s="24" t="n"/>
      <c r="U841" s="24" t="n"/>
      <c r="V841" s="24" t="n"/>
      <c r="W841" s="26" t="n"/>
      <c r="X841" s="23" t="n"/>
      <c r="Y841" s="18" t="n"/>
      <c r="Z841" s="27" t="n"/>
      <c r="AA841" s="27" t="n"/>
      <c r="AB841" s="27" t="n"/>
      <c r="AC841" s="27" t="n"/>
      <c r="AD841" s="1" t="n"/>
      <c r="AE841" s="1" t="n"/>
      <c r="AF841" s="4" t="n"/>
      <c r="AG841" s="4" t="n"/>
    </row>
    <row r="842" ht="47.25" customHeight="1">
      <c r="A842" s="18" t="n"/>
      <c r="B842" s="19" t="n"/>
      <c r="C842" s="20" t="n"/>
      <c r="D842" s="44" t="n"/>
      <c r="E842" s="23" t="n"/>
      <c r="F842" s="19" t="n"/>
      <c r="G842" s="19" t="n"/>
      <c r="H842" s="23" t="n"/>
      <c r="I842" s="19" t="n"/>
      <c r="J842" s="23" t="n"/>
      <c r="K842" s="21" t="n"/>
      <c r="L842" s="24" t="n"/>
      <c r="M842" s="24" t="n"/>
      <c r="N842" s="24" t="n"/>
      <c r="O842" s="24" t="n"/>
      <c r="P842" s="25" t="n"/>
      <c r="Q842" s="23" t="n"/>
      <c r="R842" s="23" t="n"/>
      <c r="S842" s="26" t="n"/>
      <c r="T842" s="24" t="n"/>
      <c r="U842" s="24" t="n"/>
      <c r="V842" s="24" t="n"/>
      <c r="W842" s="26" t="n"/>
      <c r="X842" s="23" t="n"/>
      <c r="Y842" s="18" t="n"/>
      <c r="Z842" s="27" t="n"/>
      <c r="AA842" s="27" t="n"/>
      <c r="AB842" s="27" t="n"/>
      <c r="AC842" s="27" t="n"/>
      <c r="AD842" s="1" t="n"/>
      <c r="AE842" s="1" t="n"/>
      <c r="AF842" s="4" t="n"/>
      <c r="AG842" s="4" t="n"/>
    </row>
    <row r="843" ht="47.25" customHeight="1">
      <c r="A843" s="18" t="n"/>
      <c r="B843" s="19" t="n"/>
      <c r="C843" s="20" t="n"/>
      <c r="D843" s="44" t="n"/>
      <c r="E843" s="23" t="n"/>
      <c r="F843" s="19" t="n"/>
      <c r="G843" s="19" t="n"/>
      <c r="H843" s="23" t="n"/>
      <c r="I843" s="19" t="n"/>
      <c r="J843" s="23" t="n"/>
      <c r="K843" s="21" t="n"/>
      <c r="L843" s="24" t="n"/>
      <c r="M843" s="24" t="n"/>
      <c r="N843" s="24" t="n"/>
      <c r="O843" s="24" t="n"/>
      <c r="P843" s="25" t="n"/>
      <c r="Q843" s="23" t="n"/>
      <c r="R843" s="23" t="n"/>
      <c r="S843" s="26" t="n"/>
      <c r="T843" s="24" t="n"/>
      <c r="U843" s="24" t="n"/>
      <c r="V843" s="24" t="n"/>
      <c r="W843" s="26" t="n"/>
      <c r="X843" s="23" t="n"/>
      <c r="Y843" s="18" t="n"/>
      <c r="Z843" s="27" t="n"/>
      <c r="AA843" s="27" t="n"/>
      <c r="AB843" s="27" t="n"/>
      <c r="AC843" s="27" t="n"/>
      <c r="AD843" s="1" t="n"/>
      <c r="AE843" s="1" t="n"/>
      <c r="AF843" s="4" t="n"/>
      <c r="AG843" s="4" t="n"/>
    </row>
    <row r="844" ht="47.25" customHeight="1">
      <c r="A844" s="18" t="n"/>
      <c r="B844" s="19" t="n"/>
      <c r="C844" s="20" t="n"/>
      <c r="D844" s="44" t="n"/>
      <c r="E844" s="23" t="n"/>
      <c r="F844" s="19" t="n"/>
      <c r="G844" s="19" t="n"/>
      <c r="H844" s="23" t="n"/>
      <c r="I844" s="19" t="n"/>
      <c r="J844" s="23" t="n"/>
      <c r="K844" s="21" t="n"/>
      <c r="L844" s="24" t="n"/>
      <c r="M844" s="24" t="n"/>
      <c r="N844" s="24" t="n"/>
      <c r="O844" s="24" t="n"/>
      <c r="P844" s="25" t="n"/>
      <c r="Q844" s="23" t="n"/>
      <c r="R844" s="23" t="n"/>
      <c r="S844" s="26" t="n"/>
      <c r="T844" s="24" t="n"/>
      <c r="U844" s="24" t="n"/>
      <c r="V844" s="24" t="n"/>
      <c r="W844" s="26" t="n"/>
      <c r="X844" s="23" t="n"/>
      <c r="Y844" s="18" t="n"/>
      <c r="Z844" s="27" t="n"/>
      <c r="AA844" s="27" t="n"/>
      <c r="AB844" s="27" t="n"/>
      <c r="AC844" s="27" t="n"/>
      <c r="AD844" s="1" t="n"/>
      <c r="AE844" s="1" t="n"/>
      <c r="AF844" s="4" t="n"/>
      <c r="AG844" s="4" t="n"/>
    </row>
    <row r="845" ht="47.25" customHeight="1">
      <c r="A845" s="18" t="n"/>
      <c r="B845" s="19" t="n"/>
      <c r="C845" s="20" t="n"/>
      <c r="D845" s="44" t="n"/>
      <c r="E845" s="23" t="n"/>
      <c r="F845" s="19" t="n"/>
      <c r="G845" s="19" t="n"/>
      <c r="H845" s="23" t="n"/>
      <c r="I845" s="19" t="n"/>
      <c r="J845" s="23" t="n"/>
      <c r="K845" s="21" t="n"/>
      <c r="L845" s="24" t="n"/>
      <c r="M845" s="24" t="n"/>
      <c r="N845" s="24" t="n"/>
      <c r="O845" s="24" t="n"/>
      <c r="P845" s="25" t="n"/>
      <c r="Q845" s="23" t="n"/>
      <c r="R845" s="23" t="n"/>
      <c r="S845" s="26" t="n"/>
      <c r="T845" s="24" t="n"/>
      <c r="U845" s="24" t="n"/>
      <c r="V845" s="24" t="n"/>
      <c r="W845" s="26" t="n"/>
      <c r="X845" s="23" t="n"/>
      <c r="Y845" s="18" t="n"/>
      <c r="Z845" s="27" t="n"/>
      <c r="AA845" s="27" t="n"/>
      <c r="AB845" s="27" t="n"/>
      <c r="AC845" s="27" t="n"/>
      <c r="AD845" s="1" t="n"/>
      <c r="AE845" s="1" t="n"/>
      <c r="AF845" s="4" t="n"/>
      <c r="AG845" s="4" t="n"/>
    </row>
    <row r="846" ht="47.25" customHeight="1">
      <c r="A846" s="18" t="n"/>
      <c r="B846" s="19" t="n"/>
      <c r="C846" s="20" t="n"/>
      <c r="D846" s="44" t="n"/>
      <c r="E846" s="23" t="n"/>
      <c r="F846" s="19" t="n"/>
      <c r="G846" s="19" t="n"/>
      <c r="H846" s="23" t="n"/>
      <c r="I846" s="19" t="n"/>
      <c r="J846" s="23" t="n"/>
      <c r="K846" s="21" t="n"/>
      <c r="L846" s="24" t="n"/>
      <c r="M846" s="24" t="n"/>
      <c r="N846" s="24" t="n"/>
      <c r="O846" s="24" t="n"/>
      <c r="P846" s="25" t="n"/>
      <c r="Q846" s="23" t="n"/>
      <c r="R846" s="23" t="n"/>
      <c r="S846" s="26" t="n"/>
      <c r="T846" s="24" t="n"/>
      <c r="U846" s="24" t="n"/>
      <c r="V846" s="24" t="n"/>
      <c r="W846" s="26" t="n"/>
      <c r="X846" s="23" t="n"/>
      <c r="Y846" s="18" t="n"/>
      <c r="Z846" s="27" t="n"/>
      <c r="AA846" s="27" t="n"/>
      <c r="AB846" s="27" t="n"/>
      <c r="AC846" s="27" t="n"/>
      <c r="AD846" s="1" t="n"/>
      <c r="AE846" s="1" t="n"/>
      <c r="AF846" s="4" t="n"/>
      <c r="AG846" s="4" t="n"/>
    </row>
    <row r="847" ht="47.25" customHeight="1">
      <c r="A847" s="18" t="n"/>
      <c r="B847" s="19" t="n"/>
      <c r="C847" s="20" t="n"/>
      <c r="D847" s="44" t="n"/>
      <c r="E847" s="23" t="n"/>
      <c r="F847" s="19" t="n"/>
      <c r="G847" s="19" t="n"/>
      <c r="H847" s="23" t="n"/>
      <c r="I847" s="19" t="n"/>
      <c r="J847" s="23" t="n"/>
      <c r="K847" s="21" t="n"/>
      <c r="L847" s="24" t="n"/>
      <c r="M847" s="24" t="n"/>
      <c r="N847" s="24" t="n"/>
      <c r="O847" s="24" t="n"/>
      <c r="P847" s="25" t="n"/>
      <c r="Q847" s="23" t="n"/>
      <c r="R847" s="23" t="n"/>
      <c r="S847" s="26" t="n"/>
      <c r="T847" s="24" t="n"/>
      <c r="U847" s="24" t="n"/>
      <c r="V847" s="24" t="n"/>
      <c r="W847" s="26" t="n"/>
      <c r="X847" s="23" t="n"/>
      <c r="Y847" s="18" t="n"/>
      <c r="Z847" s="27" t="n"/>
      <c r="AA847" s="27" t="n"/>
      <c r="AB847" s="27" t="n"/>
      <c r="AC847" s="27" t="n"/>
      <c r="AD847" s="1" t="n"/>
      <c r="AE847" s="1" t="n"/>
      <c r="AF847" s="4" t="n"/>
      <c r="AG847" s="4" t="n"/>
    </row>
    <row r="848" ht="47.25" customHeight="1">
      <c r="A848" s="18" t="n"/>
      <c r="B848" s="19" t="n"/>
      <c r="C848" s="20" t="n"/>
      <c r="D848" s="44" t="n"/>
      <c r="E848" s="23" t="n"/>
      <c r="F848" s="19" t="n"/>
      <c r="G848" s="19" t="n"/>
      <c r="H848" s="23" t="n"/>
      <c r="I848" s="19" t="n"/>
      <c r="J848" s="23" t="n"/>
      <c r="K848" s="21" t="n"/>
      <c r="L848" s="24" t="n"/>
      <c r="M848" s="24" t="n"/>
      <c r="N848" s="24" t="n"/>
      <c r="O848" s="24" t="n"/>
      <c r="P848" s="25" t="n"/>
      <c r="Q848" s="23" t="n"/>
      <c r="R848" s="23" t="n"/>
      <c r="S848" s="26" t="n"/>
      <c r="T848" s="24" t="n"/>
      <c r="U848" s="24" t="n"/>
      <c r="V848" s="24" t="n"/>
      <c r="W848" s="26" t="n"/>
      <c r="X848" s="23" t="n"/>
      <c r="Y848" s="18" t="n"/>
      <c r="Z848" s="27" t="n"/>
      <c r="AA848" s="27" t="n"/>
      <c r="AB848" s="27" t="n"/>
      <c r="AC848" s="27" t="n"/>
      <c r="AD848" s="1" t="n"/>
      <c r="AE848" s="1" t="n"/>
      <c r="AF848" s="4" t="n"/>
      <c r="AG848" s="4" t="n"/>
    </row>
    <row r="849" ht="47.25" customHeight="1">
      <c r="A849" s="18" t="n"/>
      <c r="B849" s="19" t="n"/>
      <c r="C849" s="20" t="n"/>
      <c r="D849" s="44" t="n"/>
      <c r="E849" s="23" t="n"/>
      <c r="F849" s="19" t="n"/>
      <c r="G849" s="19" t="n"/>
      <c r="H849" s="23" t="n"/>
      <c r="I849" s="19" t="n"/>
      <c r="J849" s="23" t="n"/>
      <c r="K849" s="21" t="n"/>
      <c r="L849" s="24" t="n"/>
      <c r="M849" s="24" t="n"/>
      <c r="N849" s="24" t="n"/>
      <c r="O849" s="24" t="n"/>
      <c r="P849" s="25" t="n"/>
      <c r="Q849" s="23" t="n"/>
      <c r="R849" s="23" t="n"/>
      <c r="S849" s="26" t="n"/>
      <c r="T849" s="24" t="n"/>
      <c r="U849" s="24" t="n"/>
      <c r="V849" s="24" t="n"/>
      <c r="W849" s="26" t="n"/>
      <c r="X849" s="23" t="n"/>
      <c r="Y849" s="18" t="n"/>
      <c r="Z849" s="27" t="n"/>
      <c r="AA849" s="27" t="n"/>
      <c r="AB849" s="27" t="n"/>
      <c r="AC849" s="27" t="n"/>
      <c r="AD849" s="1" t="n"/>
      <c r="AE849" s="1" t="n"/>
      <c r="AF849" s="4" t="n"/>
      <c r="AG849" s="4" t="n"/>
    </row>
    <row r="850" ht="47.25" customHeight="1">
      <c r="A850" s="18" t="n"/>
      <c r="B850" s="19" t="n"/>
      <c r="C850" s="20" t="n"/>
      <c r="D850" s="44" t="n"/>
      <c r="E850" s="23" t="n"/>
      <c r="F850" s="19" t="n"/>
      <c r="G850" s="19" t="n"/>
      <c r="H850" s="23" t="n"/>
      <c r="I850" s="19" t="n"/>
      <c r="J850" s="23" t="n"/>
      <c r="K850" s="21" t="n"/>
      <c r="L850" s="24" t="n"/>
      <c r="M850" s="24" t="n"/>
      <c r="N850" s="24" t="n"/>
      <c r="O850" s="24" t="n"/>
      <c r="P850" s="25" t="n"/>
      <c r="Q850" s="23" t="n"/>
      <c r="R850" s="23" t="n"/>
      <c r="S850" s="26" t="n"/>
      <c r="T850" s="24" t="n"/>
      <c r="U850" s="24" t="n"/>
      <c r="V850" s="24" t="n"/>
      <c r="W850" s="26" t="n"/>
      <c r="X850" s="23" t="n"/>
      <c r="Y850" s="18" t="n"/>
      <c r="Z850" s="27" t="n"/>
      <c r="AA850" s="27" t="n"/>
      <c r="AB850" s="27" t="n"/>
      <c r="AC850" s="27" t="n"/>
      <c r="AD850" s="1" t="n"/>
      <c r="AE850" s="1" t="n"/>
      <c r="AF850" s="4" t="n"/>
      <c r="AG850" s="4" t="n"/>
    </row>
    <row r="851" ht="47.25" customHeight="1">
      <c r="A851" s="18" t="n"/>
      <c r="B851" s="19" t="n"/>
      <c r="C851" s="20" t="n"/>
      <c r="D851" s="44" t="n"/>
      <c r="E851" s="23" t="n"/>
      <c r="F851" s="19" t="n"/>
      <c r="G851" s="19" t="n"/>
      <c r="H851" s="23" t="n"/>
      <c r="I851" s="19" t="n"/>
      <c r="J851" s="23" t="n"/>
      <c r="K851" s="21" t="n"/>
      <c r="L851" s="24" t="n"/>
      <c r="M851" s="24" t="n"/>
      <c r="N851" s="24" t="n"/>
      <c r="O851" s="24" t="n"/>
      <c r="P851" s="25" t="n"/>
      <c r="Q851" s="23" t="n"/>
      <c r="R851" s="23" t="n"/>
      <c r="S851" s="26" t="n"/>
      <c r="T851" s="24" t="n"/>
      <c r="U851" s="24" t="n"/>
      <c r="V851" s="24" t="n"/>
      <c r="W851" s="26" t="n"/>
      <c r="X851" s="23" t="n"/>
      <c r="Y851" s="18" t="n"/>
      <c r="Z851" s="27" t="n"/>
      <c r="AA851" s="27" t="n"/>
      <c r="AB851" s="27" t="n"/>
      <c r="AC851" s="27" t="n"/>
      <c r="AD851" s="1" t="n"/>
      <c r="AE851" s="1" t="n"/>
      <c r="AF851" s="4" t="n"/>
      <c r="AG851" s="4" t="n"/>
    </row>
    <row r="852" ht="47.25" customHeight="1">
      <c r="A852" s="18" t="n"/>
      <c r="B852" s="19" t="n"/>
      <c r="C852" s="20" t="n"/>
      <c r="D852" s="44" t="n"/>
      <c r="E852" s="23" t="n"/>
      <c r="F852" s="19" t="n"/>
      <c r="G852" s="19" t="n"/>
      <c r="H852" s="23" t="n"/>
      <c r="I852" s="19" t="n"/>
      <c r="J852" s="23" t="n"/>
      <c r="K852" s="21" t="n"/>
      <c r="L852" s="24" t="n"/>
      <c r="M852" s="24" t="n"/>
      <c r="N852" s="24" t="n"/>
      <c r="O852" s="24" t="n"/>
      <c r="P852" s="25" t="n"/>
      <c r="Q852" s="23" t="n"/>
      <c r="R852" s="23" t="n"/>
      <c r="S852" s="26" t="n"/>
      <c r="T852" s="24" t="n"/>
      <c r="U852" s="24" t="n"/>
      <c r="V852" s="24" t="n"/>
      <c r="W852" s="26" t="n"/>
      <c r="X852" s="23" t="n"/>
      <c r="Y852" s="18" t="n"/>
      <c r="Z852" s="27" t="n"/>
      <c r="AA852" s="27" t="n"/>
      <c r="AB852" s="27" t="n"/>
      <c r="AC852" s="27" t="n"/>
      <c r="AD852" s="1" t="n"/>
      <c r="AE852" s="1" t="n"/>
      <c r="AF852" s="4" t="n"/>
      <c r="AG852" s="4" t="n"/>
    </row>
    <row r="853" ht="47.25" customHeight="1">
      <c r="A853" s="18" t="n"/>
      <c r="B853" s="19" t="n"/>
      <c r="C853" s="20" t="n"/>
      <c r="D853" s="44" t="n"/>
      <c r="E853" s="23" t="n"/>
      <c r="F853" s="19" t="n"/>
      <c r="G853" s="19" t="n"/>
      <c r="H853" s="23" t="n"/>
      <c r="I853" s="19" t="n"/>
      <c r="J853" s="23" t="n"/>
      <c r="K853" s="21" t="n"/>
      <c r="L853" s="24" t="n"/>
      <c r="M853" s="24" t="n"/>
      <c r="N853" s="24" t="n"/>
      <c r="O853" s="24" t="n"/>
      <c r="P853" s="25" t="n"/>
      <c r="Q853" s="23" t="n"/>
      <c r="R853" s="23" t="n"/>
      <c r="S853" s="26" t="n"/>
      <c r="T853" s="24" t="n"/>
      <c r="U853" s="24" t="n"/>
      <c r="V853" s="24" t="n"/>
      <c r="W853" s="26" t="n"/>
      <c r="X853" s="23" t="n"/>
      <c r="Y853" s="18" t="n"/>
      <c r="Z853" s="27" t="n"/>
      <c r="AA853" s="27" t="n"/>
      <c r="AB853" s="27" t="n"/>
      <c r="AC853" s="27" t="n"/>
      <c r="AD853" s="1" t="n"/>
      <c r="AE853" s="1" t="n"/>
      <c r="AF853" s="4" t="n"/>
      <c r="AG853" s="4" t="n"/>
    </row>
    <row r="854" ht="47.25" customHeight="1">
      <c r="A854" s="18" t="n"/>
      <c r="B854" s="19" t="n"/>
      <c r="C854" s="20" t="n"/>
      <c r="D854" s="44" t="n"/>
      <c r="E854" s="23" t="n"/>
      <c r="F854" s="19" t="n"/>
      <c r="G854" s="19" t="n"/>
      <c r="H854" s="23" t="n"/>
      <c r="I854" s="19" t="n"/>
      <c r="J854" s="23" t="n"/>
      <c r="K854" s="21" t="n"/>
      <c r="L854" s="24" t="n"/>
      <c r="M854" s="24" t="n"/>
      <c r="N854" s="24" t="n"/>
      <c r="O854" s="24" t="n"/>
      <c r="P854" s="25" t="n"/>
      <c r="Q854" s="23" t="n"/>
      <c r="R854" s="23" t="n"/>
      <c r="S854" s="26" t="n"/>
      <c r="T854" s="24" t="n"/>
      <c r="U854" s="24" t="n"/>
      <c r="V854" s="24" t="n"/>
      <c r="W854" s="26" t="n"/>
      <c r="X854" s="23" t="n"/>
      <c r="Y854" s="18" t="n"/>
      <c r="Z854" s="27" t="n"/>
      <c r="AA854" s="27" t="n"/>
      <c r="AB854" s="27" t="n"/>
      <c r="AC854" s="27" t="n"/>
      <c r="AD854" s="1" t="n"/>
      <c r="AE854" s="1" t="n"/>
      <c r="AF854" s="4" t="n"/>
      <c r="AG854" s="4" t="n"/>
    </row>
    <row r="855" ht="47.25" customHeight="1">
      <c r="A855" s="18" t="n"/>
      <c r="B855" s="19" t="n"/>
      <c r="C855" s="20" t="n"/>
      <c r="D855" s="44" t="n"/>
      <c r="E855" s="23" t="n"/>
      <c r="F855" s="19" t="n"/>
      <c r="G855" s="19" t="n"/>
      <c r="H855" s="23" t="n"/>
      <c r="I855" s="19" t="n"/>
      <c r="J855" s="23" t="n"/>
      <c r="K855" s="21" t="n"/>
      <c r="L855" s="24" t="n"/>
      <c r="M855" s="24" t="n"/>
      <c r="N855" s="24" t="n"/>
      <c r="O855" s="24" t="n"/>
      <c r="P855" s="25" t="n"/>
      <c r="Q855" s="23" t="n"/>
      <c r="R855" s="23" t="n"/>
      <c r="S855" s="26" t="n"/>
      <c r="T855" s="24" t="n"/>
      <c r="U855" s="24" t="n"/>
      <c r="V855" s="24" t="n"/>
      <c r="W855" s="26" t="n"/>
      <c r="X855" s="23" t="n"/>
      <c r="Y855" s="18" t="n"/>
      <c r="Z855" s="27" t="n"/>
      <c r="AA855" s="27" t="n"/>
      <c r="AB855" s="27" t="n"/>
      <c r="AC855" s="27" t="n"/>
      <c r="AD855" s="1" t="n"/>
      <c r="AE855" s="1" t="n"/>
      <c r="AF855" s="4" t="n"/>
      <c r="AG855" s="4" t="n"/>
    </row>
    <row r="856" ht="47.25" customHeight="1">
      <c r="A856" s="18" t="n"/>
      <c r="B856" s="19" t="n"/>
      <c r="C856" s="20" t="n"/>
      <c r="D856" s="44" t="n"/>
      <c r="E856" s="23" t="n"/>
      <c r="F856" s="19" t="n"/>
      <c r="G856" s="19" t="n"/>
      <c r="H856" s="23" t="n"/>
      <c r="I856" s="19" t="n"/>
      <c r="J856" s="23" t="n"/>
      <c r="K856" s="21" t="n"/>
      <c r="L856" s="24" t="n"/>
      <c r="M856" s="24" t="n"/>
      <c r="N856" s="24" t="n"/>
      <c r="O856" s="24" t="n"/>
      <c r="P856" s="25" t="n"/>
      <c r="Q856" s="23" t="n"/>
      <c r="R856" s="23" t="n"/>
      <c r="S856" s="26" t="n"/>
      <c r="T856" s="24" t="n"/>
      <c r="U856" s="24" t="n"/>
      <c r="V856" s="24" t="n"/>
      <c r="W856" s="26" t="n"/>
      <c r="X856" s="23" t="n"/>
      <c r="Y856" s="18" t="n"/>
      <c r="Z856" s="27" t="n"/>
      <c r="AA856" s="27" t="n"/>
      <c r="AB856" s="27" t="n"/>
      <c r="AC856" s="27" t="n"/>
      <c r="AD856" s="1" t="n"/>
      <c r="AE856" s="1" t="n"/>
      <c r="AF856" s="4" t="n"/>
      <c r="AG856" s="4" t="n"/>
    </row>
    <row r="857" ht="47.25" customHeight="1">
      <c r="A857" s="18" t="n"/>
      <c r="B857" s="19" t="n"/>
      <c r="C857" s="20" t="n"/>
      <c r="D857" s="44" t="n"/>
      <c r="E857" s="23" t="n"/>
      <c r="F857" s="19" t="n"/>
      <c r="G857" s="19" t="n"/>
      <c r="H857" s="23" t="n"/>
      <c r="I857" s="19" t="n"/>
      <c r="J857" s="23" t="n"/>
      <c r="K857" s="21" t="n"/>
      <c r="L857" s="24" t="n"/>
      <c r="M857" s="24" t="n"/>
      <c r="N857" s="24" t="n"/>
      <c r="O857" s="24" t="n"/>
      <c r="P857" s="25" t="n"/>
      <c r="Q857" s="23" t="n"/>
      <c r="R857" s="23" t="n"/>
      <c r="S857" s="26" t="n"/>
      <c r="T857" s="24" t="n"/>
      <c r="U857" s="24" t="n"/>
      <c r="V857" s="24" t="n"/>
      <c r="W857" s="26" t="n"/>
      <c r="X857" s="23" t="n"/>
      <c r="Y857" s="18" t="n"/>
      <c r="Z857" s="27" t="n"/>
      <c r="AA857" s="27" t="n"/>
      <c r="AB857" s="27" t="n"/>
      <c r="AC857" s="27" t="n"/>
      <c r="AD857" s="1" t="n"/>
      <c r="AE857" s="1" t="n"/>
      <c r="AF857" s="4" t="n"/>
      <c r="AG857" s="4" t="n"/>
    </row>
    <row r="858" ht="47.25" customHeight="1">
      <c r="A858" s="18" t="n"/>
      <c r="B858" s="19" t="n"/>
      <c r="C858" s="20" t="n"/>
      <c r="D858" s="44" t="n"/>
      <c r="E858" s="23" t="n"/>
      <c r="F858" s="19" t="n"/>
      <c r="G858" s="19" t="n"/>
      <c r="H858" s="23" t="n"/>
      <c r="I858" s="19" t="n"/>
      <c r="J858" s="23" t="n"/>
      <c r="K858" s="21" t="n"/>
      <c r="L858" s="24" t="n"/>
      <c r="M858" s="24" t="n"/>
      <c r="N858" s="24" t="n"/>
      <c r="O858" s="24" t="n"/>
      <c r="P858" s="25" t="n"/>
      <c r="Q858" s="23" t="n"/>
      <c r="R858" s="23" t="n"/>
      <c r="S858" s="26" t="n"/>
      <c r="T858" s="24" t="n"/>
      <c r="U858" s="24" t="n"/>
      <c r="V858" s="24" t="n"/>
      <c r="W858" s="26" t="n"/>
      <c r="X858" s="23" t="n"/>
      <c r="Y858" s="18" t="n"/>
      <c r="Z858" s="27" t="n"/>
      <c r="AA858" s="27" t="n"/>
      <c r="AB858" s="27" t="n"/>
      <c r="AC858" s="27" t="n"/>
      <c r="AD858" s="1" t="n"/>
      <c r="AE858" s="1" t="n"/>
      <c r="AF858" s="4" t="n"/>
      <c r="AG858" s="4" t="n"/>
    </row>
    <row r="859" ht="47.25" customHeight="1">
      <c r="A859" s="18" t="n"/>
      <c r="B859" s="19" t="n"/>
      <c r="C859" s="20" t="n"/>
      <c r="D859" s="44" t="n"/>
      <c r="E859" s="23" t="n"/>
      <c r="F859" s="19" t="n"/>
      <c r="G859" s="19" t="n"/>
      <c r="H859" s="23" t="n"/>
      <c r="I859" s="19" t="n"/>
      <c r="J859" s="23" t="n"/>
      <c r="K859" s="21" t="n"/>
      <c r="L859" s="24" t="n"/>
      <c r="M859" s="24" t="n"/>
      <c r="N859" s="24" t="n"/>
      <c r="O859" s="24" t="n"/>
      <c r="P859" s="25" t="n"/>
      <c r="Q859" s="23" t="n"/>
      <c r="R859" s="23" t="n"/>
      <c r="S859" s="26" t="n"/>
      <c r="T859" s="24" t="n"/>
      <c r="U859" s="24" t="n"/>
      <c r="V859" s="24" t="n"/>
      <c r="W859" s="26" t="n"/>
      <c r="X859" s="23" t="n"/>
      <c r="Y859" s="18" t="n"/>
      <c r="Z859" s="27" t="n"/>
      <c r="AA859" s="27" t="n"/>
      <c r="AB859" s="27" t="n"/>
      <c r="AC859" s="27" t="n"/>
      <c r="AD859" s="1" t="n"/>
      <c r="AE859" s="1" t="n"/>
      <c r="AF859" s="4" t="n"/>
      <c r="AG859" s="4" t="n"/>
    </row>
    <row r="860" ht="47.25" customHeight="1">
      <c r="A860" s="18" t="n"/>
      <c r="B860" s="19" t="n"/>
      <c r="C860" s="20" t="n"/>
      <c r="D860" s="44" t="n"/>
      <c r="E860" s="23" t="n"/>
      <c r="F860" s="19" t="n"/>
      <c r="G860" s="19" t="n"/>
      <c r="H860" s="23" t="n"/>
      <c r="I860" s="19" t="n"/>
      <c r="J860" s="23" t="n"/>
      <c r="K860" s="21" t="n"/>
      <c r="L860" s="24" t="n"/>
      <c r="M860" s="24" t="n"/>
      <c r="N860" s="24" t="n"/>
      <c r="O860" s="24" t="n"/>
      <c r="P860" s="25" t="n"/>
      <c r="Q860" s="23" t="n"/>
      <c r="R860" s="23" t="n"/>
      <c r="S860" s="26" t="n"/>
      <c r="T860" s="24" t="n"/>
      <c r="U860" s="24" t="n"/>
      <c r="V860" s="24" t="n"/>
      <c r="W860" s="26" t="n"/>
      <c r="X860" s="23" t="n"/>
      <c r="Y860" s="18" t="n"/>
      <c r="Z860" s="27" t="n"/>
      <c r="AA860" s="27" t="n"/>
      <c r="AB860" s="27" t="n"/>
      <c r="AC860" s="27" t="n"/>
      <c r="AD860" s="1" t="n"/>
      <c r="AE860" s="1" t="n"/>
      <c r="AF860" s="4" t="n"/>
      <c r="AG860" s="4" t="n"/>
    </row>
    <row r="861" ht="47.25" customHeight="1">
      <c r="A861" s="18" t="n"/>
      <c r="B861" s="19" t="n"/>
      <c r="C861" s="20" t="n"/>
      <c r="D861" s="44" t="n"/>
      <c r="E861" s="23" t="n"/>
      <c r="F861" s="19" t="n"/>
      <c r="G861" s="19" t="n"/>
      <c r="H861" s="23" t="n"/>
      <c r="I861" s="19" t="n"/>
      <c r="J861" s="23" t="n"/>
      <c r="K861" s="21" t="n"/>
      <c r="L861" s="24" t="n"/>
      <c r="M861" s="24" t="n"/>
      <c r="N861" s="24" t="n"/>
      <c r="O861" s="24" t="n"/>
      <c r="P861" s="25" t="n"/>
      <c r="Q861" s="23" t="n"/>
      <c r="R861" s="23" t="n"/>
      <c r="S861" s="26" t="n"/>
      <c r="T861" s="24" t="n"/>
      <c r="U861" s="24" t="n"/>
      <c r="V861" s="24" t="n"/>
      <c r="W861" s="26" t="n"/>
      <c r="X861" s="23" t="n"/>
      <c r="Y861" s="18" t="n"/>
      <c r="Z861" s="27" t="n"/>
      <c r="AA861" s="27" t="n"/>
      <c r="AB861" s="27" t="n"/>
      <c r="AC861" s="27" t="n"/>
      <c r="AD861" s="1" t="n"/>
      <c r="AE861" s="1" t="n"/>
      <c r="AF861" s="4" t="n"/>
      <c r="AG861" s="4" t="n"/>
    </row>
    <row r="862" ht="47.25" customHeight="1">
      <c r="A862" s="18" t="n"/>
      <c r="B862" s="19" t="n"/>
      <c r="C862" s="20" t="n"/>
      <c r="D862" s="44" t="n"/>
      <c r="E862" s="23" t="n"/>
      <c r="F862" s="19" t="n"/>
      <c r="G862" s="19" t="n"/>
      <c r="H862" s="23" t="n"/>
      <c r="I862" s="19" t="n"/>
      <c r="J862" s="23" t="n"/>
      <c r="K862" s="21" t="n"/>
      <c r="L862" s="24" t="n"/>
      <c r="M862" s="24" t="n"/>
      <c r="N862" s="24" t="n"/>
      <c r="O862" s="24" t="n"/>
      <c r="P862" s="25" t="n"/>
      <c r="Q862" s="23" t="n"/>
      <c r="R862" s="23" t="n"/>
      <c r="S862" s="26" t="n"/>
      <c r="T862" s="24" t="n"/>
      <c r="U862" s="24" t="n"/>
      <c r="V862" s="24" t="n"/>
      <c r="W862" s="26" t="n"/>
      <c r="X862" s="23" t="n"/>
      <c r="Y862" s="18" t="n"/>
      <c r="Z862" s="27" t="n"/>
      <c r="AA862" s="27" t="n"/>
      <c r="AB862" s="27" t="n"/>
      <c r="AC862" s="27" t="n"/>
      <c r="AD862" s="1" t="n"/>
      <c r="AE862" s="1" t="n"/>
      <c r="AF862" s="4" t="n"/>
      <c r="AG862" s="4" t="n"/>
    </row>
    <row r="863" ht="47.25" customHeight="1">
      <c r="A863" s="18" t="n"/>
      <c r="B863" s="19" t="n"/>
      <c r="C863" s="20" t="n"/>
      <c r="D863" s="44" t="n"/>
      <c r="E863" s="23" t="n"/>
      <c r="F863" s="19" t="n"/>
      <c r="G863" s="19" t="n"/>
      <c r="H863" s="23" t="n"/>
      <c r="I863" s="19" t="n"/>
      <c r="J863" s="23" t="n"/>
      <c r="K863" s="21" t="n"/>
      <c r="L863" s="24" t="n"/>
      <c r="M863" s="24" t="n"/>
      <c r="N863" s="24" t="n"/>
      <c r="O863" s="24" t="n"/>
      <c r="P863" s="25" t="n"/>
      <c r="Q863" s="23" t="n"/>
      <c r="R863" s="23" t="n"/>
      <c r="S863" s="26" t="n"/>
      <c r="T863" s="24" t="n"/>
      <c r="U863" s="24" t="n"/>
      <c r="V863" s="24" t="n"/>
      <c r="W863" s="26" t="n"/>
      <c r="X863" s="23" t="n"/>
      <c r="Y863" s="18" t="n"/>
      <c r="Z863" s="27" t="n"/>
      <c r="AA863" s="27" t="n"/>
      <c r="AB863" s="27" t="n"/>
      <c r="AC863" s="27" t="n"/>
      <c r="AD863" s="1" t="n"/>
      <c r="AE863" s="1" t="n"/>
      <c r="AF863" s="4" t="n"/>
      <c r="AG863" s="4" t="n"/>
    </row>
    <row r="864" ht="47.25" customHeight="1">
      <c r="A864" s="18" t="n"/>
      <c r="B864" s="19" t="n"/>
      <c r="C864" s="20" t="n"/>
      <c r="D864" s="44" t="n"/>
      <c r="E864" s="23" t="n"/>
      <c r="F864" s="19" t="n"/>
      <c r="G864" s="19" t="n"/>
      <c r="H864" s="23" t="n"/>
      <c r="I864" s="19" t="n"/>
      <c r="J864" s="23" t="n"/>
      <c r="K864" s="21" t="n"/>
      <c r="L864" s="24" t="n"/>
      <c r="M864" s="24" t="n"/>
      <c r="N864" s="24" t="n"/>
      <c r="O864" s="24" t="n"/>
      <c r="P864" s="25" t="n"/>
      <c r="Q864" s="23" t="n"/>
      <c r="R864" s="23" t="n"/>
      <c r="S864" s="26" t="n"/>
      <c r="T864" s="24" t="n"/>
      <c r="U864" s="24" t="n"/>
      <c r="V864" s="24" t="n"/>
      <c r="W864" s="26" t="n"/>
      <c r="X864" s="23" t="n"/>
      <c r="Y864" s="18" t="n"/>
      <c r="Z864" s="27" t="n"/>
      <c r="AA864" s="27" t="n"/>
      <c r="AB864" s="27" t="n"/>
      <c r="AC864" s="27" t="n"/>
      <c r="AD864" s="1" t="n"/>
      <c r="AE864" s="1" t="n"/>
      <c r="AF864" s="4" t="n"/>
      <c r="AG864" s="4" t="n"/>
    </row>
    <row r="865" ht="47.25" customHeight="1">
      <c r="A865" s="18" t="n"/>
      <c r="B865" s="19" t="n"/>
      <c r="C865" s="20" t="n"/>
      <c r="D865" s="44" t="n"/>
      <c r="E865" s="23" t="n"/>
      <c r="F865" s="19" t="n"/>
      <c r="G865" s="19" t="n"/>
      <c r="H865" s="23" t="n"/>
      <c r="I865" s="19" t="n"/>
      <c r="J865" s="23" t="n"/>
      <c r="K865" s="21" t="n"/>
      <c r="L865" s="24" t="n"/>
      <c r="M865" s="24" t="n"/>
      <c r="N865" s="24" t="n"/>
      <c r="O865" s="24" t="n"/>
      <c r="P865" s="25" t="n"/>
      <c r="Q865" s="23" t="n"/>
      <c r="R865" s="23" t="n"/>
      <c r="S865" s="26" t="n"/>
      <c r="T865" s="24" t="n"/>
      <c r="U865" s="24" t="n"/>
      <c r="V865" s="24" t="n"/>
      <c r="W865" s="26" t="n"/>
      <c r="X865" s="23" t="n"/>
      <c r="Y865" s="18" t="n"/>
      <c r="Z865" s="27" t="n"/>
      <c r="AA865" s="27" t="n"/>
      <c r="AB865" s="27" t="n"/>
      <c r="AC865" s="27" t="n"/>
      <c r="AD865" s="1" t="n"/>
      <c r="AE865" s="1" t="n"/>
      <c r="AF865" s="4" t="n"/>
      <c r="AG865" s="4" t="n"/>
    </row>
    <row r="866" ht="47.25" customHeight="1">
      <c r="A866" s="18" t="n"/>
      <c r="B866" s="19" t="n"/>
      <c r="C866" s="20" t="n"/>
      <c r="D866" s="44" t="n"/>
      <c r="E866" s="23" t="n"/>
      <c r="F866" s="19" t="n"/>
      <c r="G866" s="19" t="n"/>
      <c r="H866" s="23" t="n"/>
      <c r="I866" s="19" t="n"/>
      <c r="J866" s="23" t="n"/>
      <c r="K866" s="21" t="n"/>
      <c r="L866" s="24" t="n"/>
      <c r="M866" s="24" t="n"/>
      <c r="N866" s="24" t="n"/>
      <c r="O866" s="24" t="n"/>
      <c r="P866" s="25" t="n"/>
      <c r="Q866" s="23" t="n"/>
      <c r="R866" s="23" t="n"/>
      <c r="S866" s="26" t="n"/>
      <c r="T866" s="24" t="n"/>
      <c r="U866" s="24" t="n"/>
      <c r="V866" s="24" t="n"/>
      <c r="W866" s="26" t="n"/>
      <c r="X866" s="23" t="n"/>
      <c r="Y866" s="18" t="n"/>
      <c r="Z866" s="27" t="n"/>
      <c r="AA866" s="27" t="n"/>
      <c r="AB866" s="27" t="n"/>
      <c r="AC866" s="27" t="n"/>
      <c r="AD866" s="1" t="n"/>
      <c r="AE866" s="1" t="n"/>
      <c r="AF866" s="4" t="n"/>
      <c r="AG866" s="4" t="n"/>
    </row>
    <row r="867" ht="47.25" customHeight="1">
      <c r="A867" s="18" t="n"/>
      <c r="B867" s="19" t="n"/>
      <c r="C867" s="20" t="n"/>
      <c r="D867" s="44" t="n"/>
      <c r="E867" s="23" t="n"/>
      <c r="F867" s="19" t="n"/>
      <c r="G867" s="19" t="n"/>
      <c r="H867" s="23" t="n"/>
      <c r="I867" s="19" t="n"/>
      <c r="J867" s="23" t="n"/>
      <c r="K867" s="21" t="n"/>
      <c r="L867" s="24" t="n"/>
      <c r="M867" s="24" t="n"/>
      <c r="N867" s="24" t="n"/>
      <c r="O867" s="24" t="n"/>
      <c r="P867" s="25" t="n"/>
      <c r="Q867" s="23" t="n"/>
      <c r="R867" s="23" t="n"/>
      <c r="S867" s="26" t="n"/>
      <c r="T867" s="24" t="n"/>
      <c r="U867" s="24" t="n"/>
      <c r="V867" s="24" t="n"/>
      <c r="W867" s="26" t="n"/>
      <c r="X867" s="23" t="n"/>
      <c r="Y867" s="18" t="n"/>
      <c r="Z867" s="27" t="n"/>
      <c r="AA867" s="27" t="n"/>
      <c r="AB867" s="27" t="n"/>
      <c r="AC867" s="27" t="n"/>
      <c r="AD867" s="1" t="n"/>
      <c r="AE867" s="1" t="n"/>
      <c r="AF867" s="4" t="n"/>
      <c r="AG867" s="4" t="n"/>
    </row>
    <row r="868" ht="47.25" customHeight="1">
      <c r="A868" s="18" t="n"/>
      <c r="B868" s="19" t="n"/>
      <c r="C868" s="20" t="n"/>
      <c r="D868" s="44" t="n"/>
      <c r="E868" s="23" t="n"/>
      <c r="F868" s="19" t="n"/>
      <c r="G868" s="19" t="n"/>
      <c r="H868" s="23" t="n"/>
      <c r="I868" s="19" t="n"/>
      <c r="J868" s="23" t="n"/>
      <c r="K868" s="21" t="n"/>
      <c r="L868" s="24" t="n"/>
      <c r="M868" s="24" t="n"/>
      <c r="N868" s="24" t="n"/>
      <c r="O868" s="24" t="n"/>
      <c r="P868" s="25" t="n"/>
      <c r="Q868" s="23" t="n"/>
      <c r="R868" s="23" t="n"/>
      <c r="S868" s="26" t="n"/>
      <c r="T868" s="24" t="n"/>
      <c r="U868" s="24" t="n"/>
      <c r="V868" s="24" t="n"/>
      <c r="W868" s="26" t="n"/>
      <c r="X868" s="23" t="n"/>
      <c r="Y868" s="18" t="n"/>
      <c r="Z868" s="27" t="n"/>
      <c r="AA868" s="27" t="n"/>
      <c r="AB868" s="27" t="n"/>
      <c r="AC868" s="27" t="n"/>
      <c r="AD868" s="1" t="n"/>
      <c r="AE868" s="1" t="n"/>
      <c r="AF868" s="4" t="n"/>
      <c r="AG868" s="4" t="n"/>
    </row>
    <row r="869" ht="47.25" customHeight="1">
      <c r="A869" s="18" t="n"/>
      <c r="B869" s="19" t="n"/>
      <c r="C869" s="20" t="n"/>
      <c r="D869" s="44" t="n"/>
      <c r="E869" s="23" t="n"/>
      <c r="F869" s="19" t="n"/>
      <c r="G869" s="19" t="n"/>
      <c r="H869" s="23" t="n"/>
      <c r="I869" s="19" t="n"/>
      <c r="J869" s="23" t="n"/>
      <c r="K869" s="21" t="n"/>
      <c r="L869" s="24" t="n"/>
      <c r="M869" s="24" t="n"/>
      <c r="N869" s="24" t="n"/>
      <c r="O869" s="24" t="n"/>
      <c r="P869" s="25" t="n"/>
      <c r="Q869" s="23" t="n"/>
      <c r="R869" s="23" t="n"/>
      <c r="S869" s="26" t="n"/>
      <c r="T869" s="24" t="n"/>
      <c r="U869" s="24" t="n"/>
      <c r="V869" s="24" t="n"/>
      <c r="W869" s="26" t="n"/>
      <c r="X869" s="23" t="n"/>
      <c r="Y869" s="18" t="n"/>
      <c r="Z869" s="27" t="n"/>
      <c r="AA869" s="27" t="n"/>
      <c r="AB869" s="27" t="n"/>
      <c r="AC869" s="27" t="n"/>
      <c r="AD869" s="1" t="n"/>
      <c r="AE869" s="1" t="n"/>
      <c r="AF869" s="4" t="n"/>
      <c r="AG869" s="4" t="n"/>
    </row>
    <row r="870" ht="47.25" customHeight="1">
      <c r="A870" s="18" t="n"/>
      <c r="B870" s="19" t="n"/>
      <c r="C870" s="20" t="n"/>
      <c r="D870" s="44" t="n"/>
      <c r="E870" s="23" t="n"/>
      <c r="F870" s="19" t="n"/>
      <c r="G870" s="19" t="n"/>
      <c r="H870" s="23" t="n"/>
      <c r="I870" s="19" t="n"/>
      <c r="J870" s="23" t="n"/>
      <c r="K870" s="21" t="n"/>
      <c r="L870" s="24" t="n"/>
      <c r="M870" s="24" t="n"/>
      <c r="N870" s="24" t="n"/>
      <c r="O870" s="24" t="n"/>
      <c r="P870" s="25" t="n"/>
      <c r="Q870" s="23" t="n"/>
      <c r="R870" s="23" t="n"/>
      <c r="S870" s="26" t="n"/>
      <c r="T870" s="24" t="n"/>
      <c r="U870" s="24" t="n"/>
      <c r="V870" s="24" t="n"/>
      <c r="W870" s="26" t="n"/>
      <c r="X870" s="23" t="n"/>
      <c r="Y870" s="18" t="n"/>
      <c r="Z870" s="27" t="n"/>
      <c r="AA870" s="27" t="n"/>
      <c r="AB870" s="27" t="n"/>
      <c r="AC870" s="27" t="n"/>
      <c r="AD870" s="1" t="n"/>
      <c r="AE870" s="1" t="n"/>
      <c r="AF870" s="4" t="n"/>
      <c r="AG870" s="4" t="n"/>
    </row>
    <row r="871" ht="47.25" customHeight="1">
      <c r="A871" s="18" t="n"/>
      <c r="B871" s="19" t="n"/>
      <c r="C871" s="20" t="n"/>
      <c r="D871" s="44" t="n"/>
      <c r="E871" s="23" t="n"/>
      <c r="F871" s="19" t="n"/>
      <c r="G871" s="19" t="n"/>
      <c r="H871" s="23" t="n"/>
      <c r="I871" s="19" t="n"/>
      <c r="J871" s="23" t="n"/>
      <c r="K871" s="21" t="n"/>
      <c r="L871" s="24" t="n"/>
      <c r="M871" s="24" t="n"/>
      <c r="N871" s="24" t="n"/>
      <c r="O871" s="24" t="n"/>
      <c r="P871" s="25" t="n"/>
      <c r="Q871" s="23" t="n"/>
      <c r="R871" s="23" t="n"/>
      <c r="S871" s="26" t="n"/>
      <c r="T871" s="24" t="n"/>
      <c r="U871" s="24" t="n"/>
      <c r="V871" s="24" t="n"/>
      <c r="W871" s="26" t="n"/>
      <c r="X871" s="23" t="n"/>
      <c r="Y871" s="18" t="n"/>
      <c r="Z871" s="27" t="n"/>
      <c r="AA871" s="27" t="n"/>
      <c r="AB871" s="27" t="n"/>
      <c r="AC871" s="27" t="n"/>
      <c r="AD871" s="1" t="n"/>
      <c r="AE871" s="1" t="n"/>
      <c r="AF871" s="4" t="n"/>
      <c r="AG871" s="4" t="n"/>
    </row>
    <row r="872" ht="47.25" customHeight="1">
      <c r="A872" s="18" t="n"/>
      <c r="B872" s="19" t="n"/>
      <c r="C872" s="20" t="n"/>
      <c r="D872" s="44" t="n"/>
      <c r="E872" s="23" t="n"/>
      <c r="F872" s="19" t="n"/>
      <c r="G872" s="19" t="n"/>
      <c r="H872" s="23" t="n"/>
      <c r="I872" s="19" t="n"/>
      <c r="J872" s="23" t="n"/>
      <c r="K872" s="21" t="n"/>
      <c r="L872" s="24" t="n"/>
      <c r="M872" s="24" t="n"/>
      <c r="N872" s="24" t="n"/>
      <c r="O872" s="24" t="n"/>
      <c r="P872" s="25" t="n"/>
      <c r="Q872" s="23" t="n"/>
      <c r="R872" s="23" t="n"/>
      <c r="S872" s="26" t="n"/>
      <c r="T872" s="24" t="n"/>
      <c r="U872" s="24" t="n"/>
      <c r="V872" s="24" t="n"/>
      <c r="W872" s="26" t="n"/>
      <c r="X872" s="23" t="n"/>
      <c r="Y872" s="18" t="n"/>
      <c r="Z872" s="27" t="n"/>
      <c r="AA872" s="27" t="n"/>
      <c r="AB872" s="27" t="n"/>
      <c r="AC872" s="27" t="n"/>
      <c r="AD872" s="1" t="n"/>
      <c r="AE872" s="1" t="n"/>
      <c r="AF872" s="4" t="n"/>
      <c r="AG872" s="4" t="n"/>
    </row>
    <row r="873" ht="47.25" customHeight="1">
      <c r="A873" s="18" t="n"/>
      <c r="B873" s="19" t="n"/>
      <c r="C873" s="20" t="n"/>
      <c r="D873" s="44" t="n"/>
      <c r="E873" s="23" t="n"/>
      <c r="F873" s="19" t="n"/>
      <c r="G873" s="19" t="n"/>
      <c r="H873" s="23" t="n"/>
      <c r="I873" s="19" t="n"/>
      <c r="J873" s="23" t="n"/>
      <c r="K873" s="21" t="n"/>
      <c r="L873" s="24" t="n"/>
      <c r="M873" s="24" t="n"/>
      <c r="N873" s="24" t="n"/>
      <c r="O873" s="24" t="n"/>
      <c r="P873" s="25" t="n"/>
      <c r="Q873" s="23" t="n"/>
      <c r="R873" s="23" t="n"/>
      <c r="S873" s="26" t="n"/>
      <c r="T873" s="24" t="n"/>
      <c r="U873" s="24" t="n"/>
      <c r="V873" s="24" t="n"/>
      <c r="W873" s="26" t="n"/>
      <c r="X873" s="23" t="n"/>
      <c r="Y873" s="18" t="n"/>
      <c r="Z873" s="27" t="n"/>
      <c r="AA873" s="27" t="n"/>
      <c r="AB873" s="27" t="n"/>
      <c r="AC873" s="27" t="n"/>
      <c r="AD873" s="1" t="n"/>
      <c r="AE873" s="1" t="n"/>
      <c r="AF873" s="4" t="n"/>
      <c r="AG873" s="4" t="n"/>
    </row>
    <row r="874" ht="47.25" customHeight="1">
      <c r="A874" s="18" t="n"/>
      <c r="B874" s="19" t="n"/>
      <c r="C874" s="20" t="n"/>
      <c r="D874" s="44" t="n"/>
      <c r="E874" s="23" t="n"/>
      <c r="F874" s="19" t="n"/>
      <c r="G874" s="19" t="n"/>
      <c r="H874" s="23" t="n"/>
      <c r="I874" s="19" t="n"/>
      <c r="J874" s="23" t="n"/>
      <c r="K874" s="21" t="n"/>
      <c r="L874" s="24" t="n"/>
      <c r="M874" s="24" t="n"/>
      <c r="N874" s="24" t="n"/>
      <c r="O874" s="24" t="n"/>
      <c r="P874" s="25" t="n"/>
      <c r="Q874" s="23" t="n"/>
      <c r="R874" s="23" t="n"/>
      <c r="S874" s="26" t="n"/>
      <c r="T874" s="24" t="n"/>
      <c r="U874" s="24" t="n"/>
      <c r="V874" s="24" t="n"/>
      <c r="W874" s="26" t="n"/>
      <c r="X874" s="23" t="n"/>
      <c r="Y874" s="18" t="n"/>
      <c r="Z874" s="27" t="n"/>
      <c r="AA874" s="27" t="n"/>
      <c r="AB874" s="27" t="n"/>
      <c r="AC874" s="27" t="n"/>
      <c r="AD874" s="1" t="n"/>
      <c r="AE874" s="1" t="n"/>
      <c r="AF874" s="4" t="n"/>
      <c r="AG874" s="4" t="n"/>
    </row>
    <row r="875" ht="47.25" customHeight="1">
      <c r="A875" s="18" t="n"/>
      <c r="B875" s="19" t="n"/>
      <c r="C875" s="20" t="n"/>
      <c r="D875" s="44" t="n"/>
      <c r="E875" s="23" t="n"/>
      <c r="F875" s="19" t="n"/>
      <c r="G875" s="19" t="n"/>
      <c r="H875" s="23" t="n"/>
      <c r="I875" s="19" t="n"/>
      <c r="J875" s="23" t="n"/>
      <c r="K875" s="21" t="n"/>
      <c r="L875" s="24" t="n"/>
      <c r="M875" s="24" t="n"/>
      <c r="N875" s="24" t="n"/>
      <c r="O875" s="24" t="n"/>
      <c r="P875" s="25" t="n"/>
      <c r="Q875" s="23" t="n"/>
      <c r="R875" s="23" t="n"/>
      <c r="S875" s="26" t="n"/>
      <c r="T875" s="24" t="n"/>
      <c r="U875" s="24" t="n"/>
      <c r="V875" s="24" t="n"/>
      <c r="W875" s="26" t="n"/>
      <c r="X875" s="23" t="n"/>
      <c r="Y875" s="18" t="n"/>
      <c r="Z875" s="27" t="n"/>
      <c r="AA875" s="27" t="n"/>
      <c r="AB875" s="27" t="n"/>
      <c r="AC875" s="27" t="n"/>
      <c r="AD875" s="1" t="n"/>
      <c r="AE875" s="1" t="n"/>
      <c r="AF875" s="4" t="n"/>
      <c r="AG875" s="4" t="n"/>
    </row>
    <row r="876" ht="47.25" customHeight="1">
      <c r="A876" s="18" t="n"/>
      <c r="B876" s="19" t="n"/>
      <c r="C876" s="20" t="n"/>
      <c r="D876" s="44" t="n"/>
      <c r="E876" s="23" t="n"/>
      <c r="F876" s="19" t="n"/>
      <c r="G876" s="19" t="n"/>
      <c r="H876" s="23" t="n"/>
      <c r="I876" s="19" t="n"/>
      <c r="J876" s="23" t="n"/>
      <c r="K876" s="21" t="n"/>
      <c r="L876" s="24" t="n"/>
      <c r="M876" s="24" t="n"/>
      <c r="N876" s="24" t="n"/>
      <c r="O876" s="24" t="n"/>
      <c r="P876" s="25" t="n"/>
      <c r="Q876" s="23" t="n"/>
      <c r="R876" s="23" t="n"/>
      <c r="S876" s="26" t="n"/>
      <c r="T876" s="24" t="n"/>
      <c r="U876" s="24" t="n"/>
      <c r="V876" s="24" t="n"/>
      <c r="W876" s="26" t="n"/>
      <c r="X876" s="23" t="n"/>
      <c r="Y876" s="18" t="n"/>
      <c r="Z876" s="27" t="n"/>
      <c r="AA876" s="27" t="n"/>
      <c r="AB876" s="27" t="n"/>
      <c r="AC876" s="27" t="n"/>
      <c r="AD876" s="1" t="n"/>
      <c r="AE876" s="1" t="n"/>
      <c r="AF876" s="4" t="n"/>
      <c r="AG876" s="4" t="n"/>
    </row>
    <row r="877" ht="47.25" customHeight="1">
      <c r="A877" s="18" t="n"/>
      <c r="B877" s="19" t="n"/>
      <c r="C877" s="20" t="n"/>
      <c r="D877" s="44" t="n"/>
      <c r="E877" s="23" t="n"/>
      <c r="F877" s="19" t="n"/>
      <c r="G877" s="19" t="n"/>
      <c r="H877" s="23" t="n"/>
      <c r="I877" s="19" t="n"/>
      <c r="J877" s="23" t="n"/>
      <c r="K877" s="21" t="n"/>
      <c r="L877" s="24" t="n"/>
      <c r="M877" s="24" t="n"/>
      <c r="N877" s="24" t="n"/>
      <c r="O877" s="24" t="n"/>
      <c r="P877" s="25" t="n"/>
      <c r="Q877" s="23" t="n"/>
      <c r="R877" s="23" t="n"/>
      <c r="S877" s="26" t="n"/>
      <c r="T877" s="24" t="n"/>
      <c r="U877" s="24" t="n"/>
      <c r="V877" s="24" t="n"/>
      <c r="W877" s="26" t="n"/>
      <c r="X877" s="23" t="n"/>
      <c r="Y877" s="18" t="n"/>
      <c r="Z877" s="27" t="n"/>
      <c r="AA877" s="27" t="n"/>
      <c r="AB877" s="27" t="n"/>
      <c r="AC877" s="27" t="n"/>
      <c r="AD877" s="1" t="n"/>
      <c r="AE877" s="1" t="n"/>
      <c r="AF877" s="4" t="n"/>
      <c r="AG877" s="4" t="n"/>
    </row>
    <row r="878" ht="47.25" customHeight="1">
      <c r="A878" s="18" t="n"/>
      <c r="B878" s="19" t="n"/>
      <c r="C878" s="20" t="n"/>
      <c r="D878" s="44" t="n"/>
      <c r="E878" s="23" t="n"/>
      <c r="F878" s="19" t="n"/>
      <c r="G878" s="19" t="n"/>
      <c r="H878" s="23" t="n"/>
      <c r="I878" s="19" t="n"/>
      <c r="J878" s="23" t="n"/>
      <c r="K878" s="21" t="n"/>
      <c r="L878" s="24" t="n"/>
      <c r="M878" s="24" t="n"/>
      <c r="N878" s="24" t="n"/>
      <c r="O878" s="24" t="n"/>
      <c r="P878" s="25" t="n"/>
      <c r="Q878" s="23" t="n"/>
      <c r="R878" s="23" t="n"/>
      <c r="S878" s="26" t="n"/>
      <c r="T878" s="24" t="n"/>
      <c r="U878" s="24" t="n"/>
      <c r="V878" s="24" t="n"/>
      <c r="W878" s="26" t="n"/>
      <c r="X878" s="23" t="n"/>
      <c r="Y878" s="18" t="n"/>
      <c r="Z878" s="27" t="n"/>
      <c r="AA878" s="27" t="n"/>
      <c r="AB878" s="27" t="n"/>
      <c r="AC878" s="27" t="n"/>
      <c r="AD878" s="1" t="n"/>
      <c r="AE878" s="1" t="n"/>
      <c r="AF878" s="4" t="n"/>
      <c r="AG878" s="4" t="n"/>
    </row>
    <row r="879" ht="47.25" customHeight="1">
      <c r="A879" s="18" t="n"/>
      <c r="B879" s="19" t="n"/>
      <c r="C879" s="20" t="n"/>
      <c r="D879" s="44" t="n"/>
      <c r="E879" s="23" t="n"/>
      <c r="F879" s="19" t="n"/>
      <c r="G879" s="19" t="n"/>
      <c r="H879" s="23" t="n"/>
      <c r="I879" s="19" t="n"/>
      <c r="J879" s="23" t="n"/>
      <c r="K879" s="21" t="n"/>
      <c r="L879" s="24" t="n"/>
      <c r="M879" s="24" t="n"/>
      <c r="N879" s="24" t="n"/>
      <c r="O879" s="24" t="n"/>
      <c r="P879" s="25" t="n"/>
      <c r="Q879" s="23" t="n"/>
      <c r="R879" s="23" t="n"/>
      <c r="S879" s="26" t="n"/>
      <c r="T879" s="24" t="n"/>
      <c r="U879" s="24" t="n"/>
      <c r="V879" s="24" t="n"/>
      <c r="W879" s="26" t="n"/>
      <c r="X879" s="23" t="n"/>
      <c r="Y879" s="18" t="n"/>
      <c r="Z879" s="27" t="n"/>
      <c r="AA879" s="27" t="n"/>
      <c r="AB879" s="27" t="n"/>
      <c r="AC879" s="27" t="n"/>
      <c r="AD879" s="1" t="n"/>
      <c r="AE879" s="1" t="n"/>
      <c r="AF879" s="4" t="n"/>
      <c r="AG879" s="4" t="n"/>
    </row>
    <row r="880" ht="47.25" customHeight="1">
      <c r="A880" s="18" t="n"/>
      <c r="B880" s="19" t="n"/>
      <c r="C880" s="20" t="n"/>
      <c r="D880" s="44" t="n"/>
      <c r="E880" s="23" t="n"/>
      <c r="F880" s="19" t="n"/>
      <c r="G880" s="19" t="n"/>
      <c r="H880" s="23" t="n"/>
      <c r="I880" s="19" t="n"/>
      <c r="J880" s="23" t="n"/>
      <c r="K880" s="21" t="n"/>
      <c r="L880" s="24" t="n"/>
      <c r="M880" s="24" t="n"/>
      <c r="N880" s="24" t="n"/>
      <c r="O880" s="24" t="n"/>
      <c r="P880" s="25" t="n"/>
      <c r="Q880" s="23" t="n"/>
      <c r="R880" s="23" t="n"/>
      <c r="S880" s="26" t="n"/>
      <c r="T880" s="24" t="n"/>
      <c r="U880" s="24" t="n"/>
      <c r="V880" s="24" t="n"/>
      <c r="W880" s="26" t="n"/>
      <c r="X880" s="23" t="n"/>
      <c r="Y880" s="18" t="n"/>
      <c r="Z880" s="27" t="n"/>
      <c r="AA880" s="27" t="n"/>
      <c r="AB880" s="27" t="n"/>
      <c r="AC880" s="27" t="n"/>
      <c r="AD880" s="1" t="n"/>
      <c r="AE880" s="1" t="n"/>
      <c r="AF880" s="4" t="n"/>
      <c r="AG880" s="4" t="n"/>
    </row>
    <row r="881" ht="47.25" customHeight="1">
      <c r="A881" s="18" t="n"/>
      <c r="B881" s="19" t="n"/>
      <c r="C881" s="20" t="n"/>
      <c r="D881" s="44" t="n"/>
      <c r="E881" s="23" t="n"/>
      <c r="F881" s="19" t="n"/>
      <c r="G881" s="19" t="n"/>
      <c r="H881" s="23" t="n"/>
      <c r="I881" s="19" t="n"/>
      <c r="J881" s="23" t="n"/>
      <c r="K881" s="21" t="n"/>
      <c r="L881" s="24" t="n"/>
      <c r="M881" s="24" t="n"/>
      <c r="N881" s="24" t="n"/>
      <c r="O881" s="24" t="n"/>
      <c r="P881" s="25" t="n"/>
      <c r="Q881" s="23" t="n"/>
      <c r="R881" s="23" t="n"/>
      <c r="S881" s="26" t="n"/>
      <c r="T881" s="24" t="n"/>
      <c r="U881" s="24" t="n"/>
      <c r="V881" s="24" t="n"/>
      <c r="W881" s="26" t="n"/>
      <c r="X881" s="23" t="n"/>
      <c r="Y881" s="18" t="n"/>
      <c r="Z881" s="27" t="n"/>
      <c r="AA881" s="27" t="n"/>
      <c r="AB881" s="27" t="n"/>
      <c r="AC881" s="27" t="n"/>
      <c r="AD881" s="1" t="n"/>
      <c r="AE881" s="1" t="n"/>
      <c r="AF881" s="4" t="n"/>
      <c r="AG881" s="4" t="n"/>
    </row>
    <row r="882" ht="47.25" customHeight="1">
      <c r="A882" s="18" t="n"/>
      <c r="B882" s="19" t="n"/>
      <c r="C882" s="20" t="n"/>
      <c r="D882" s="44" t="n"/>
      <c r="E882" s="23" t="n"/>
      <c r="F882" s="19" t="n"/>
      <c r="G882" s="19" t="n"/>
      <c r="H882" s="23" t="n"/>
      <c r="I882" s="19" t="n"/>
      <c r="J882" s="23" t="n"/>
      <c r="K882" s="21" t="n"/>
      <c r="L882" s="24" t="n"/>
      <c r="M882" s="24" t="n"/>
      <c r="N882" s="24" t="n"/>
      <c r="O882" s="24" t="n"/>
      <c r="P882" s="25" t="n"/>
      <c r="Q882" s="23" t="n"/>
      <c r="R882" s="23" t="n"/>
      <c r="S882" s="26" t="n"/>
      <c r="T882" s="24" t="n"/>
      <c r="U882" s="24" t="n"/>
      <c r="V882" s="24" t="n"/>
      <c r="W882" s="26" t="n"/>
      <c r="X882" s="23" t="n"/>
      <c r="Y882" s="18" t="n"/>
      <c r="Z882" s="27" t="n"/>
      <c r="AA882" s="27" t="n"/>
      <c r="AB882" s="27" t="n"/>
      <c r="AC882" s="27" t="n"/>
      <c r="AD882" s="1" t="n"/>
      <c r="AE882" s="1" t="n"/>
      <c r="AF882" s="4" t="n"/>
      <c r="AG882" s="4" t="n"/>
    </row>
    <row r="883" ht="47.25" customHeight="1">
      <c r="A883" s="18" t="n"/>
      <c r="B883" s="19" t="n"/>
      <c r="C883" s="20" t="n"/>
      <c r="D883" s="44" t="n"/>
      <c r="E883" s="23" t="n"/>
      <c r="F883" s="19" t="n"/>
      <c r="G883" s="19" t="n"/>
      <c r="H883" s="23" t="n"/>
      <c r="I883" s="19" t="n"/>
      <c r="J883" s="23" t="n"/>
      <c r="K883" s="21" t="n"/>
      <c r="L883" s="24" t="n"/>
      <c r="M883" s="24" t="n"/>
      <c r="N883" s="24" t="n"/>
      <c r="O883" s="24" t="n"/>
      <c r="P883" s="25" t="n"/>
      <c r="Q883" s="23" t="n"/>
      <c r="R883" s="23" t="n"/>
      <c r="S883" s="26" t="n"/>
      <c r="T883" s="24" t="n"/>
      <c r="U883" s="24" t="n"/>
      <c r="V883" s="24" t="n"/>
      <c r="W883" s="26" t="n"/>
      <c r="X883" s="23" t="n"/>
      <c r="Y883" s="18" t="n"/>
      <c r="Z883" s="27" t="n"/>
      <c r="AA883" s="27" t="n"/>
      <c r="AB883" s="27" t="n"/>
      <c r="AC883" s="27" t="n"/>
      <c r="AD883" s="1" t="n"/>
      <c r="AE883" s="1" t="n"/>
      <c r="AF883" s="4" t="n"/>
      <c r="AG883" s="4" t="n"/>
    </row>
    <row r="884" ht="47.25" customHeight="1">
      <c r="A884" s="18" t="n"/>
      <c r="B884" s="19" t="n"/>
      <c r="C884" s="20" t="n"/>
      <c r="D884" s="44" t="n"/>
      <c r="E884" s="23" t="n"/>
      <c r="F884" s="19" t="n"/>
      <c r="G884" s="19" t="n"/>
      <c r="H884" s="23" t="n"/>
      <c r="I884" s="19" t="n"/>
      <c r="J884" s="23" t="n"/>
      <c r="K884" s="21" t="n"/>
      <c r="L884" s="24" t="n"/>
      <c r="M884" s="24" t="n"/>
      <c r="N884" s="24" t="n"/>
      <c r="O884" s="24" t="n"/>
      <c r="P884" s="25" t="n"/>
      <c r="Q884" s="23" t="n"/>
      <c r="R884" s="23" t="n"/>
      <c r="S884" s="26" t="n"/>
      <c r="T884" s="24" t="n"/>
      <c r="U884" s="24" t="n"/>
      <c r="V884" s="24" t="n"/>
      <c r="W884" s="26" t="n"/>
      <c r="X884" s="23" t="n"/>
      <c r="Y884" s="18" t="n"/>
      <c r="Z884" s="27" t="n"/>
      <c r="AA884" s="27" t="n"/>
      <c r="AB884" s="27" t="n"/>
      <c r="AC884" s="27" t="n"/>
      <c r="AD884" s="1" t="n"/>
      <c r="AE884" s="1" t="n"/>
      <c r="AF884" s="4" t="n"/>
      <c r="AG884" s="4" t="n"/>
    </row>
    <row r="885" ht="47.25" customHeight="1">
      <c r="A885" s="18" t="n"/>
      <c r="B885" s="19" t="n"/>
      <c r="C885" s="20" t="n"/>
      <c r="D885" s="44" t="n"/>
      <c r="E885" s="23" t="n"/>
      <c r="F885" s="19" t="n"/>
      <c r="G885" s="19" t="n"/>
      <c r="H885" s="23" t="n"/>
      <c r="I885" s="19" t="n"/>
      <c r="J885" s="23" t="n"/>
      <c r="K885" s="21" t="n"/>
      <c r="L885" s="24" t="n"/>
      <c r="M885" s="24" t="n"/>
      <c r="N885" s="24" t="n"/>
      <c r="O885" s="24" t="n"/>
      <c r="P885" s="25" t="n"/>
      <c r="Q885" s="23" t="n"/>
      <c r="R885" s="23" t="n"/>
      <c r="S885" s="26" t="n"/>
      <c r="T885" s="24" t="n"/>
      <c r="U885" s="24" t="n"/>
      <c r="V885" s="24" t="n"/>
      <c r="W885" s="26" t="n"/>
      <c r="X885" s="23" t="n"/>
      <c r="Y885" s="18" t="n"/>
      <c r="Z885" s="27" t="n"/>
      <c r="AA885" s="27" t="n"/>
      <c r="AB885" s="27" t="n"/>
      <c r="AC885" s="27" t="n"/>
      <c r="AD885" s="1" t="n"/>
      <c r="AE885" s="1" t="n"/>
      <c r="AF885" s="4" t="n"/>
      <c r="AG885" s="4" t="n"/>
    </row>
    <row r="886" ht="47.25" customHeight="1">
      <c r="A886" s="18" t="n"/>
      <c r="B886" s="19" t="n"/>
      <c r="C886" s="20" t="n"/>
      <c r="D886" s="44" t="n"/>
      <c r="E886" s="23" t="n"/>
      <c r="F886" s="19" t="n"/>
      <c r="G886" s="19" t="n"/>
      <c r="H886" s="23" t="n"/>
      <c r="I886" s="19" t="n"/>
      <c r="J886" s="23" t="n"/>
      <c r="K886" s="21" t="n"/>
      <c r="L886" s="24" t="n"/>
      <c r="M886" s="24" t="n"/>
      <c r="N886" s="24" t="n"/>
      <c r="O886" s="24" t="n"/>
      <c r="P886" s="25" t="n"/>
      <c r="Q886" s="23" t="n"/>
      <c r="R886" s="23" t="n"/>
      <c r="S886" s="26" t="n"/>
      <c r="T886" s="24" t="n"/>
      <c r="U886" s="24" t="n"/>
      <c r="V886" s="24" t="n"/>
      <c r="W886" s="26" t="n"/>
      <c r="X886" s="23" t="n"/>
      <c r="Y886" s="18" t="n"/>
      <c r="Z886" s="27" t="n"/>
      <c r="AA886" s="27" t="n"/>
      <c r="AB886" s="27" t="n"/>
      <c r="AC886" s="27" t="n"/>
      <c r="AD886" s="1" t="n"/>
      <c r="AE886" s="1" t="n"/>
      <c r="AF886" s="4" t="n"/>
      <c r="AG886" s="4" t="n"/>
    </row>
    <row r="887" ht="47.25" customHeight="1">
      <c r="A887" s="18" t="n"/>
      <c r="B887" s="19" t="n"/>
      <c r="C887" s="20" t="n"/>
      <c r="D887" s="44" t="n"/>
      <c r="E887" s="23" t="n"/>
      <c r="F887" s="19" t="n"/>
      <c r="G887" s="19" t="n"/>
      <c r="H887" s="23" t="n"/>
      <c r="I887" s="19" t="n"/>
      <c r="J887" s="23" t="n"/>
      <c r="K887" s="21" t="n"/>
      <c r="L887" s="24" t="n"/>
      <c r="M887" s="24" t="n"/>
      <c r="N887" s="24" t="n"/>
      <c r="O887" s="24" t="n"/>
      <c r="P887" s="25" t="n"/>
      <c r="Q887" s="23" t="n"/>
      <c r="R887" s="23" t="n"/>
      <c r="S887" s="26" t="n"/>
      <c r="T887" s="24" t="n"/>
      <c r="U887" s="24" t="n"/>
      <c r="V887" s="24" t="n"/>
      <c r="W887" s="26" t="n"/>
      <c r="X887" s="23" t="n"/>
      <c r="Y887" s="18" t="n"/>
      <c r="Z887" s="27" t="n"/>
      <c r="AA887" s="27" t="n"/>
      <c r="AB887" s="27" t="n"/>
      <c r="AC887" s="27" t="n"/>
      <c r="AD887" s="1" t="n"/>
      <c r="AE887" s="1" t="n"/>
      <c r="AF887" s="4" t="n"/>
      <c r="AG887" s="4" t="n"/>
    </row>
    <row r="888" ht="47.25" customHeight="1">
      <c r="A888" s="18" t="n"/>
      <c r="B888" s="19" t="n"/>
      <c r="C888" s="20" t="n"/>
      <c r="D888" s="44" t="n"/>
      <c r="E888" s="23" t="n"/>
      <c r="F888" s="19" t="n"/>
      <c r="G888" s="19" t="n"/>
      <c r="H888" s="23" t="n"/>
      <c r="I888" s="19" t="n"/>
      <c r="J888" s="23" t="n"/>
      <c r="K888" s="21" t="n"/>
      <c r="L888" s="24" t="n"/>
      <c r="M888" s="24" t="n"/>
      <c r="N888" s="24" t="n"/>
      <c r="O888" s="24" t="n"/>
      <c r="P888" s="25" t="n"/>
      <c r="Q888" s="23" t="n"/>
      <c r="R888" s="23" t="n"/>
      <c r="S888" s="26" t="n"/>
      <c r="T888" s="24" t="n"/>
      <c r="U888" s="24" t="n"/>
      <c r="V888" s="24" t="n"/>
      <c r="W888" s="26" t="n"/>
      <c r="X888" s="23" t="n"/>
      <c r="Y888" s="18" t="n"/>
      <c r="Z888" s="27" t="n"/>
      <c r="AA888" s="27" t="n"/>
      <c r="AB888" s="27" t="n"/>
      <c r="AC888" s="27" t="n"/>
      <c r="AD888" s="1" t="n"/>
      <c r="AE888" s="1" t="n"/>
      <c r="AF888" s="4" t="n"/>
      <c r="AG888" s="4" t="n"/>
    </row>
    <row r="889" ht="47.25" customHeight="1">
      <c r="A889" s="18" t="n"/>
      <c r="B889" s="19" t="n"/>
      <c r="C889" s="20" t="n"/>
      <c r="D889" s="44" t="n"/>
      <c r="E889" s="23" t="n"/>
      <c r="F889" s="19" t="n"/>
      <c r="G889" s="19" t="n"/>
      <c r="H889" s="23" t="n"/>
      <c r="I889" s="19" t="n"/>
      <c r="J889" s="23" t="n"/>
      <c r="K889" s="21" t="n"/>
      <c r="L889" s="24" t="n"/>
      <c r="M889" s="24" t="n"/>
      <c r="N889" s="24" t="n"/>
      <c r="O889" s="24" t="n"/>
      <c r="P889" s="25" t="n"/>
      <c r="Q889" s="23" t="n"/>
      <c r="R889" s="23" t="n"/>
      <c r="S889" s="26" t="n"/>
      <c r="T889" s="24" t="n"/>
      <c r="U889" s="24" t="n"/>
      <c r="V889" s="24" t="n"/>
      <c r="W889" s="26" t="n"/>
      <c r="X889" s="23" t="n"/>
      <c r="Y889" s="18" t="n"/>
      <c r="Z889" s="27" t="n"/>
      <c r="AA889" s="27" t="n"/>
      <c r="AB889" s="27" t="n"/>
      <c r="AC889" s="27" t="n"/>
      <c r="AD889" s="1" t="n"/>
      <c r="AE889" s="1" t="n"/>
      <c r="AF889" s="4" t="n"/>
      <c r="AG889" s="4" t="n"/>
    </row>
    <row r="890" ht="47.25" customHeight="1">
      <c r="A890" s="18" t="n"/>
      <c r="B890" s="19" t="n"/>
      <c r="C890" s="20" t="n"/>
      <c r="D890" s="44" t="n"/>
      <c r="E890" s="23" t="n"/>
      <c r="F890" s="19" t="n"/>
      <c r="G890" s="19" t="n"/>
      <c r="H890" s="23" t="n"/>
      <c r="I890" s="19" t="n"/>
      <c r="J890" s="23" t="n"/>
      <c r="K890" s="21" t="n"/>
      <c r="L890" s="24" t="n"/>
      <c r="M890" s="24" t="n"/>
      <c r="N890" s="24" t="n"/>
      <c r="O890" s="24" t="n"/>
      <c r="P890" s="25" t="n"/>
      <c r="Q890" s="23" t="n"/>
      <c r="R890" s="23" t="n"/>
      <c r="S890" s="26" t="n"/>
      <c r="T890" s="24" t="n"/>
      <c r="U890" s="24" t="n"/>
      <c r="V890" s="24" t="n"/>
      <c r="W890" s="26" t="n"/>
      <c r="X890" s="23" t="n"/>
      <c r="Y890" s="18" t="n"/>
      <c r="Z890" s="27" t="n"/>
      <c r="AA890" s="27" t="n"/>
      <c r="AB890" s="27" t="n"/>
      <c r="AC890" s="27" t="n"/>
      <c r="AD890" s="1" t="n"/>
      <c r="AE890" s="1" t="n"/>
      <c r="AF890" s="4" t="n"/>
      <c r="AG890" s="4" t="n"/>
    </row>
    <row r="891" ht="47.25" customHeight="1">
      <c r="A891" s="18" t="n"/>
      <c r="B891" s="19" t="n"/>
      <c r="C891" s="20" t="n"/>
      <c r="D891" s="44" t="n"/>
      <c r="E891" s="23" t="n"/>
      <c r="F891" s="19" t="n"/>
      <c r="G891" s="19" t="n"/>
      <c r="H891" s="23" t="n"/>
      <c r="I891" s="19" t="n"/>
      <c r="J891" s="23" t="n"/>
      <c r="K891" s="21" t="n"/>
      <c r="L891" s="24" t="n"/>
      <c r="M891" s="24" t="n"/>
      <c r="N891" s="24" t="n"/>
      <c r="O891" s="24" t="n"/>
      <c r="P891" s="25" t="n"/>
      <c r="Q891" s="23" t="n"/>
      <c r="R891" s="23" t="n"/>
      <c r="S891" s="26" t="n"/>
      <c r="T891" s="24" t="n"/>
      <c r="U891" s="24" t="n"/>
      <c r="V891" s="24" t="n"/>
      <c r="W891" s="26" t="n"/>
      <c r="X891" s="23" t="n"/>
      <c r="Y891" s="18" t="n"/>
      <c r="Z891" s="27" t="n"/>
      <c r="AA891" s="27" t="n"/>
      <c r="AB891" s="27" t="n"/>
      <c r="AC891" s="27" t="n"/>
      <c r="AD891" s="1" t="n"/>
      <c r="AE891" s="1" t="n"/>
      <c r="AF891" s="4" t="n"/>
      <c r="AG891" s="4" t="n"/>
    </row>
    <row r="892" ht="47.25" customHeight="1">
      <c r="A892" s="18" t="n"/>
      <c r="B892" s="19" t="n"/>
      <c r="C892" s="20" t="n"/>
      <c r="D892" s="44" t="n"/>
      <c r="E892" s="23" t="n"/>
      <c r="F892" s="19" t="n"/>
      <c r="G892" s="19" t="n"/>
      <c r="H892" s="23" t="n"/>
      <c r="I892" s="19" t="n"/>
      <c r="J892" s="23" t="n"/>
      <c r="K892" s="21" t="n"/>
      <c r="L892" s="24" t="n"/>
      <c r="M892" s="24" t="n"/>
      <c r="N892" s="24" t="n"/>
      <c r="O892" s="24" t="n"/>
      <c r="P892" s="25" t="n"/>
      <c r="Q892" s="23" t="n"/>
      <c r="R892" s="23" t="n"/>
      <c r="S892" s="26" t="n"/>
      <c r="T892" s="24" t="n"/>
      <c r="U892" s="24" t="n"/>
      <c r="V892" s="24" t="n"/>
      <c r="W892" s="26" t="n"/>
      <c r="X892" s="23" t="n"/>
      <c r="Y892" s="18" t="n"/>
      <c r="Z892" s="27" t="n"/>
      <c r="AA892" s="27" t="n"/>
      <c r="AB892" s="27" t="n"/>
      <c r="AC892" s="27" t="n"/>
      <c r="AD892" s="1" t="n"/>
      <c r="AE892" s="1" t="n"/>
      <c r="AF892" s="4" t="n"/>
      <c r="AG892" s="4" t="n"/>
    </row>
    <row r="893" ht="47.25" customHeight="1">
      <c r="A893" s="18" t="n"/>
      <c r="B893" s="19" t="n"/>
      <c r="C893" s="20" t="n"/>
      <c r="D893" s="44" t="n"/>
      <c r="E893" s="23" t="n"/>
      <c r="F893" s="19" t="n"/>
      <c r="G893" s="19" t="n"/>
      <c r="H893" s="23" t="n"/>
      <c r="I893" s="19" t="n"/>
      <c r="J893" s="23" t="n"/>
      <c r="K893" s="21" t="n"/>
      <c r="L893" s="24" t="n"/>
      <c r="M893" s="24" t="n"/>
      <c r="N893" s="24" t="n"/>
      <c r="O893" s="24" t="n"/>
      <c r="P893" s="25" t="n"/>
      <c r="Q893" s="23" t="n"/>
      <c r="R893" s="23" t="n"/>
      <c r="S893" s="26" t="n"/>
      <c r="T893" s="24" t="n"/>
      <c r="U893" s="24" t="n"/>
      <c r="V893" s="24" t="n"/>
      <c r="W893" s="26" t="n"/>
      <c r="X893" s="23" t="n"/>
      <c r="Y893" s="18" t="n"/>
      <c r="Z893" s="27" t="n"/>
      <c r="AA893" s="27" t="n"/>
      <c r="AB893" s="27" t="n"/>
      <c r="AC893" s="27" t="n"/>
      <c r="AD893" s="1" t="n"/>
      <c r="AE893" s="1" t="n"/>
      <c r="AF893" s="4" t="n"/>
      <c r="AG893" s="4" t="n"/>
    </row>
    <row r="894" ht="47.25" customHeight="1">
      <c r="A894" s="18" t="n"/>
      <c r="B894" s="19" t="n"/>
      <c r="C894" s="20" t="n"/>
      <c r="D894" s="44" t="n"/>
      <c r="E894" s="23" t="n"/>
      <c r="F894" s="19" t="n"/>
      <c r="G894" s="19" t="n"/>
      <c r="H894" s="23" t="n"/>
      <c r="I894" s="19" t="n"/>
      <c r="J894" s="23" t="n"/>
      <c r="K894" s="21" t="n"/>
      <c r="L894" s="24" t="n"/>
      <c r="M894" s="24" t="n"/>
      <c r="N894" s="24" t="n"/>
      <c r="O894" s="24" t="n"/>
      <c r="P894" s="25" t="n"/>
      <c r="Q894" s="23" t="n"/>
      <c r="R894" s="23" t="n"/>
      <c r="S894" s="26" t="n"/>
      <c r="T894" s="24" t="n"/>
      <c r="U894" s="24" t="n"/>
      <c r="V894" s="24" t="n"/>
      <c r="W894" s="26" t="n"/>
      <c r="X894" s="23" t="n"/>
      <c r="Y894" s="18" t="n"/>
      <c r="Z894" s="27" t="n"/>
      <c r="AA894" s="27" t="n"/>
      <c r="AB894" s="27" t="n"/>
      <c r="AC894" s="27" t="n"/>
      <c r="AD894" s="1" t="n"/>
      <c r="AE894" s="1" t="n"/>
      <c r="AF894" s="4" t="n"/>
      <c r="AG894" s="4" t="n"/>
    </row>
    <row r="895" ht="47.25" customHeight="1">
      <c r="A895" s="18" t="n"/>
      <c r="B895" s="19" t="n"/>
      <c r="C895" s="20" t="n"/>
      <c r="D895" s="44" t="n"/>
      <c r="E895" s="23" t="n"/>
      <c r="F895" s="19" t="n"/>
      <c r="G895" s="19" t="n"/>
      <c r="H895" s="23" t="n"/>
      <c r="I895" s="19" t="n"/>
      <c r="J895" s="23" t="n"/>
      <c r="K895" s="21" t="n"/>
      <c r="L895" s="24" t="n"/>
      <c r="M895" s="24" t="n"/>
      <c r="N895" s="24" t="n"/>
      <c r="O895" s="24" t="n"/>
      <c r="P895" s="25" t="n"/>
      <c r="Q895" s="23" t="n"/>
      <c r="R895" s="23" t="n"/>
      <c r="S895" s="26" t="n"/>
      <c r="T895" s="24" t="n"/>
      <c r="U895" s="24" t="n"/>
      <c r="V895" s="24" t="n"/>
      <c r="W895" s="26" t="n"/>
      <c r="X895" s="23" t="n"/>
      <c r="Y895" s="18" t="n"/>
      <c r="Z895" s="27" t="n"/>
      <c r="AA895" s="27" t="n"/>
      <c r="AB895" s="27" t="n"/>
      <c r="AC895" s="27" t="n"/>
      <c r="AD895" s="1" t="n"/>
      <c r="AE895" s="1" t="n"/>
      <c r="AF895" s="4" t="n"/>
      <c r="AG895" s="4" t="n"/>
    </row>
    <row r="896" ht="47.25" customHeight="1">
      <c r="A896" s="18" t="n"/>
      <c r="B896" s="19" t="n"/>
      <c r="C896" s="20" t="n"/>
      <c r="D896" s="44" t="n"/>
      <c r="E896" s="23" t="n"/>
      <c r="F896" s="19" t="n"/>
      <c r="G896" s="19" t="n"/>
      <c r="H896" s="23" t="n"/>
      <c r="I896" s="19" t="n"/>
      <c r="J896" s="23" t="n"/>
      <c r="K896" s="21" t="n"/>
      <c r="L896" s="24" t="n"/>
      <c r="M896" s="24" t="n"/>
      <c r="N896" s="24" t="n"/>
      <c r="O896" s="24" t="n"/>
      <c r="P896" s="25" t="n"/>
      <c r="Q896" s="23" t="n"/>
      <c r="R896" s="23" t="n"/>
      <c r="S896" s="26" t="n"/>
      <c r="T896" s="24" t="n"/>
      <c r="U896" s="24" t="n"/>
      <c r="V896" s="24" t="n"/>
      <c r="W896" s="26" t="n"/>
      <c r="X896" s="23" t="n"/>
      <c r="Y896" s="18" t="n"/>
      <c r="Z896" s="27" t="n"/>
      <c r="AA896" s="27" t="n"/>
      <c r="AB896" s="27" t="n"/>
      <c r="AC896" s="27" t="n"/>
      <c r="AD896" s="1" t="n"/>
      <c r="AE896" s="1" t="n"/>
      <c r="AF896" s="4" t="n"/>
      <c r="AG896" s="4" t="n"/>
    </row>
    <row r="897" ht="47.25" customHeight="1">
      <c r="A897" s="18" t="n"/>
      <c r="B897" s="19" t="n"/>
      <c r="C897" s="20" t="n"/>
      <c r="D897" s="44" t="n"/>
      <c r="E897" s="23" t="n"/>
      <c r="F897" s="19" t="n"/>
      <c r="G897" s="19" t="n"/>
      <c r="H897" s="23" t="n"/>
      <c r="I897" s="19" t="n"/>
      <c r="J897" s="23" t="n"/>
      <c r="K897" s="21" t="n"/>
      <c r="L897" s="24" t="n"/>
      <c r="M897" s="24" t="n"/>
      <c r="N897" s="24" t="n"/>
      <c r="O897" s="24" t="n"/>
      <c r="P897" s="25" t="n"/>
      <c r="Q897" s="23" t="n"/>
      <c r="R897" s="23" t="n"/>
      <c r="S897" s="26" t="n"/>
      <c r="T897" s="24" t="n"/>
      <c r="U897" s="24" t="n"/>
      <c r="V897" s="24" t="n"/>
      <c r="W897" s="26" t="n"/>
      <c r="X897" s="23" t="n"/>
      <c r="Y897" s="18" t="n"/>
      <c r="Z897" s="27" t="n"/>
      <c r="AA897" s="27" t="n"/>
      <c r="AB897" s="27" t="n"/>
      <c r="AC897" s="27" t="n"/>
      <c r="AD897" s="1" t="n"/>
      <c r="AE897" s="1" t="n"/>
      <c r="AF897" s="4" t="n"/>
      <c r="AG897" s="4" t="n"/>
    </row>
    <row r="898" ht="47.25" customHeight="1">
      <c r="A898" s="18" t="n"/>
      <c r="B898" s="19" t="n"/>
      <c r="C898" s="20" t="n"/>
      <c r="D898" s="44" t="n"/>
      <c r="E898" s="23" t="n"/>
      <c r="F898" s="19" t="n"/>
      <c r="G898" s="19" t="n"/>
      <c r="H898" s="23" t="n"/>
      <c r="I898" s="19" t="n"/>
      <c r="J898" s="23" t="n"/>
      <c r="K898" s="21" t="n"/>
      <c r="L898" s="24" t="n"/>
      <c r="M898" s="24" t="n"/>
      <c r="N898" s="24" t="n"/>
      <c r="O898" s="24" t="n"/>
      <c r="P898" s="25" t="n"/>
      <c r="Q898" s="23" t="n"/>
      <c r="R898" s="23" t="n"/>
      <c r="S898" s="26" t="n"/>
      <c r="T898" s="24" t="n"/>
      <c r="U898" s="24" t="n"/>
      <c r="V898" s="24" t="n"/>
      <c r="W898" s="26" t="n"/>
      <c r="X898" s="23" t="n"/>
      <c r="Y898" s="18" t="n"/>
      <c r="Z898" s="27" t="n"/>
      <c r="AA898" s="27" t="n"/>
      <c r="AB898" s="27" t="n"/>
      <c r="AC898" s="27" t="n"/>
      <c r="AD898" s="1" t="n"/>
      <c r="AE898" s="1" t="n"/>
      <c r="AF898" s="4" t="n"/>
      <c r="AG898" s="4" t="n"/>
    </row>
    <row r="899" ht="47.25" customHeight="1">
      <c r="A899" s="18" t="n"/>
      <c r="B899" s="19" t="n"/>
      <c r="C899" s="20" t="n"/>
      <c r="D899" s="44" t="n"/>
      <c r="E899" s="23" t="n"/>
      <c r="F899" s="19" t="n"/>
      <c r="G899" s="19" t="n"/>
      <c r="H899" s="23" t="n"/>
      <c r="I899" s="19" t="n"/>
      <c r="J899" s="23" t="n"/>
      <c r="K899" s="21" t="n"/>
      <c r="L899" s="24" t="n"/>
      <c r="M899" s="24" t="n"/>
      <c r="N899" s="24" t="n"/>
      <c r="O899" s="24" t="n"/>
      <c r="P899" s="25" t="n"/>
      <c r="Q899" s="23" t="n"/>
      <c r="R899" s="23" t="n"/>
      <c r="S899" s="26" t="n"/>
      <c r="T899" s="24" t="n"/>
      <c r="U899" s="24" t="n"/>
      <c r="V899" s="24" t="n"/>
      <c r="W899" s="26" t="n"/>
      <c r="X899" s="23" t="n"/>
      <c r="Y899" s="18" t="n"/>
      <c r="Z899" s="27" t="n"/>
      <c r="AA899" s="27" t="n"/>
      <c r="AB899" s="27" t="n"/>
      <c r="AC899" s="27" t="n"/>
      <c r="AD899" s="1" t="n"/>
      <c r="AE899" s="1" t="n"/>
      <c r="AF899" s="4" t="n"/>
      <c r="AG899" s="4" t="n"/>
    </row>
    <row r="900" ht="47.25" customHeight="1">
      <c r="A900" s="18" t="n"/>
      <c r="B900" s="19" t="n"/>
      <c r="C900" s="20" t="n"/>
      <c r="D900" s="44" t="n"/>
      <c r="E900" s="23" t="n"/>
      <c r="F900" s="19" t="n"/>
      <c r="G900" s="19" t="n"/>
      <c r="H900" s="23" t="n"/>
      <c r="I900" s="19" t="n"/>
      <c r="J900" s="23" t="n"/>
      <c r="K900" s="21" t="n"/>
      <c r="L900" s="24" t="n"/>
      <c r="M900" s="24" t="n"/>
      <c r="N900" s="24" t="n"/>
      <c r="O900" s="24" t="n"/>
      <c r="P900" s="25" t="n"/>
      <c r="Q900" s="23" t="n"/>
      <c r="R900" s="23" t="n"/>
      <c r="S900" s="26" t="n"/>
      <c r="T900" s="24" t="n"/>
      <c r="U900" s="24" t="n"/>
      <c r="V900" s="24" t="n"/>
      <c r="W900" s="26" t="n"/>
      <c r="X900" s="23" t="n"/>
      <c r="Y900" s="18" t="n"/>
      <c r="Z900" s="27" t="n"/>
      <c r="AA900" s="27" t="n"/>
      <c r="AB900" s="27" t="n"/>
      <c r="AC900" s="27" t="n"/>
      <c r="AD900" s="1" t="n"/>
      <c r="AE900" s="1" t="n"/>
      <c r="AF900" s="4" t="n"/>
      <c r="AG900" s="4" t="n"/>
    </row>
    <row r="901" ht="47.25" customHeight="1">
      <c r="A901" s="18" t="n"/>
      <c r="B901" s="19" t="n"/>
      <c r="C901" s="20" t="n"/>
      <c r="D901" s="44" t="n"/>
      <c r="E901" s="23" t="n"/>
      <c r="F901" s="19" t="n"/>
      <c r="G901" s="19" t="n"/>
      <c r="H901" s="23" t="n"/>
      <c r="I901" s="19" t="n"/>
      <c r="J901" s="23" t="n"/>
      <c r="K901" s="21" t="n"/>
      <c r="L901" s="24" t="n"/>
      <c r="M901" s="24" t="n"/>
      <c r="N901" s="24" t="n"/>
      <c r="O901" s="24" t="n"/>
      <c r="P901" s="25" t="n"/>
      <c r="Q901" s="23" t="n"/>
      <c r="R901" s="23" t="n"/>
      <c r="S901" s="26" t="n"/>
      <c r="T901" s="24" t="n"/>
      <c r="U901" s="24" t="n"/>
      <c r="V901" s="24" t="n"/>
      <c r="W901" s="26" t="n"/>
      <c r="X901" s="23" t="n"/>
      <c r="Y901" s="18" t="n"/>
      <c r="Z901" s="27" t="n"/>
      <c r="AA901" s="27" t="n"/>
      <c r="AB901" s="27" t="n"/>
      <c r="AC901" s="27" t="n"/>
      <c r="AD901" s="1" t="n"/>
      <c r="AE901" s="1" t="n"/>
      <c r="AF901" s="4" t="n"/>
      <c r="AG901" s="4" t="n"/>
    </row>
    <row r="902" ht="47.25" customHeight="1">
      <c r="A902" s="18" t="n"/>
      <c r="B902" s="19" t="n"/>
      <c r="C902" s="20" t="n"/>
      <c r="D902" s="44" t="n"/>
      <c r="E902" s="23" t="n"/>
      <c r="F902" s="19" t="n"/>
      <c r="G902" s="19" t="n"/>
      <c r="H902" s="23" t="n"/>
      <c r="I902" s="19" t="n"/>
      <c r="J902" s="23" t="n"/>
      <c r="K902" s="21" t="n"/>
      <c r="L902" s="24" t="n"/>
      <c r="M902" s="24" t="n"/>
      <c r="N902" s="24" t="n"/>
      <c r="O902" s="24" t="n"/>
      <c r="P902" s="25" t="n"/>
      <c r="Q902" s="23" t="n"/>
      <c r="R902" s="23" t="n"/>
      <c r="S902" s="26" t="n"/>
      <c r="T902" s="24" t="n"/>
      <c r="U902" s="24" t="n"/>
      <c r="V902" s="24" t="n"/>
      <c r="W902" s="26" t="n"/>
      <c r="X902" s="23" t="n"/>
      <c r="Y902" s="18" t="n"/>
      <c r="Z902" s="27" t="n"/>
      <c r="AA902" s="27" t="n"/>
      <c r="AB902" s="27" t="n"/>
      <c r="AC902" s="27" t="n"/>
      <c r="AD902" s="1" t="n"/>
      <c r="AE902" s="1" t="n"/>
      <c r="AF902" s="4" t="n"/>
      <c r="AG902" s="4" t="n"/>
    </row>
    <row r="903" ht="47.25" customHeight="1">
      <c r="A903" s="18" t="n"/>
      <c r="B903" s="19" t="n"/>
      <c r="C903" s="20" t="n"/>
      <c r="D903" s="44" t="n"/>
      <c r="E903" s="23" t="n"/>
      <c r="F903" s="19" t="n"/>
      <c r="G903" s="19" t="n"/>
      <c r="H903" s="23" t="n"/>
      <c r="I903" s="19" t="n"/>
      <c r="J903" s="23" t="n"/>
      <c r="K903" s="21" t="n"/>
      <c r="L903" s="24" t="n"/>
      <c r="M903" s="24" t="n"/>
      <c r="N903" s="24" t="n"/>
      <c r="O903" s="24" t="n"/>
      <c r="P903" s="25" t="n"/>
      <c r="Q903" s="23" t="n"/>
      <c r="R903" s="23" t="n"/>
      <c r="S903" s="26" t="n"/>
      <c r="T903" s="24" t="n"/>
      <c r="U903" s="24" t="n"/>
      <c r="V903" s="24" t="n"/>
      <c r="W903" s="26" t="n"/>
      <c r="X903" s="23" t="n"/>
      <c r="Y903" s="18" t="n"/>
      <c r="Z903" s="27" t="n"/>
      <c r="AA903" s="27" t="n"/>
      <c r="AB903" s="27" t="n"/>
      <c r="AC903" s="27" t="n"/>
      <c r="AD903" s="1" t="n"/>
      <c r="AE903" s="1" t="n"/>
      <c r="AF903" s="4" t="n"/>
      <c r="AG903" s="4" t="n"/>
    </row>
    <row r="904" ht="47.25" customHeight="1">
      <c r="A904" s="18" t="n"/>
      <c r="B904" s="19" t="n"/>
      <c r="C904" s="20" t="n"/>
      <c r="D904" s="44" t="n"/>
      <c r="E904" s="23" t="n"/>
      <c r="F904" s="19" t="n"/>
      <c r="G904" s="19" t="n"/>
      <c r="H904" s="23" t="n"/>
      <c r="I904" s="19" t="n"/>
      <c r="J904" s="23" t="n"/>
      <c r="K904" s="21" t="n"/>
      <c r="L904" s="24" t="n"/>
      <c r="M904" s="24" t="n"/>
      <c r="N904" s="24" t="n"/>
      <c r="O904" s="24" t="n"/>
      <c r="P904" s="25" t="n"/>
      <c r="Q904" s="23" t="n"/>
      <c r="R904" s="23" t="n"/>
      <c r="S904" s="26" t="n"/>
      <c r="T904" s="24" t="n"/>
      <c r="U904" s="24" t="n"/>
      <c r="V904" s="24" t="n"/>
      <c r="W904" s="26" t="n"/>
      <c r="X904" s="23" t="n"/>
      <c r="Y904" s="18" t="n"/>
      <c r="Z904" s="27" t="n"/>
      <c r="AA904" s="27" t="n"/>
      <c r="AB904" s="27" t="n"/>
      <c r="AC904" s="27" t="n"/>
      <c r="AD904" s="1" t="n"/>
      <c r="AE904" s="1" t="n"/>
      <c r="AF904" s="4" t="n"/>
      <c r="AG904" s="4" t="n"/>
    </row>
    <row r="905" ht="47.25" customHeight="1">
      <c r="A905" s="18" t="n"/>
      <c r="B905" s="19" t="n"/>
      <c r="C905" s="20" t="n"/>
      <c r="D905" s="44" t="n"/>
      <c r="E905" s="23" t="n"/>
      <c r="F905" s="19" t="n"/>
      <c r="G905" s="19" t="n"/>
      <c r="H905" s="23" t="n"/>
      <c r="I905" s="19" t="n"/>
      <c r="J905" s="23" t="n"/>
      <c r="K905" s="21" t="n"/>
      <c r="L905" s="24" t="n"/>
      <c r="M905" s="24" t="n"/>
      <c r="N905" s="24" t="n"/>
      <c r="O905" s="24" t="n"/>
      <c r="P905" s="25" t="n"/>
      <c r="Q905" s="23" t="n"/>
      <c r="R905" s="23" t="n"/>
      <c r="S905" s="26" t="n"/>
      <c r="T905" s="24" t="n"/>
      <c r="U905" s="24" t="n"/>
      <c r="V905" s="24" t="n"/>
      <c r="W905" s="26" t="n"/>
      <c r="X905" s="23" t="n"/>
      <c r="Y905" s="18" t="n"/>
      <c r="Z905" s="27" t="n"/>
      <c r="AA905" s="27" t="n"/>
      <c r="AB905" s="27" t="n"/>
      <c r="AC905" s="27" t="n"/>
      <c r="AD905" s="1" t="n"/>
      <c r="AE905" s="1" t="n"/>
      <c r="AF905" s="4" t="n"/>
      <c r="AG905" s="4" t="n"/>
    </row>
    <row r="906" ht="47.25" customHeight="1">
      <c r="A906" s="18" t="n"/>
      <c r="B906" s="19" t="n"/>
      <c r="C906" s="20" t="n"/>
      <c r="D906" s="44" t="n"/>
      <c r="E906" s="23" t="n"/>
      <c r="F906" s="19" t="n"/>
      <c r="G906" s="19" t="n"/>
      <c r="H906" s="23" t="n"/>
      <c r="I906" s="19" t="n"/>
      <c r="J906" s="23" t="n"/>
      <c r="K906" s="21" t="n"/>
      <c r="L906" s="24" t="n"/>
      <c r="M906" s="24" t="n"/>
      <c r="N906" s="24" t="n"/>
      <c r="O906" s="24" t="n"/>
      <c r="P906" s="25" t="n"/>
      <c r="Q906" s="23" t="n"/>
      <c r="R906" s="23" t="n"/>
      <c r="S906" s="26" t="n"/>
      <c r="T906" s="24" t="n"/>
      <c r="U906" s="24" t="n"/>
      <c r="V906" s="24" t="n"/>
      <c r="W906" s="26" t="n"/>
      <c r="X906" s="23" t="n"/>
      <c r="Y906" s="18" t="n"/>
      <c r="Z906" s="27" t="n"/>
      <c r="AA906" s="27" t="n"/>
      <c r="AB906" s="27" t="n"/>
      <c r="AC906" s="27" t="n"/>
      <c r="AD906" s="1" t="n"/>
      <c r="AE906" s="1" t="n"/>
      <c r="AF906" s="4" t="n"/>
      <c r="AG906" s="4" t="n"/>
    </row>
    <row r="907" ht="47.25" customHeight="1">
      <c r="A907" s="18" t="n"/>
      <c r="B907" s="19" t="n"/>
      <c r="C907" s="20" t="n"/>
      <c r="D907" s="44" t="n"/>
      <c r="E907" s="23" t="n"/>
      <c r="F907" s="19" t="n"/>
      <c r="G907" s="19" t="n"/>
      <c r="H907" s="23" t="n"/>
      <c r="I907" s="19" t="n"/>
      <c r="J907" s="23" t="n"/>
      <c r="K907" s="21" t="n"/>
      <c r="L907" s="24" t="n"/>
      <c r="M907" s="24" t="n"/>
      <c r="N907" s="24" t="n"/>
      <c r="O907" s="24" t="n"/>
      <c r="P907" s="25" t="n"/>
      <c r="Q907" s="23" t="n"/>
      <c r="R907" s="23" t="n"/>
      <c r="S907" s="26" t="n"/>
      <c r="T907" s="24" t="n"/>
      <c r="U907" s="24" t="n"/>
      <c r="V907" s="24" t="n"/>
      <c r="W907" s="26" t="n"/>
      <c r="X907" s="23" t="n"/>
      <c r="Y907" s="18" t="n"/>
      <c r="Z907" s="27" t="n"/>
      <c r="AA907" s="27" t="n"/>
      <c r="AB907" s="27" t="n"/>
      <c r="AC907" s="27" t="n"/>
      <c r="AD907" s="1" t="n"/>
      <c r="AE907" s="1" t="n"/>
      <c r="AF907" s="4" t="n"/>
      <c r="AG907" s="4" t="n"/>
    </row>
    <row r="908" ht="47.25" customHeight="1">
      <c r="A908" s="18" t="n"/>
      <c r="B908" s="19" t="n"/>
      <c r="C908" s="20" t="n"/>
      <c r="D908" s="44" t="n"/>
      <c r="E908" s="23" t="n"/>
      <c r="F908" s="19" t="n"/>
      <c r="G908" s="19" t="n"/>
      <c r="H908" s="23" t="n"/>
      <c r="I908" s="19" t="n"/>
      <c r="J908" s="23" t="n"/>
      <c r="K908" s="21" t="n"/>
      <c r="L908" s="24" t="n"/>
      <c r="M908" s="24" t="n"/>
      <c r="N908" s="24" t="n"/>
      <c r="O908" s="24" t="n"/>
      <c r="P908" s="25" t="n"/>
      <c r="Q908" s="23" t="n"/>
      <c r="R908" s="23" t="n"/>
      <c r="S908" s="26" t="n"/>
      <c r="T908" s="24" t="n"/>
      <c r="U908" s="24" t="n"/>
      <c r="V908" s="24" t="n"/>
      <c r="W908" s="26" t="n"/>
      <c r="X908" s="23" t="n"/>
      <c r="Y908" s="18" t="n"/>
      <c r="Z908" s="27" t="n"/>
      <c r="AA908" s="27" t="n"/>
      <c r="AB908" s="27" t="n"/>
      <c r="AC908" s="27" t="n"/>
      <c r="AD908" s="1" t="n"/>
      <c r="AE908" s="1" t="n"/>
      <c r="AF908" s="4" t="n"/>
      <c r="AG908" s="4" t="n"/>
    </row>
    <row r="909" ht="47.25" customHeight="1">
      <c r="A909" s="18" t="n"/>
      <c r="B909" s="19" t="n"/>
      <c r="C909" s="20" t="n"/>
      <c r="D909" s="44" t="n"/>
      <c r="E909" s="23" t="n"/>
      <c r="F909" s="19" t="n"/>
      <c r="G909" s="19" t="n"/>
      <c r="H909" s="23" t="n"/>
      <c r="I909" s="19" t="n"/>
      <c r="J909" s="23" t="n"/>
      <c r="K909" s="21" t="n"/>
      <c r="L909" s="24" t="n"/>
      <c r="M909" s="24" t="n"/>
      <c r="N909" s="24" t="n"/>
      <c r="O909" s="24" t="n"/>
      <c r="P909" s="25" t="n"/>
      <c r="Q909" s="23" t="n"/>
      <c r="R909" s="23" t="n"/>
      <c r="S909" s="26" t="n"/>
      <c r="T909" s="24" t="n"/>
      <c r="U909" s="24" t="n"/>
      <c r="V909" s="24" t="n"/>
      <c r="W909" s="26" t="n"/>
      <c r="X909" s="23" t="n"/>
      <c r="Y909" s="18" t="n"/>
      <c r="Z909" s="27" t="n"/>
      <c r="AA909" s="27" t="n"/>
      <c r="AB909" s="27" t="n"/>
      <c r="AC909" s="27" t="n"/>
      <c r="AD909" s="1" t="n"/>
      <c r="AE909" s="1" t="n"/>
      <c r="AF909" s="4" t="n"/>
      <c r="AG909" s="4" t="n"/>
    </row>
    <row r="910" ht="47.25" customHeight="1">
      <c r="A910" s="18" t="n"/>
      <c r="B910" s="19" t="n"/>
      <c r="C910" s="20" t="n"/>
      <c r="D910" s="44" t="n"/>
      <c r="E910" s="23" t="n"/>
      <c r="F910" s="19" t="n"/>
      <c r="G910" s="19" t="n"/>
      <c r="H910" s="23" t="n"/>
      <c r="I910" s="19" t="n"/>
      <c r="J910" s="23" t="n"/>
      <c r="K910" s="21" t="n"/>
      <c r="L910" s="24" t="n"/>
      <c r="M910" s="24" t="n"/>
      <c r="N910" s="24" t="n"/>
      <c r="O910" s="24" t="n"/>
      <c r="P910" s="25" t="n"/>
      <c r="Q910" s="23" t="n"/>
      <c r="R910" s="23" t="n"/>
      <c r="S910" s="26" t="n"/>
      <c r="T910" s="24" t="n"/>
      <c r="U910" s="24" t="n"/>
      <c r="V910" s="24" t="n"/>
      <c r="W910" s="26" t="n"/>
      <c r="X910" s="23" t="n"/>
      <c r="Y910" s="18" t="n"/>
      <c r="Z910" s="27" t="n"/>
      <c r="AA910" s="27" t="n"/>
      <c r="AB910" s="27" t="n"/>
      <c r="AC910" s="27" t="n"/>
      <c r="AD910" s="1" t="n"/>
      <c r="AE910" s="1" t="n"/>
      <c r="AF910" s="4" t="n"/>
      <c r="AG910" s="4" t="n"/>
    </row>
    <row r="911" ht="47.25" customHeight="1">
      <c r="A911" s="18" t="n"/>
      <c r="B911" s="19" t="n"/>
      <c r="C911" s="20" t="n"/>
      <c r="D911" s="44" t="n"/>
      <c r="E911" s="23" t="n"/>
      <c r="F911" s="19" t="n"/>
      <c r="G911" s="19" t="n"/>
      <c r="H911" s="23" t="n"/>
      <c r="I911" s="19" t="n"/>
      <c r="J911" s="23" t="n"/>
      <c r="K911" s="21" t="n"/>
      <c r="L911" s="24" t="n"/>
      <c r="M911" s="24" t="n"/>
      <c r="N911" s="24" t="n"/>
      <c r="O911" s="24" t="n"/>
      <c r="P911" s="25" t="n"/>
      <c r="Q911" s="23" t="n"/>
      <c r="R911" s="23" t="n"/>
      <c r="S911" s="26" t="n"/>
      <c r="T911" s="24" t="n"/>
      <c r="U911" s="24" t="n"/>
      <c r="V911" s="24" t="n"/>
      <c r="W911" s="26" t="n"/>
      <c r="X911" s="23" t="n"/>
      <c r="Y911" s="18" t="n"/>
      <c r="Z911" s="27" t="n"/>
      <c r="AA911" s="27" t="n"/>
      <c r="AB911" s="27" t="n"/>
      <c r="AC911" s="27" t="n"/>
      <c r="AD911" s="1" t="n"/>
      <c r="AE911" s="1" t="n"/>
      <c r="AF911" s="4" t="n"/>
      <c r="AG911" s="4" t="n"/>
    </row>
    <row r="912" ht="47.25" customHeight="1">
      <c r="A912" s="18" t="n"/>
      <c r="B912" s="19" t="n"/>
      <c r="C912" s="20" t="n"/>
      <c r="D912" s="44" t="n"/>
      <c r="E912" s="23" t="n"/>
      <c r="F912" s="19" t="n"/>
      <c r="G912" s="19" t="n"/>
      <c r="H912" s="23" t="n"/>
      <c r="I912" s="19" t="n"/>
      <c r="J912" s="23" t="n"/>
      <c r="K912" s="21" t="n"/>
      <c r="L912" s="24" t="n"/>
      <c r="M912" s="24" t="n"/>
      <c r="N912" s="24" t="n"/>
      <c r="O912" s="24" t="n"/>
      <c r="P912" s="25" t="n"/>
      <c r="Q912" s="23" t="n"/>
      <c r="R912" s="23" t="n"/>
      <c r="S912" s="26" t="n"/>
      <c r="T912" s="24" t="n"/>
      <c r="U912" s="24" t="n"/>
      <c r="V912" s="24" t="n"/>
      <c r="W912" s="26" t="n"/>
      <c r="X912" s="23" t="n"/>
      <c r="Y912" s="18" t="n"/>
      <c r="Z912" s="27" t="n"/>
      <c r="AA912" s="27" t="n"/>
      <c r="AB912" s="27" t="n"/>
      <c r="AC912" s="27" t="n"/>
      <c r="AD912" s="1" t="n"/>
      <c r="AE912" s="1" t="n"/>
      <c r="AF912" s="4" t="n"/>
      <c r="AG912" s="4" t="n"/>
    </row>
    <row r="913" ht="47.25" customHeight="1">
      <c r="A913" s="18" t="n"/>
      <c r="B913" s="19" t="n"/>
      <c r="C913" s="20" t="n"/>
      <c r="D913" s="44" t="n"/>
      <c r="E913" s="23" t="n"/>
      <c r="F913" s="19" t="n"/>
      <c r="G913" s="19" t="n"/>
      <c r="H913" s="23" t="n"/>
      <c r="I913" s="19" t="n"/>
      <c r="J913" s="23" t="n"/>
      <c r="K913" s="21" t="n"/>
      <c r="L913" s="24" t="n"/>
      <c r="M913" s="24" t="n"/>
      <c r="N913" s="24" t="n"/>
      <c r="O913" s="24" t="n"/>
      <c r="P913" s="25" t="n"/>
      <c r="Q913" s="23" t="n"/>
      <c r="R913" s="23" t="n"/>
      <c r="S913" s="26" t="n"/>
      <c r="T913" s="24" t="n"/>
      <c r="U913" s="24" t="n"/>
      <c r="V913" s="24" t="n"/>
      <c r="W913" s="26" t="n"/>
      <c r="X913" s="23" t="n"/>
      <c r="Y913" s="18" t="n"/>
      <c r="Z913" s="27" t="n"/>
      <c r="AA913" s="27" t="n"/>
      <c r="AB913" s="27" t="n"/>
      <c r="AC913" s="27" t="n"/>
      <c r="AD913" s="1" t="n"/>
      <c r="AE913" s="1" t="n"/>
      <c r="AF913" s="4" t="n"/>
      <c r="AG913" s="4" t="n"/>
    </row>
    <row r="914" ht="47.25" customHeight="1">
      <c r="A914" s="18" t="n"/>
      <c r="B914" s="19" t="n"/>
      <c r="C914" s="20" t="n"/>
      <c r="D914" s="44" t="n"/>
      <c r="E914" s="23" t="n"/>
      <c r="F914" s="19" t="n"/>
      <c r="G914" s="19" t="n"/>
      <c r="H914" s="23" t="n"/>
      <c r="I914" s="19" t="n"/>
      <c r="J914" s="23" t="n"/>
      <c r="K914" s="21" t="n"/>
      <c r="L914" s="24" t="n"/>
      <c r="M914" s="24" t="n"/>
      <c r="N914" s="24" t="n"/>
      <c r="O914" s="24" t="n"/>
      <c r="P914" s="25" t="n"/>
      <c r="Q914" s="23" t="n"/>
      <c r="R914" s="23" t="n"/>
      <c r="S914" s="26" t="n"/>
      <c r="T914" s="24" t="n"/>
      <c r="U914" s="24" t="n"/>
      <c r="V914" s="24" t="n"/>
      <c r="W914" s="26" t="n"/>
      <c r="X914" s="23" t="n"/>
      <c r="Y914" s="18" t="n"/>
      <c r="Z914" s="27" t="n"/>
      <c r="AA914" s="27" t="n"/>
      <c r="AB914" s="27" t="n"/>
      <c r="AC914" s="27" t="n"/>
      <c r="AD914" s="1" t="n"/>
      <c r="AE914" s="1" t="n"/>
      <c r="AF914" s="4" t="n"/>
      <c r="AG914" s="4" t="n"/>
    </row>
    <row r="915" ht="47.25" customHeight="1">
      <c r="A915" s="18" t="n"/>
      <c r="B915" s="19" t="n"/>
      <c r="C915" s="20" t="n"/>
      <c r="D915" s="44" t="n"/>
      <c r="E915" s="23" t="n"/>
      <c r="F915" s="19" t="n"/>
      <c r="G915" s="19" t="n"/>
      <c r="H915" s="23" t="n"/>
      <c r="I915" s="19" t="n"/>
      <c r="J915" s="23" t="n"/>
      <c r="K915" s="21" t="n"/>
      <c r="L915" s="24" t="n"/>
      <c r="M915" s="24" t="n"/>
      <c r="N915" s="24" t="n"/>
      <c r="O915" s="24" t="n"/>
      <c r="P915" s="25" t="n"/>
      <c r="Q915" s="23" t="n"/>
      <c r="R915" s="23" t="n"/>
      <c r="S915" s="26" t="n"/>
      <c r="T915" s="24" t="n"/>
      <c r="U915" s="24" t="n"/>
      <c r="V915" s="24" t="n"/>
      <c r="W915" s="26" t="n"/>
      <c r="X915" s="23" t="n"/>
      <c r="Y915" s="18" t="n"/>
      <c r="Z915" s="27" t="n"/>
      <c r="AA915" s="27" t="n"/>
      <c r="AB915" s="27" t="n"/>
      <c r="AC915" s="27" t="n"/>
      <c r="AD915" s="1" t="n"/>
      <c r="AE915" s="1" t="n"/>
      <c r="AF915" s="4" t="n"/>
      <c r="AG915" s="4" t="n"/>
    </row>
    <row r="916" ht="47.25" customHeight="1">
      <c r="A916" s="18" t="n"/>
      <c r="B916" s="19" t="n"/>
      <c r="C916" s="20" t="n"/>
      <c r="D916" s="44" t="n"/>
      <c r="E916" s="23" t="n"/>
      <c r="F916" s="19" t="n"/>
      <c r="G916" s="19" t="n"/>
      <c r="H916" s="23" t="n"/>
      <c r="I916" s="19" t="n"/>
      <c r="J916" s="23" t="n"/>
      <c r="K916" s="21" t="n"/>
      <c r="L916" s="24" t="n"/>
      <c r="M916" s="24" t="n"/>
      <c r="N916" s="24" t="n"/>
      <c r="O916" s="24" t="n"/>
      <c r="P916" s="25" t="n"/>
      <c r="Q916" s="23" t="n"/>
      <c r="R916" s="23" t="n"/>
      <c r="S916" s="26" t="n"/>
      <c r="T916" s="24" t="n"/>
      <c r="U916" s="24" t="n"/>
      <c r="V916" s="24" t="n"/>
      <c r="W916" s="26" t="n"/>
      <c r="X916" s="23" t="n"/>
      <c r="Y916" s="18" t="n"/>
      <c r="Z916" s="27" t="n"/>
      <c r="AA916" s="27" t="n"/>
      <c r="AB916" s="27" t="n"/>
      <c r="AC916" s="27" t="n"/>
      <c r="AD916" s="1" t="n"/>
      <c r="AE916" s="1" t="n"/>
      <c r="AF916" s="4" t="n"/>
      <c r="AG916" s="4" t="n"/>
    </row>
    <row r="917" ht="47.25" customHeight="1">
      <c r="A917" s="18" t="n"/>
      <c r="B917" s="19" t="n"/>
      <c r="C917" s="20" t="n"/>
      <c r="D917" s="44" t="n"/>
      <c r="E917" s="23" t="n"/>
      <c r="F917" s="19" t="n"/>
      <c r="G917" s="19" t="n"/>
      <c r="H917" s="23" t="n"/>
      <c r="I917" s="19" t="n"/>
      <c r="J917" s="23" t="n"/>
      <c r="K917" s="21" t="n"/>
      <c r="L917" s="24" t="n"/>
      <c r="M917" s="24" t="n"/>
      <c r="N917" s="24" t="n"/>
      <c r="O917" s="24" t="n"/>
      <c r="P917" s="25" t="n"/>
      <c r="Q917" s="23" t="n"/>
      <c r="R917" s="23" t="n"/>
      <c r="S917" s="26" t="n"/>
      <c r="T917" s="24" t="n"/>
      <c r="U917" s="24" t="n"/>
      <c r="V917" s="24" t="n"/>
      <c r="W917" s="26" t="n"/>
      <c r="X917" s="23" t="n"/>
      <c r="Y917" s="18" t="n"/>
      <c r="Z917" s="27" t="n"/>
      <c r="AA917" s="27" t="n"/>
      <c r="AB917" s="27" t="n"/>
      <c r="AC917" s="27" t="n"/>
      <c r="AD917" s="1" t="n"/>
      <c r="AE917" s="1" t="n"/>
      <c r="AF917" s="4" t="n"/>
      <c r="AG917" s="4" t="n"/>
    </row>
    <row r="918" ht="47.25" customHeight="1">
      <c r="A918" s="18" t="n"/>
      <c r="B918" s="19" t="n"/>
      <c r="C918" s="20" t="n"/>
      <c r="D918" s="44" t="n"/>
      <c r="E918" s="23" t="n"/>
      <c r="F918" s="19" t="n"/>
      <c r="G918" s="19" t="n"/>
      <c r="H918" s="23" t="n"/>
      <c r="I918" s="19" t="n"/>
      <c r="J918" s="23" t="n"/>
      <c r="K918" s="21" t="n"/>
      <c r="L918" s="24" t="n"/>
      <c r="M918" s="24" t="n"/>
      <c r="N918" s="24" t="n"/>
      <c r="O918" s="24" t="n"/>
      <c r="P918" s="25" t="n"/>
      <c r="Q918" s="23" t="n"/>
      <c r="R918" s="23" t="n"/>
      <c r="S918" s="26" t="n"/>
      <c r="T918" s="24" t="n"/>
      <c r="U918" s="24" t="n"/>
      <c r="V918" s="24" t="n"/>
      <c r="W918" s="26" t="n"/>
      <c r="X918" s="23" t="n"/>
      <c r="Y918" s="18" t="n"/>
      <c r="Z918" s="27" t="n"/>
      <c r="AA918" s="27" t="n"/>
      <c r="AB918" s="27" t="n"/>
      <c r="AC918" s="27" t="n"/>
      <c r="AD918" s="1" t="n"/>
      <c r="AE918" s="1" t="n"/>
      <c r="AF918" s="4" t="n"/>
      <c r="AG918" s="4" t="n"/>
    </row>
    <row r="919" ht="47.25" customHeight="1">
      <c r="A919" s="18" t="n"/>
      <c r="B919" s="19" t="n"/>
      <c r="C919" s="20" t="n"/>
      <c r="D919" s="44" t="n"/>
      <c r="E919" s="23" t="n"/>
      <c r="F919" s="19" t="n"/>
      <c r="G919" s="19" t="n"/>
      <c r="H919" s="23" t="n"/>
      <c r="I919" s="19" t="n"/>
      <c r="J919" s="23" t="n"/>
      <c r="K919" s="21" t="n"/>
      <c r="L919" s="24" t="n"/>
      <c r="M919" s="24" t="n"/>
      <c r="N919" s="24" t="n"/>
      <c r="O919" s="24" t="n"/>
      <c r="P919" s="25" t="n"/>
      <c r="Q919" s="23" t="n"/>
      <c r="R919" s="23" t="n"/>
      <c r="S919" s="26" t="n"/>
      <c r="T919" s="24" t="n"/>
      <c r="U919" s="24" t="n"/>
      <c r="V919" s="24" t="n"/>
      <c r="W919" s="26" t="n"/>
      <c r="X919" s="23" t="n"/>
      <c r="Y919" s="18" t="n"/>
      <c r="Z919" s="27" t="n"/>
      <c r="AA919" s="27" t="n"/>
      <c r="AB919" s="27" t="n"/>
      <c r="AC919" s="27" t="n"/>
      <c r="AD919" s="1" t="n"/>
      <c r="AE919" s="1" t="n"/>
      <c r="AF919" s="4" t="n"/>
      <c r="AG919" s="4" t="n"/>
    </row>
    <row r="920" ht="47.25" customHeight="1">
      <c r="A920" s="18" t="n"/>
      <c r="B920" s="19" t="n"/>
      <c r="C920" s="20" t="n"/>
      <c r="D920" s="44" t="n"/>
      <c r="E920" s="23" t="n"/>
      <c r="F920" s="19" t="n"/>
      <c r="G920" s="19" t="n"/>
      <c r="H920" s="23" t="n"/>
      <c r="I920" s="19" t="n"/>
      <c r="J920" s="23" t="n"/>
      <c r="K920" s="21" t="n"/>
      <c r="L920" s="24" t="n"/>
      <c r="M920" s="24" t="n"/>
      <c r="N920" s="24" t="n"/>
      <c r="O920" s="24" t="n"/>
      <c r="P920" s="25" t="n"/>
      <c r="Q920" s="23" t="n"/>
      <c r="R920" s="23" t="n"/>
      <c r="S920" s="26" t="n"/>
      <c r="T920" s="24" t="n"/>
      <c r="U920" s="24" t="n"/>
      <c r="V920" s="24" t="n"/>
      <c r="W920" s="26" t="n"/>
      <c r="X920" s="23" t="n"/>
      <c r="Y920" s="18" t="n"/>
      <c r="Z920" s="27" t="n"/>
      <c r="AA920" s="27" t="n"/>
      <c r="AB920" s="27" t="n"/>
      <c r="AC920" s="27" t="n"/>
      <c r="AD920" s="1" t="n"/>
      <c r="AE920" s="1" t="n"/>
      <c r="AF920" s="4" t="n"/>
      <c r="AG920" s="4" t="n"/>
    </row>
    <row r="921" ht="47.25" customHeight="1">
      <c r="A921" s="18" t="n"/>
      <c r="B921" s="19" t="n"/>
      <c r="C921" s="20" t="n"/>
      <c r="D921" s="44" t="n"/>
      <c r="E921" s="23" t="n"/>
      <c r="F921" s="19" t="n"/>
      <c r="G921" s="19" t="n"/>
      <c r="H921" s="23" t="n"/>
      <c r="I921" s="19" t="n"/>
      <c r="J921" s="23" t="n"/>
      <c r="K921" s="21" t="n"/>
      <c r="L921" s="24" t="n"/>
      <c r="M921" s="24" t="n"/>
      <c r="N921" s="24" t="n"/>
      <c r="O921" s="24" t="n"/>
      <c r="P921" s="25" t="n"/>
      <c r="Q921" s="23" t="n"/>
      <c r="R921" s="23" t="n"/>
      <c r="S921" s="26" t="n"/>
      <c r="T921" s="24" t="n"/>
      <c r="U921" s="24" t="n"/>
      <c r="V921" s="24" t="n"/>
      <c r="W921" s="26" t="n"/>
      <c r="X921" s="23" t="n"/>
      <c r="Y921" s="18" t="n"/>
      <c r="Z921" s="27" t="n"/>
      <c r="AA921" s="27" t="n"/>
      <c r="AB921" s="27" t="n"/>
      <c r="AC921" s="27" t="n"/>
      <c r="AD921" s="1" t="n"/>
      <c r="AE921" s="1" t="n"/>
      <c r="AF921" s="4" t="n"/>
      <c r="AG921" s="4" t="n"/>
    </row>
    <row r="922" ht="47.25" customHeight="1">
      <c r="A922" s="18" t="n"/>
      <c r="B922" s="19" t="n"/>
      <c r="C922" s="20" t="n"/>
      <c r="D922" s="44" t="n"/>
      <c r="E922" s="23" t="n"/>
      <c r="F922" s="19" t="n"/>
      <c r="G922" s="19" t="n"/>
      <c r="H922" s="23" t="n"/>
      <c r="I922" s="19" t="n"/>
      <c r="J922" s="23" t="n"/>
      <c r="K922" s="21" t="n"/>
      <c r="L922" s="24" t="n"/>
      <c r="M922" s="24" t="n"/>
      <c r="N922" s="24" t="n"/>
      <c r="O922" s="24" t="n"/>
      <c r="P922" s="25" t="n"/>
      <c r="Q922" s="23" t="n"/>
      <c r="R922" s="23" t="n"/>
      <c r="S922" s="26" t="n"/>
      <c r="T922" s="24" t="n"/>
      <c r="U922" s="24" t="n"/>
      <c r="V922" s="24" t="n"/>
      <c r="W922" s="26" t="n"/>
      <c r="X922" s="23" t="n"/>
      <c r="Y922" s="18" t="n"/>
      <c r="Z922" s="27" t="n"/>
      <c r="AA922" s="27" t="n"/>
      <c r="AB922" s="27" t="n"/>
      <c r="AC922" s="27" t="n"/>
      <c r="AD922" s="1" t="n"/>
      <c r="AE922" s="1" t="n"/>
      <c r="AF922" s="4" t="n"/>
      <c r="AG922" s="4" t="n"/>
    </row>
    <row r="923" ht="47.25" customHeight="1">
      <c r="A923" s="18" t="n"/>
      <c r="B923" s="19" t="n"/>
      <c r="C923" s="20" t="n"/>
      <c r="D923" s="44" t="n"/>
      <c r="E923" s="23" t="n"/>
      <c r="F923" s="19" t="n"/>
      <c r="G923" s="19" t="n"/>
      <c r="H923" s="23" t="n"/>
      <c r="I923" s="19" t="n"/>
      <c r="J923" s="23" t="n"/>
      <c r="K923" s="21" t="n"/>
      <c r="L923" s="24" t="n"/>
      <c r="M923" s="24" t="n"/>
      <c r="N923" s="24" t="n"/>
      <c r="O923" s="24" t="n"/>
      <c r="P923" s="25" t="n"/>
      <c r="Q923" s="23" t="n"/>
      <c r="R923" s="23" t="n"/>
      <c r="S923" s="26" t="n"/>
      <c r="T923" s="24" t="n"/>
      <c r="U923" s="24" t="n"/>
      <c r="V923" s="24" t="n"/>
      <c r="W923" s="26" t="n"/>
      <c r="X923" s="23" t="n"/>
      <c r="Y923" s="18" t="n"/>
      <c r="Z923" s="27" t="n"/>
      <c r="AA923" s="27" t="n"/>
      <c r="AB923" s="27" t="n"/>
      <c r="AC923" s="27" t="n"/>
      <c r="AD923" s="1" t="n"/>
      <c r="AE923" s="1" t="n"/>
      <c r="AF923" s="4" t="n"/>
      <c r="AG923" s="4" t="n"/>
    </row>
    <row r="924" ht="47.25" customHeight="1">
      <c r="A924" s="18" t="n"/>
      <c r="B924" s="19" t="n"/>
      <c r="C924" s="20" t="n"/>
      <c r="D924" s="44" t="n"/>
      <c r="E924" s="23" t="n"/>
      <c r="F924" s="19" t="n"/>
      <c r="G924" s="19" t="n"/>
      <c r="H924" s="23" t="n"/>
      <c r="I924" s="19" t="n"/>
      <c r="J924" s="23" t="n"/>
      <c r="K924" s="21" t="n"/>
      <c r="L924" s="24" t="n"/>
      <c r="M924" s="24" t="n"/>
      <c r="N924" s="24" t="n"/>
      <c r="O924" s="24" t="n"/>
      <c r="P924" s="25" t="n"/>
      <c r="Q924" s="23" t="n"/>
      <c r="R924" s="23" t="n"/>
      <c r="S924" s="26" t="n"/>
      <c r="T924" s="24" t="n"/>
      <c r="U924" s="24" t="n"/>
      <c r="V924" s="24" t="n"/>
      <c r="W924" s="26" t="n"/>
      <c r="X924" s="23" t="n"/>
      <c r="Y924" s="18" t="n"/>
      <c r="Z924" s="27" t="n"/>
      <c r="AA924" s="27" t="n"/>
      <c r="AB924" s="27" t="n"/>
      <c r="AC924" s="27" t="n"/>
      <c r="AD924" s="1" t="n"/>
      <c r="AE924" s="1" t="n"/>
      <c r="AF924" s="4" t="n"/>
      <c r="AG924" s="4" t="n"/>
    </row>
    <row r="925" ht="47.25" customHeight="1">
      <c r="A925" s="18" t="n"/>
      <c r="B925" s="19" t="n"/>
      <c r="C925" s="20" t="n"/>
      <c r="D925" s="44" t="n"/>
      <c r="E925" s="23" t="n"/>
      <c r="F925" s="19" t="n"/>
      <c r="G925" s="19" t="n"/>
      <c r="H925" s="23" t="n"/>
      <c r="I925" s="19" t="n"/>
      <c r="J925" s="23" t="n"/>
      <c r="K925" s="21" t="n"/>
      <c r="L925" s="24" t="n"/>
      <c r="M925" s="24" t="n"/>
      <c r="N925" s="24" t="n"/>
      <c r="O925" s="24" t="n"/>
      <c r="P925" s="25" t="n"/>
      <c r="Q925" s="23" t="n"/>
      <c r="R925" s="23" t="n"/>
      <c r="S925" s="26" t="n"/>
      <c r="T925" s="24" t="n"/>
      <c r="U925" s="24" t="n"/>
      <c r="V925" s="24" t="n"/>
      <c r="W925" s="26" t="n"/>
      <c r="X925" s="23" t="n"/>
      <c r="Y925" s="18" t="n"/>
      <c r="Z925" s="27" t="n"/>
      <c r="AA925" s="27" t="n"/>
      <c r="AB925" s="27" t="n"/>
      <c r="AC925" s="27" t="n"/>
      <c r="AD925" s="1" t="n"/>
      <c r="AE925" s="1" t="n"/>
      <c r="AF925" s="4" t="n"/>
      <c r="AG925" s="4" t="n"/>
    </row>
    <row r="926" ht="47.25" customHeight="1">
      <c r="A926" s="18" t="n"/>
      <c r="B926" s="19" t="n"/>
      <c r="C926" s="20" t="n"/>
      <c r="D926" s="44" t="n"/>
      <c r="E926" s="23" t="n"/>
      <c r="F926" s="19" t="n"/>
      <c r="G926" s="19" t="n"/>
      <c r="H926" s="23" t="n"/>
      <c r="I926" s="19" t="n"/>
      <c r="J926" s="23" t="n"/>
      <c r="K926" s="21" t="n"/>
      <c r="L926" s="24" t="n"/>
      <c r="M926" s="24" t="n"/>
      <c r="N926" s="24" t="n"/>
      <c r="O926" s="24" t="n"/>
      <c r="P926" s="25" t="n"/>
      <c r="Q926" s="23" t="n"/>
      <c r="R926" s="23" t="n"/>
      <c r="S926" s="26" t="n"/>
      <c r="T926" s="24" t="n"/>
      <c r="U926" s="24" t="n"/>
      <c r="V926" s="24" t="n"/>
      <c r="W926" s="26" t="n"/>
      <c r="X926" s="23" t="n"/>
      <c r="Y926" s="18" t="n"/>
      <c r="Z926" s="27" t="n"/>
      <c r="AA926" s="27" t="n"/>
      <c r="AB926" s="27" t="n"/>
      <c r="AC926" s="27" t="n"/>
      <c r="AD926" s="1" t="n"/>
      <c r="AE926" s="1" t="n"/>
      <c r="AF926" s="4" t="n"/>
      <c r="AG926" s="4" t="n"/>
    </row>
    <row r="927" ht="47.25" customHeight="1">
      <c r="A927" s="18" t="n"/>
      <c r="B927" s="19" t="n"/>
      <c r="C927" s="20" t="n"/>
      <c r="D927" s="44" t="n"/>
      <c r="E927" s="23" t="n"/>
      <c r="F927" s="19" t="n"/>
      <c r="G927" s="19" t="n"/>
      <c r="H927" s="23" t="n"/>
      <c r="I927" s="19" t="n"/>
      <c r="J927" s="23" t="n"/>
      <c r="K927" s="21" t="n"/>
      <c r="L927" s="24" t="n"/>
      <c r="M927" s="24" t="n"/>
      <c r="N927" s="24" t="n"/>
      <c r="O927" s="24" t="n"/>
      <c r="P927" s="25" t="n"/>
      <c r="Q927" s="23" t="n"/>
      <c r="R927" s="23" t="n"/>
      <c r="S927" s="26" t="n"/>
      <c r="T927" s="24" t="n"/>
      <c r="U927" s="24" t="n"/>
      <c r="V927" s="24" t="n"/>
      <c r="W927" s="26" t="n"/>
      <c r="X927" s="23" t="n"/>
      <c r="Y927" s="18" t="n"/>
      <c r="Z927" s="27" t="n"/>
      <c r="AA927" s="27" t="n"/>
      <c r="AB927" s="27" t="n"/>
      <c r="AC927" s="27" t="n"/>
      <c r="AD927" s="1" t="n"/>
      <c r="AE927" s="1" t="n"/>
      <c r="AF927" s="4" t="n"/>
      <c r="AG927" s="4" t="n"/>
    </row>
    <row r="928" ht="47.25" customHeight="1">
      <c r="A928" s="18" t="n"/>
      <c r="B928" s="19" t="n"/>
      <c r="C928" s="20" t="n"/>
      <c r="D928" s="44" t="n"/>
      <c r="E928" s="23" t="n"/>
      <c r="F928" s="19" t="n"/>
      <c r="G928" s="19" t="n"/>
      <c r="H928" s="23" t="n"/>
      <c r="I928" s="19" t="n"/>
      <c r="J928" s="23" t="n"/>
      <c r="K928" s="21" t="n"/>
      <c r="L928" s="24" t="n"/>
      <c r="M928" s="24" t="n"/>
      <c r="N928" s="24" t="n"/>
      <c r="O928" s="24" t="n"/>
      <c r="P928" s="25" t="n"/>
      <c r="Q928" s="23" t="n"/>
      <c r="R928" s="23" t="n"/>
      <c r="S928" s="26" t="n"/>
      <c r="T928" s="24" t="n"/>
      <c r="U928" s="24" t="n"/>
      <c r="V928" s="24" t="n"/>
      <c r="W928" s="26" t="n"/>
      <c r="X928" s="23" t="n"/>
      <c r="Y928" s="18" t="n"/>
      <c r="Z928" s="27" t="n"/>
      <c r="AA928" s="27" t="n"/>
      <c r="AB928" s="27" t="n"/>
      <c r="AC928" s="27" t="n"/>
      <c r="AD928" s="1" t="n"/>
      <c r="AE928" s="1" t="n"/>
      <c r="AF928" s="4" t="n"/>
      <c r="AG928" s="4" t="n"/>
    </row>
    <row r="929" ht="47.25" customHeight="1">
      <c r="A929" s="18" t="n"/>
      <c r="B929" s="19" t="n"/>
      <c r="C929" s="20" t="n"/>
      <c r="D929" s="44" t="n"/>
      <c r="E929" s="23" t="n"/>
      <c r="F929" s="19" t="n"/>
      <c r="G929" s="19" t="n"/>
      <c r="H929" s="23" t="n"/>
      <c r="I929" s="19" t="n"/>
      <c r="J929" s="23" t="n"/>
      <c r="K929" s="21" t="n"/>
      <c r="L929" s="24" t="n"/>
      <c r="M929" s="24" t="n"/>
      <c r="N929" s="24" t="n"/>
      <c r="O929" s="24" t="n"/>
      <c r="P929" s="25" t="n"/>
      <c r="Q929" s="23" t="n"/>
      <c r="R929" s="23" t="n"/>
      <c r="S929" s="26" t="n"/>
      <c r="T929" s="24" t="n"/>
      <c r="U929" s="24" t="n"/>
      <c r="V929" s="24" t="n"/>
      <c r="W929" s="26" t="n"/>
      <c r="X929" s="23" t="n"/>
      <c r="Y929" s="18" t="n"/>
      <c r="Z929" s="27" t="n"/>
      <c r="AA929" s="27" t="n"/>
      <c r="AB929" s="27" t="n"/>
      <c r="AC929" s="27" t="n"/>
      <c r="AD929" s="1" t="n"/>
      <c r="AE929" s="1" t="n"/>
      <c r="AF929" s="4" t="n"/>
      <c r="AG929" s="4" t="n"/>
    </row>
    <row r="930" ht="47.25" customHeight="1">
      <c r="A930" s="18" t="n"/>
      <c r="B930" s="19" t="n"/>
      <c r="C930" s="20" t="n"/>
      <c r="D930" s="44" t="n"/>
      <c r="E930" s="23" t="n"/>
      <c r="F930" s="19" t="n"/>
      <c r="G930" s="19" t="n"/>
      <c r="H930" s="23" t="n"/>
      <c r="I930" s="19" t="n"/>
      <c r="J930" s="23" t="n"/>
      <c r="K930" s="21" t="n"/>
      <c r="L930" s="24" t="n"/>
      <c r="M930" s="24" t="n"/>
      <c r="N930" s="24" t="n"/>
      <c r="O930" s="24" t="n"/>
      <c r="P930" s="25" t="n"/>
      <c r="Q930" s="23" t="n"/>
      <c r="R930" s="23" t="n"/>
      <c r="S930" s="26" t="n"/>
      <c r="T930" s="24" t="n"/>
      <c r="U930" s="24" t="n"/>
      <c r="V930" s="24" t="n"/>
      <c r="W930" s="26" t="n"/>
      <c r="X930" s="23" t="n"/>
      <c r="Y930" s="18" t="n"/>
      <c r="Z930" s="27" t="n"/>
      <c r="AA930" s="27" t="n"/>
      <c r="AB930" s="27" t="n"/>
      <c r="AC930" s="27" t="n"/>
      <c r="AD930" s="1" t="n"/>
      <c r="AE930" s="1" t="n"/>
      <c r="AF930" s="4" t="n"/>
      <c r="AG930" s="4" t="n"/>
    </row>
    <row r="931" ht="47.25" customHeight="1">
      <c r="A931" s="18" t="n"/>
      <c r="B931" s="19" t="n"/>
      <c r="C931" s="20" t="n"/>
      <c r="D931" s="44" t="n"/>
      <c r="E931" s="23" t="n"/>
      <c r="F931" s="19" t="n"/>
      <c r="G931" s="19" t="n"/>
      <c r="H931" s="23" t="n"/>
      <c r="I931" s="19" t="n"/>
      <c r="J931" s="23" t="n"/>
      <c r="K931" s="21" t="n"/>
      <c r="L931" s="24" t="n"/>
      <c r="M931" s="24" t="n"/>
      <c r="N931" s="24" t="n"/>
      <c r="O931" s="24" t="n"/>
      <c r="P931" s="25" t="n"/>
      <c r="Q931" s="23" t="n"/>
      <c r="R931" s="23" t="n"/>
      <c r="S931" s="26" t="n"/>
      <c r="T931" s="24" t="n"/>
      <c r="U931" s="24" t="n"/>
      <c r="V931" s="24" t="n"/>
      <c r="W931" s="26" t="n"/>
      <c r="X931" s="23" t="n"/>
      <c r="Y931" s="18" t="n"/>
      <c r="Z931" s="27" t="n"/>
      <c r="AA931" s="27" t="n"/>
      <c r="AB931" s="27" t="n"/>
      <c r="AC931" s="27" t="n"/>
      <c r="AD931" s="1" t="n"/>
      <c r="AE931" s="1" t="n"/>
      <c r="AF931" s="4" t="n"/>
      <c r="AG931" s="4" t="n"/>
    </row>
    <row r="932" ht="47.25" customHeight="1">
      <c r="A932" s="18" t="n"/>
      <c r="B932" s="19" t="n"/>
      <c r="C932" s="20" t="n"/>
      <c r="D932" s="44" t="n"/>
      <c r="E932" s="23" t="n"/>
      <c r="F932" s="19" t="n"/>
      <c r="G932" s="19" t="n"/>
      <c r="H932" s="23" t="n"/>
      <c r="I932" s="19" t="n"/>
      <c r="J932" s="23" t="n"/>
      <c r="K932" s="21" t="n"/>
      <c r="L932" s="24" t="n"/>
      <c r="M932" s="24" t="n"/>
      <c r="N932" s="24" t="n"/>
      <c r="O932" s="24" t="n"/>
      <c r="P932" s="25" t="n"/>
      <c r="Q932" s="23" t="n"/>
      <c r="R932" s="23" t="n"/>
      <c r="S932" s="26" t="n"/>
      <c r="T932" s="24" t="n"/>
      <c r="U932" s="24" t="n"/>
      <c r="V932" s="24" t="n"/>
      <c r="W932" s="26" t="n"/>
      <c r="X932" s="23" t="n"/>
      <c r="Y932" s="18" t="n"/>
      <c r="Z932" s="27" t="n"/>
      <c r="AA932" s="27" t="n"/>
      <c r="AB932" s="27" t="n"/>
      <c r="AC932" s="27" t="n"/>
      <c r="AD932" s="1" t="n"/>
      <c r="AE932" s="1" t="n"/>
      <c r="AF932" s="4" t="n"/>
      <c r="AG932" s="4" t="n"/>
    </row>
    <row r="933" ht="47.25" customHeight="1">
      <c r="A933" s="18" t="n"/>
      <c r="B933" s="19" t="n"/>
      <c r="C933" s="20" t="n"/>
      <c r="D933" s="44" t="n"/>
      <c r="E933" s="23" t="n"/>
      <c r="F933" s="19" t="n"/>
      <c r="G933" s="19" t="n"/>
      <c r="H933" s="23" t="n"/>
      <c r="I933" s="19" t="n"/>
      <c r="J933" s="23" t="n"/>
      <c r="K933" s="21" t="n"/>
      <c r="L933" s="24" t="n"/>
      <c r="M933" s="24" t="n"/>
      <c r="N933" s="24" t="n"/>
      <c r="O933" s="24" t="n"/>
      <c r="P933" s="25" t="n"/>
      <c r="Q933" s="23" t="n"/>
      <c r="R933" s="23" t="n"/>
      <c r="S933" s="26" t="n"/>
      <c r="T933" s="24" t="n"/>
      <c r="U933" s="24" t="n"/>
      <c r="V933" s="24" t="n"/>
      <c r="W933" s="26" t="n"/>
      <c r="X933" s="23" t="n"/>
      <c r="Y933" s="18" t="n"/>
      <c r="Z933" s="27" t="n"/>
      <c r="AA933" s="27" t="n"/>
      <c r="AB933" s="27" t="n"/>
      <c r="AC933" s="27" t="n"/>
      <c r="AD933" s="1" t="n"/>
      <c r="AE933" s="1" t="n"/>
      <c r="AF933" s="4" t="n"/>
      <c r="AG933" s="4" t="n"/>
    </row>
    <row r="934" ht="47.25" customHeight="1">
      <c r="A934" s="18" t="n"/>
      <c r="B934" s="19" t="n"/>
      <c r="C934" s="20" t="n"/>
      <c r="D934" s="44" t="n"/>
      <c r="E934" s="23" t="n"/>
      <c r="F934" s="19" t="n"/>
      <c r="G934" s="19" t="n"/>
      <c r="H934" s="23" t="n"/>
      <c r="I934" s="19" t="n"/>
      <c r="J934" s="23" t="n"/>
      <c r="K934" s="21" t="n"/>
      <c r="L934" s="24" t="n"/>
      <c r="M934" s="24" t="n"/>
      <c r="N934" s="24" t="n"/>
      <c r="O934" s="24" t="n"/>
      <c r="P934" s="25" t="n"/>
      <c r="Q934" s="23" t="n"/>
      <c r="R934" s="23" t="n"/>
      <c r="S934" s="26" t="n"/>
      <c r="T934" s="24" t="n"/>
      <c r="U934" s="24" t="n"/>
      <c r="V934" s="24" t="n"/>
      <c r="W934" s="26" t="n"/>
      <c r="X934" s="23" t="n"/>
      <c r="Y934" s="18" t="n"/>
      <c r="Z934" s="27" t="n"/>
      <c r="AA934" s="27" t="n"/>
      <c r="AB934" s="27" t="n"/>
      <c r="AC934" s="27" t="n"/>
      <c r="AD934" s="1" t="n"/>
      <c r="AE934" s="1" t="n"/>
      <c r="AF934" s="4" t="n"/>
      <c r="AG934" s="4" t="n"/>
    </row>
    <row r="935" ht="47.25" customHeight="1">
      <c r="A935" s="18" t="n"/>
      <c r="B935" s="19" t="n"/>
      <c r="C935" s="20" t="n"/>
      <c r="D935" s="44" t="n"/>
      <c r="E935" s="23" t="n"/>
      <c r="F935" s="19" t="n"/>
      <c r="G935" s="19" t="n"/>
      <c r="H935" s="23" t="n"/>
      <c r="I935" s="19" t="n"/>
      <c r="J935" s="23" t="n"/>
      <c r="K935" s="21" t="n"/>
      <c r="L935" s="24" t="n"/>
      <c r="M935" s="24" t="n"/>
      <c r="N935" s="24" t="n"/>
      <c r="O935" s="24" t="n"/>
      <c r="P935" s="25" t="n"/>
      <c r="Q935" s="23" t="n"/>
      <c r="R935" s="23" t="n"/>
      <c r="S935" s="26" t="n"/>
      <c r="T935" s="24" t="n"/>
      <c r="U935" s="24" t="n"/>
      <c r="V935" s="24" t="n"/>
      <c r="W935" s="26" t="n"/>
      <c r="X935" s="23" t="n"/>
      <c r="Y935" s="18" t="n"/>
      <c r="Z935" s="27" t="n"/>
      <c r="AA935" s="27" t="n"/>
      <c r="AB935" s="27" t="n"/>
      <c r="AC935" s="27" t="n"/>
      <c r="AD935" s="1" t="n"/>
      <c r="AE935" s="1" t="n"/>
      <c r="AF935" s="4" t="n"/>
      <c r="AG935" s="4" t="n"/>
    </row>
    <row r="936" ht="47.25" customHeight="1">
      <c r="A936" s="18" t="n"/>
      <c r="B936" s="19" t="n"/>
      <c r="C936" s="20" t="n"/>
      <c r="D936" s="44" t="n"/>
      <c r="E936" s="23" t="n"/>
      <c r="F936" s="19" t="n"/>
      <c r="G936" s="19" t="n"/>
      <c r="H936" s="23" t="n"/>
      <c r="I936" s="19" t="n"/>
      <c r="J936" s="23" t="n"/>
      <c r="K936" s="21" t="n"/>
      <c r="L936" s="24" t="n"/>
      <c r="M936" s="24" t="n"/>
      <c r="N936" s="24" t="n"/>
      <c r="O936" s="24" t="n"/>
      <c r="P936" s="25" t="n"/>
      <c r="Q936" s="23" t="n"/>
      <c r="R936" s="23" t="n"/>
      <c r="S936" s="26" t="n"/>
      <c r="T936" s="24" t="n"/>
      <c r="U936" s="24" t="n"/>
      <c r="V936" s="24" t="n"/>
      <c r="W936" s="26" t="n"/>
      <c r="X936" s="23" t="n"/>
      <c r="Y936" s="18" t="n"/>
      <c r="Z936" s="27" t="n"/>
      <c r="AA936" s="27" t="n"/>
      <c r="AB936" s="27" t="n"/>
      <c r="AC936" s="27" t="n"/>
      <c r="AD936" s="1" t="n"/>
      <c r="AE936" s="1" t="n"/>
      <c r="AF936" s="4" t="n"/>
      <c r="AG936" s="4" t="n"/>
    </row>
    <row r="937" ht="47.25" customHeight="1">
      <c r="A937" s="18" t="n"/>
      <c r="B937" s="19" t="n"/>
      <c r="C937" s="20" t="n"/>
      <c r="D937" s="44" t="n"/>
      <c r="E937" s="23" t="n"/>
      <c r="F937" s="19" t="n"/>
      <c r="G937" s="19" t="n"/>
      <c r="H937" s="23" t="n"/>
      <c r="I937" s="19" t="n"/>
      <c r="J937" s="23" t="n"/>
      <c r="K937" s="21" t="n"/>
      <c r="L937" s="24" t="n"/>
      <c r="M937" s="24" t="n"/>
      <c r="N937" s="24" t="n"/>
      <c r="O937" s="24" t="n"/>
      <c r="P937" s="25" t="n"/>
      <c r="Q937" s="23" t="n"/>
      <c r="R937" s="23" t="n"/>
      <c r="S937" s="26" t="n"/>
      <c r="T937" s="24" t="n"/>
      <c r="U937" s="24" t="n"/>
      <c r="V937" s="24" t="n"/>
      <c r="W937" s="26" t="n"/>
      <c r="X937" s="23" t="n"/>
      <c r="Y937" s="18" t="n"/>
      <c r="Z937" s="27" t="n"/>
      <c r="AA937" s="27" t="n"/>
      <c r="AB937" s="27" t="n"/>
      <c r="AC937" s="27" t="n"/>
      <c r="AD937" s="1" t="n"/>
      <c r="AE937" s="1" t="n"/>
      <c r="AF937" s="4" t="n"/>
      <c r="AG937" s="4" t="n"/>
    </row>
    <row r="938" ht="47.25" customHeight="1">
      <c r="A938" s="18" t="n"/>
      <c r="B938" s="19" t="n"/>
      <c r="C938" s="20" t="n"/>
      <c r="D938" s="44" t="n"/>
      <c r="E938" s="23" t="n"/>
      <c r="F938" s="19" t="n"/>
      <c r="G938" s="19" t="n"/>
      <c r="H938" s="23" t="n"/>
      <c r="I938" s="19" t="n"/>
      <c r="J938" s="23" t="n"/>
      <c r="K938" s="21" t="n"/>
      <c r="L938" s="24" t="n"/>
      <c r="M938" s="24" t="n"/>
      <c r="N938" s="24" t="n"/>
      <c r="O938" s="24" t="n"/>
      <c r="P938" s="25" t="n"/>
      <c r="Q938" s="23" t="n"/>
      <c r="R938" s="23" t="n"/>
      <c r="S938" s="26" t="n"/>
      <c r="T938" s="24" t="n"/>
      <c r="U938" s="24" t="n"/>
      <c r="V938" s="24" t="n"/>
      <c r="W938" s="26" t="n"/>
      <c r="X938" s="23" t="n"/>
      <c r="Y938" s="18" t="n"/>
      <c r="Z938" s="27" t="n"/>
      <c r="AA938" s="27" t="n"/>
      <c r="AB938" s="27" t="n"/>
      <c r="AC938" s="27" t="n"/>
      <c r="AD938" s="1" t="n"/>
      <c r="AE938" s="1" t="n"/>
      <c r="AF938" s="4" t="n"/>
      <c r="AG938" s="4" t="n"/>
    </row>
    <row r="939" ht="47.25" customHeight="1">
      <c r="A939" s="18" t="n"/>
      <c r="B939" s="19" t="n"/>
      <c r="C939" s="20" t="n"/>
      <c r="D939" s="44" t="n"/>
      <c r="E939" s="23" t="n"/>
      <c r="F939" s="19" t="n"/>
      <c r="G939" s="19" t="n"/>
      <c r="H939" s="23" t="n"/>
      <c r="I939" s="19" t="n"/>
      <c r="J939" s="23" t="n"/>
      <c r="K939" s="21" t="n"/>
      <c r="L939" s="24" t="n"/>
      <c r="M939" s="24" t="n"/>
      <c r="N939" s="24" t="n"/>
      <c r="O939" s="24" t="n"/>
      <c r="P939" s="25" t="n"/>
      <c r="Q939" s="23" t="n"/>
      <c r="R939" s="23" t="n"/>
      <c r="S939" s="26" t="n"/>
      <c r="T939" s="24" t="n"/>
      <c r="U939" s="24" t="n"/>
      <c r="V939" s="24" t="n"/>
      <c r="W939" s="26" t="n"/>
      <c r="X939" s="23" t="n"/>
      <c r="Y939" s="18" t="n"/>
      <c r="Z939" s="27" t="n"/>
      <c r="AA939" s="27" t="n"/>
      <c r="AB939" s="27" t="n"/>
      <c r="AC939" s="27" t="n"/>
      <c r="AD939" s="1" t="n"/>
      <c r="AE939" s="1" t="n"/>
      <c r="AF939" s="4" t="n"/>
      <c r="AG939" s="4" t="n"/>
    </row>
    <row r="940" ht="47.25" customHeight="1">
      <c r="A940" s="18" t="n"/>
      <c r="B940" s="19" t="n"/>
      <c r="C940" s="20" t="n"/>
      <c r="D940" s="44" t="n"/>
      <c r="E940" s="23" t="n"/>
      <c r="F940" s="19" t="n"/>
      <c r="G940" s="19" t="n"/>
      <c r="H940" s="23" t="n"/>
      <c r="I940" s="19" t="n"/>
      <c r="J940" s="23" t="n"/>
      <c r="K940" s="21" t="n"/>
      <c r="L940" s="24" t="n"/>
      <c r="M940" s="24" t="n"/>
      <c r="N940" s="24" t="n"/>
      <c r="O940" s="24" t="n"/>
      <c r="P940" s="25" t="n"/>
      <c r="Q940" s="23" t="n"/>
      <c r="R940" s="23" t="n"/>
      <c r="S940" s="26" t="n"/>
      <c r="T940" s="24" t="n"/>
      <c r="U940" s="24" t="n"/>
      <c r="V940" s="24" t="n"/>
      <c r="W940" s="26" t="n"/>
      <c r="X940" s="23" t="n"/>
      <c r="Y940" s="18" t="n"/>
      <c r="Z940" s="27" t="n"/>
      <c r="AA940" s="27" t="n"/>
      <c r="AB940" s="27" t="n"/>
      <c r="AC940" s="27" t="n"/>
      <c r="AD940" s="1" t="n"/>
      <c r="AE940" s="1" t="n"/>
      <c r="AF940" s="4" t="n"/>
      <c r="AG940" s="4" t="n"/>
    </row>
    <row r="941" ht="47.25" customHeight="1">
      <c r="A941" s="18" t="n"/>
      <c r="B941" s="19" t="n"/>
      <c r="C941" s="20" t="n"/>
      <c r="D941" s="44" t="n"/>
      <c r="E941" s="23" t="n"/>
      <c r="F941" s="19" t="n"/>
      <c r="G941" s="19" t="n"/>
      <c r="H941" s="23" t="n"/>
      <c r="I941" s="19" t="n"/>
      <c r="J941" s="23" t="n"/>
      <c r="K941" s="21" t="n"/>
      <c r="L941" s="24" t="n"/>
      <c r="M941" s="24" t="n"/>
      <c r="N941" s="24" t="n"/>
      <c r="O941" s="24" t="n"/>
      <c r="P941" s="25" t="n"/>
      <c r="Q941" s="23" t="n"/>
      <c r="R941" s="23" t="n"/>
      <c r="S941" s="26" t="n"/>
      <c r="T941" s="24" t="n"/>
      <c r="U941" s="24" t="n"/>
      <c r="V941" s="24" t="n"/>
      <c r="W941" s="26" t="n"/>
      <c r="X941" s="23" t="n"/>
      <c r="Y941" s="18" t="n"/>
      <c r="Z941" s="27" t="n"/>
      <c r="AA941" s="27" t="n"/>
      <c r="AB941" s="27" t="n"/>
      <c r="AC941" s="27" t="n"/>
      <c r="AD941" s="1" t="n"/>
      <c r="AE941" s="1" t="n"/>
      <c r="AF941" s="4" t="n"/>
      <c r="AG941" s="4" t="n"/>
    </row>
    <row r="942" ht="47.25" customHeight="1">
      <c r="A942" s="18" t="n"/>
      <c r="B942" s="19" t="n"/>
      <c r="C942" s="20" t="n"/>
      <c r="D942" s="44" t="n"/>
      <c r="E942" s="23" t="n"/>
      <c r="F942" s="19" t="n"/>
      <c r="G942" s="19" t="n"/>
      <c r="H942" s="23" t="n"/>
      <c r="I942" s="19" t="n"/>
      <c r="J942" s="23" t="n"/>
      <c r="K942" s="21" t="n"/>
      <c r="L942" s="24" t="n"/>
      <c r="M942" s="24" t="n"/>
      <c r="N942" s="24" t="n"/>
      <c r="O942" s="24" t="n"/>
      <c r="P942" s="25" t="n"/>
      <c r="Q942" s="23" t="n"/>
      <c r="R942" s="23" t="n"/>
      <c r="S942" s="26" t="n"/>
      <c r="T942" s="24" t="n"/>
      <c r="U942" s="24" t="n"/>
      <c r="V942" s="24" t="n"/>
      <c r="W942" s="26" t="n"/>
      <c r="X942" s="23" t="n"/>
      <c r="Y942" s="18" t="n"/>
      <c r="Z942" s="27" t="n"/>
      <c r="AA942" s="27" t="n"/>
      <c r="AB942" s="27" t="n"/>
      <c r="AC942" s="27" t="n"/>
      <c r="AD942" s="1" t="n"/>
      <c r="AE942" s="1" t="n"/>
      <c r="AF942" s="4" t="n"/>
      <c r="AG942" s="4" t="n"/>
    </row>
    <row r="943" ht="47.25" customHeight="1">
      <c r="A943" s="18" t="n"/>
      <c r="B943" s="19" t="n"/>
      <c r="C943" s="20" t="n"/>
      <c r="D943" s="44" t="n"/>
      <c r="E943" s="23" t="n"/>
      <c r="F943" s="19" t="n"/>
      <c r="G943" s="19" t="n"/>
      <c r="H943" s="23" t="n"/>
      <c r="I943" s="19" t="n"/>
      <c r="J943" s="23" t="n"/>
      <c r="K943" s="21" t="n"/>
      <c r="L943" s="24" t="n"/>
      <c r="M943" s="24" t="n"/>
      <c r="N943" s="24" t="n"/>
      <c r="O943" s="24" t="n"/>
      <c r="P943" s="25" t="n"/>
      <c r="Q943" s="23" t="n"/>
      <c r="R943" s="23" t="n"/>
      <c r="S943" s="26" t="n"/>
      <c r="T943" s="24" t="n"/>
      <c r="U943" s="24" t="n"/>
      <c r="V943" s="24" t="n"/>
      <c r="W943" s="26" t="n"/>
      <c r="X943" s="23" t="n"/>
      <c r="Y943" s="18" t="n"/>
      <c r="Z943" s="27" t="n"/>
      <c r="AA943" s="27" t="n"/>
      <c r="AB943" s="27" t="n"/>
      <c r="AC943" s="27" t="n"/>
      <c r="AD943" s="1" t="n"/>
      <c r="AE943" s="1" t="n"/>
      <c r="AF943" s="4" t="n"/>
      <c r="AG943" s="4" t="n"/>
    </row>
    <row r="944" ht="47.25" customHeight="1">
      <c r="A944" s="18" t="n"/>
      <c r="B944" s="19" t="n"/>
      <c r="C944" s="20" t="n"/>
      <c r="D944" s="44" t="n"/>
      <c r="E944" s="23" t="n"/>
      <c r="F944" s="19" t="n"/>
      <c r="G944" s="19" t="n"/>
      <c r="H944" s="23" t="n"/>
      <c r="I944" s="19" t="n"/>
      <c r="J944" s="23" t="n"/>
      <c r="K944" s="21" t="n"/>
      <c r="L944" s="24" t="n"/>
      <c r="M944" s="24" t="n"/>
      <c r="N944" s="24" t="n"/>
      <c r="O944" s="24" t="n"/>
      <c r="P944" s="25" t="n"/>
      <c r="Q944" s="23" t="n"/>
      <c r="R944" s="23" t="n"/>
      <c r="S944" s="26" t="n"/>
      <c r="T944" s="24" t="n"/>
      <c r="U944" s="24" t="n"/>
      <c r="V944" s="24" t="n"/>
      <c r="W944" s="26" t="n"/>
      <c r="X944" s="23" t="n"/>
      <c r="Y944" s="18" t="n"/>
      <c r="Z944" s="27" t="n"/>
      <c r="AA944" s="27" t="n"/>
      <c r="AB944" s="27" t="n"/>
      <c r="AC944" s="27" t="n"/>
      <c r="AD944" s="1" t="n"/>
      <c r="AE944" s="1" t="n"/>
      <c r="AF944" s="4" t="n"/>
      <c r="AG944" s="4" t="n"/>
    </row>
    <row r="945" ht="47.25" customHeight="1">
      <c r="A945" s="18" t="n"/>
      <c r="B945" s="19" t="n"/>
      <c r="C945" s="20" t="n"/>
      <c r="D945" s="44" t="n"/>
      <c r="E945" s="23" t="n"/>
      <c r="F945" s="19" t="n"/>
      <c r="G945" s="19" t="n"/>
      <c r="H945" s="23" t="n"/>
      <c r="I945" s="19" t="n"/>
      <c r="J945" s="23" t="n"/>
      <c r="K945" s="21" t="n"/>
      <c r="L945" s="24" t="n"/>
      <c r="M945" s="24" t="n"/>
      <c r="N945" s="24" t="n"/>
      <c r="O945" s="24" t="n"/>
      <c r="P945" s="25" t="n"/>
      <c r="Q945" s="23" t="n"/>
      <c r="R945" s="23" t="n"/>
      <c r="S945" s="26" t="n"/>
      <c r="T945" s="24" t="n"/>
      <c r="U945" s="24" t="n"/>
      <c r="V945" s="24" t="n"/>
      <c r="W945" s="26" t="n"/>
      <c r="X945" s="23" t="n"/>
      <c r="Y945" s="18" t="n"/>
      <c r="Z945" s="27" t="n"/>
      <c r="AA945" s="27" t="n"/>
      <c r="AB945" s="27" t="n"/>
      <c r="AC945" s="27" t="n"/>
      <c r="AD945" s="1" t="n"/>
      <c r="AE945" s="1" t="n"/>
      <c r="AF945" s="4" t="n"/>
      <c r="AG945" s="4" t="n"/>
    </row>
    <row r="946" ht="47.25" customHeight="1">
      <c r="A946" s="18" t="n"/>
      <c r="B946" s="19" t="n"/>
      <c r="C946" s="20" t="n"/>
      <c r="D946" s="44" t="n"/>
      <c r="E946" s="23" t="n"/>
      <c r="F946" s="19" t="n"/>
      <c r="G946" s="19" t="n"/>
      <c r="H946" s="23" t="n"/>
      <c r="I946" s="19" t="n"/>
      <c r="J946" s="23" t="n"/>
      <c r="K946" s="21" t="n"/>
      <c r="L946" s="24" t="n"/>
      <c r="M946" s="24" t="n"/>
      <c r="N946" s="24" t="n"/>
      <c r="O946" s="24" t="n"/>
      <c r="P946" s="25" t="n"/>
      <c r="Q946" s="23" t="n"/>
      <c r="R946" s="23" t="n"/>
      <c r="S946" s="26" t="n"/>
      <c r="T946" s="24" t="n"/>
      <c r="U946" s="24" t="n"/>
      <c r="V946" s="24" t="n"/>
      <c r="W946" s="26" t="n"/>
      <c r="X946" s="23" t="n"/>
      <c r="Y946" s="18" t="n"/>
      <c r="Z946" s="27" t="n"/>
      <c r="AA946" s="27" t="n"/>
      <c r="AB946" s="27" t="n"/>
      <c r="AC946" s="27" t="n"/>
      <c r="AD946" s="1" t="n"/>
      <c r="AE946" s="1" t="n"/>
      <c r="AF946" s="4" t="n"/>
      <c r="AG946" s="4" t="n"/>
    </row>
    <row r="947" ht="47.25" customHeight="1">
      <c r="A947" s="18" t="n"/>
      <c r="B947" s="19" t="n"/>
      <c r="C947" s="20" t="n"/>
      <c r="D947" s="44" t="n"/>
      <c r="E947" s="23" t="n"/>
      <c r="F947" s="19" t="n"/>
      <c r="G947" s="19" t="n"/>
      <c r="H947" s="23" t="n"/>
      <c r="I947" s="19" t="n"/>
      <c r="J947" s="23" t="n"/>
      <c r="K947" s="21" t="n"/>
      <c r="L947" s="24" t="n"/>
      <c r="M947" s="24" t="n"/>
      <c r="N947" s="24" t="n"/>
      <c r="O947" s="24" t="n"/>
      <c r="P947" s="25" t="n"/>
      <c r="Q947" s="23" t="n"/>
      <c r="R947" s="23" t="n"/>
      <c r="S947" s="26" t="n"/>
      <c r="T947" s="24" t="n"/>
      <c r="U947" s="24" t="n"/>
      <c r="V947" s="24" t="n"/>
      <c r="W947" s="26" t="n"/>
      <c r="X947" s="23" t="n"/>
      <c r="Y947" s="18" t="n"/>
      <c r="Z947" s="27" t="n"/>
      <c r="AA947" s="27" t="n"/>
      <c r="AB947" s="27" t="n"/>
      <c r="AC947" s="27" t="n"/>
      <c r="AD947" s="1" t="n"/>
      <c r="AE947" s="1" t="n"/>
      <c r="AF947" s="4" t="n"/>
      <c r="AG947" s="4" t="n"/>
    </row>
    <row r="948" ht="47.25" customHeight="1">
      <c r="A948" s="18" t="n"/>
      <c r="B948" s="19" t="n"/>
      <c r="C948" s="20" t="n"/>
      <c r="D948" s="44" t="n"/>
      <c r="E948" s="23" t="n"/>
      <c r="F948" s="19" t="n"/>
      <c r="G948" s="19" t="n"/>
      <c r="H948" s="23" t="n"/>
      <c r="I948" s="19" t="n"/>
      <c r="J948" s="23" t="n"/>
      <c r="K948" s="21" t="n"/>
      <c r="L948" s="24" t="n"/>
      <c r="M948" s="24" t="n"/>
      <c r="N948" s="24" t="n"/>
      <c r="O948" s="24" t="n"/>
      <c r="P948" s="25" t="n"/>
      <c r="Q948" s="23" t="n"/>
      <c r="R948" s="23" t="n"/>
      <c r="S948" s="26" t="n"/>
      <c r="T948" s="24" t="n"/>
      <c r="U948" s="24" t="n"/>
      <c r="V948" s="24" t="n"/>
      <c r="W948" s="26" t="n"/>
      <c r="X948" s="23" t="n"/>
      <c r="Y948" s="18" t="n"/>
      <c r="Z948" s="27" t="n"/>
      <c r="AA948" s="27" t="n"/>
      <c r="AB948" s="27" t="n"/>
      <c r="AC948" s="27" t="n"/>
      <c r="AD948" s="1" t="n"/>
      <c r="AE948" s="1" t="n"/>
      <c r="AF948" s="4" t="n"/>
      <c r="AG948" s="4" t="n"/>
    </row>
    <row r="949" ht="47.25" customHeight="1">
      <c r="A949" s="18" t="n"/>
      <c r="B949" s="19" t="n"/>
      <c r="C949" s="20" t="n"/>
      <c r="D949" s="44" t="n"/>
      <c r="E949" s="23" t="n"/>
      <c r="F949" s="19" t="n"/>
      <c r="G949" s="19" t="n"/>
      <c r="H949" s="23" t="n"/>
      <c r="I949" s="19" t="n"/>
      <c r="J949" s="23" t="n"/>
      <c r="K949" s="21" t="n"/>
      <c r="L949" s="24" t="n"/>
      <c r="M949" s="24" t="n"/>
      <c r="N949" s="24" t="n"/>
      <c r="O949" s="24" t="n"/>
      <c r="P949" s="25" t="n"/>
      <c r="Q949" s="23" t="n"/>
      <c r="R949" s="23" t="n"/>
      <c r="S949" s="26" t="n"/>
      <c r="T949" s="24" t="n"/>
      <c r="U949" s="24" t="n"/>
      <c r="V949" s="24" t="n"/>
      <c r="W949" s="26" t="n"/>
      <c r="X949" s="23" t="n"/>
      <c r="Y949" s="18" t="n"/>
      <c r="Z949" s="27" t="n"/>
      <c r="AA949" s="27" t="n"/>
      <c r="AB949" s="27" t="n"/>
      <c r="AC949" s="27" t="n"/>
      <c r="AD949" s="1" t="n"/>
      <c r="AE949" s="1" t="n"/>
      <c r="AF949" s="4" t="n"/>
      <c r="AG949" s="4" t="n"/>
    </row>
    <row r="950" ht="47.25" customHeight="1">
      <c r="A950" s="18" t="n"/>
      <c r="B950" s="19" t="n"/>
      <c r="C950" s="20" t="n"/>
      <c r="D950" s="44" t="n"/>
      <c r="E950" s="23" t="n"/>
      <c r="F950" s="19" t="n"/>
      <c r="G950" s="19" t="n"/>
      <c r="H950" s="23" t="n"/>
      <c r="I950" s="19" t="n"/>
      <c r="J950" s="23" t="n"/>
      <c r="K950" s="21" t="n"/>
      <c r="L950" s="24" t="n"/>
      <c r="M950" s="24" t="n"/>
      <c r="N950" s="24" t="n"/>
      <c r="O950" s="24" t="n"/>
      <c r="P950" s="25" t="n"/>
      <c r="Q950" s="23" t="n"/>
      <c r="R950" s="23" t="n"/>
      <c r="S950" s="26" t="n"/>
      <c r="T950" s="24" t="n"/>
      <c r="U950" s="24" t="n"/>
      <c r="V950" s="24" t="n"/>
      <c r="W950" s="26" t="n"/>
      <c r="X950" s="23" t="n"/>
      <c r="Y950" s="18" t="n"/>
      <c r="Z950" s="27" t="n"/>
      <c r="AA950" s="27" t="n"/>
      <c r="AB950" s="27" t="n"/>
      <c r="AC950" s="27" t="n"/>
      <c r="AD950" s="1" t="n"/>
      <c r="AE950" s="1" t="n"/>
      <c r="AF950" s="4" t="n"/>
      <c r="AG950" s="4" t="n"/>
    </row>
    <row r="951" ht="47.25" customHeight="1">
      <c r="A951" s="18" t="n"/>
      <c r="B951" s="19" t="n"/>
      <c r="C951" s="20" t="n"/>
      <c r="D951" s="44" t="n"/>
      <c r="E951" s="23" t="n"/>
      <c r="F951" s="19" t="n"/>
      <c r="G951" s="19" t="n"/>
      <c r="H951" s="23" t="n"/>
      <c r="I951" s="19" t="n"/>
      <c r="J951" s="23" t="n"/>
      <c r="K951" s="21" t="n"/>
      <c r="L951" s="24" t="n"/>
      <c r="M951" s="24" t="n"/>
      <c r="N951" s="24" t="n"/>
      <c r="O951" s="24" t="n"/>
      <c r="P951" s="25" t="n"/>
      <c r="Q951" s="23" t="n"/>
      <c r="R951" s="23" t="n"/>
      <c r="S951" s="26" t="n"/>
      <c r="T951" s="24" t="n"/>
      <c r="U951" s="24" t="n"/>
      <c r="V951" s="24" t="n"/>
      <c r="W951" s="26" t="n"/>
      <c r="X951" s="23" t="n"/>
      <c r="Y951" s="18" t="n"/>
      <c r="Z951" s="27" t="n"/>
      <c r="AA951" s="27" t="n"/>
      <c r="AB951" s="27" t="n"/>
      <c r="AC951" s="27" t="n"/>
      <c r="AD951" s="1" t="n"/>
      <c r="AE951" s="1" t="n"/>
      <c r="AF951" s="4" t="n"/>
      <c r="AG951" s="4" t="n"/>
    </row>
    <row r="952" ht="47.25" customHeight="1">
      <c r="A952" s="18" t="n"/>
      <c r="B952" s="19" t="n"/>
      <c r="C952" s="20" t="n"/>
      <c r="D952" s="44" t="n"/>
      <c r="E952" s="23" t="n"/>
      <c r="F952" s="19" t="n"/>
      <c r="G952" s="19" t="n"/>
      <c r="H952" s="23" t="n"/>
      <c r="I952" s="19" t="n"/>
      <c r="J952" s="23" t="n"/>
      <c r="K952" s="21" t="n"/>
      <c r="L952" s="24" t="n"/>
      <c r="M952" s="24" t="n"/>
      <c r="N952" s="24" t="n"/>
      <c r="O952" s="24" t="n"/>
      <c r="P952" s="25" t="n"/>
      <c r="Q952" s="23" t="n"/>
      <c r="R952" s="23" t="n"/>
      <c r="S952" s="26" t="n"/>
      <c r="T952" s="24" t="n"/>
      <c r="U952" s="24" t="n"/>
      <c r="V952" s="24" t="n"/>
      <c r="W952" s="26" t="n"/>
      <c r="X952" s="23" t="n"/>
      <c r="Y952" s="18" t="n"/>
      <c r="Z952" s="27" t="n"/>
      <c r="AA952" s="27" t="n"/>
      <c r="AB952" s="27" t="n"/>
      <c r="AC952" s="27" t="n"/>
      <c r="AD952" s="1" t="n"/>
      <c r="AE952" s="1" t="n"/>
      <c r="AF952" s="4" t="n"/>
      <c r="AG952" s="4" t="n"/>
    </row>
    <row r="953" ht="47.25" customHeight="1">
      <c r="A953" s="18" t="n"/>
      <c r="B953" s="19" t="n"/>
      <c r="C953" s="20" t="n"/>
      <c r="D953" s="44" t="n"/>
      <c r="E953" s="23" t="n"/>
      <c r="F953" s="19" t="n"/>
      <c r="G953" s="19" t="n"/>
      <c r="H953" s="23" t="n"/>
      <c r="I953" s="19" t="n"/>
      <c r="J953" s="23" t="n"/>
      <c r="K953" s="21" t="n"/>
      <c r="L953" s="24" t="n"/>
      <c r="M953" s="24" t="n"/>
      <c r="N953" s="24" t="n"/>
      <c r="O953" s="24" t="n"/>
      <c r="P953" s="25" t="n"/>
      <c r="Q953" s="23" t="n"/>
      <c r="R953" s="23" t="n"/>
      <c r="S953" s="26" t="n"/>
      <c r="T953" s="24" t="n"/>
      <c r="U953" s="24" t="n"/>
      <c r="V953" s="24" t="n"/>
      <c r="W953" s="26" t="n"/>
      <c r="X953" s="23" t="n"/>
      <c r="Y953" s="18" t="n"/>
      <c r="Z953" s="27" t="n"/>
      <c r="AA953" s="27" t="n"/>
      <c r="AB953" s="27" t="n"/>
      <c r="AC953" s="27" t="n"/>
      <c r="AD953" s="1" t="n"/>
      <c r="AE953" s="1" t="n"/>
      <c r="AF953" s="4" t="n"/>
      <c r="AG953" s="4" t="n"/>
    </row>
    <row r="954" ht="47.25" customHeight="1">
      <c r="A954" s="18" t="n"/>
      <c r="B954" s="19" t="n"/>
      <c r="C954" s="20" t="n"/>
      <c r="D954" s="44" t="n"/>
      <c r="E954" s="23" t="n"/>
      <c r="F954" s="19" t="n"/>
      <c r="G954" s="19" t="n"/>
      <c r="H954" s="23" t="n"/>
      <c r="I954" s="19" t="n"/>
      <c r="J954" s="23" t="n"/>
      <c r="K954" s="21" t="n"/>
      <c r="L954" s="24" t="n"/>
      <c r="M954" s="24" t="n"/>
      <c r="N954" s="24" t="n"/>
      <c r="O954" s="24" t="n"/>
      <c r="P954" s="25" t="n"/>
      <c r="Q954" s="23" t="n"/>
      <c r="R954" s="23" t="n"/>
      <c r="S954" s="26" t="n"/>
      <c r="T954" s="24" t="n"/>
      <c r="U954" s="24" t="n"/>
      <c r="V954" s="24" t="n"/>
      <c r="W954" s="26" t="n"/>
      <c r="X954" s="23" t="n"/>
      <c r="Y954" s="18" t="n"/>
      <c r="Z954" s="27" t="n"/>
      <c r="AA954" s="27" t="n"/>
      <c r="AB954" s="27" t="n"/>
      <c r="AC954" s="27" t="n"/>
      <c r="AD954" s="1" t="n"/>
      <c r="AE954" s="1" t="n"/>
      <c r="AF954" s="4" t="n"/>
      <c r="AG954" s="4" t="n"/>
    </row>
    <row r="955" ht="47.25" customHeight="1">
      <c r="A955" s="18" t="n"/>
      <c r="B955" s="19" t="n"/>
      <c r="C955" s="20" t="n"/>
      <c r="D955" s="44" t="n"/>
      <c r="E955" s="23" t="n"/>
      <c r="F955" s="19" t="n"/>
      <c r="G955" s="19" t="n"/>
      <c r="H955" s="23" t="n"/>
      <c r="I955" s="19" t="n"/>
      <c r="J955" s="23" t="n"/>
      <c r="K955" s="21" t="n"/>
      <c r="L955" s="24" t="n"/>
      <c r="M955" s="24" t="n"/>
      <c r="N955" s="24" t="n"/>
      <c r="O955" s="24" t="n"/>
      <c r="P955" s="25" t="n"/>
      <c r="Q955" s="23" t="n"/>
      <c r="R955" s="23" t="n"/>
      <c r="S955" s="26" t="n"/>
      <c r="T955" s="24" t="n"/>
      <c r="U955" s="24" t="n"/>
      <c r="V955" s="24" t="n"/>
      <c r="W955" s="26" t="n"/>
      <c r="X955" s="23" t="n"/>
      <c r="Y955" s="18" t="n"/>
      <c r="Z955" s="27" t="n"/>
      <c r="AA955" s="27" t="n"/>
      <c r="AB955" s="27" t="n"/>
      <c r="AC955" s="27" t="n"/>
      <c r="AD955" s="1" t="n"/>
      <c r="AE955" s="1" t="n"/>
      <c r="AF955" s="4" t="n"/>
      <c r="AG955" s="4" t="n"/>
    </row>
    <row r="956" ht="47.25" customHeight="1">
      <c r="A956" s="18" t="n"/>
      <c r="B956" s="19" t="n"/>
      <c r="C956" s="20" t="n"/>
      <c r="D956" s="44" t="n"/>
      <c r="E956" s="23" t="n"/>
      <c r="F956" s="19" t="n"/>
      <c r="G956" s="19" t="n"/>
      <c r="H956" s="23" t="n"/>
      <c r="I956" s="19" t="n"/>
      <c r="J956" s="23" t="n"/>
      <c r="K956" s="21" t="n"/>
      <c r="L956" s="24" t="n"/>
      <c r="M956" s="24" t="n"/>
      <c r="N956" s="24" t="n"/>
      <c r="O956" s="24" t="n"/>
      <c r="P956" s="25" t="n"/>
      <c r="Q956" s="23" t="n"/>
      <c r="R956" s="23" t="n"/>
      <c r="S956" s="26" t="n"/>
      <c r="T956" s="24" t="n"/>
      <c r="U956" s="24" t="n"/>
      <c r="V956" s="24" t="n"/>
      <c r="W956" s="26" t="n"/>
      <c r="X956" s="23" t="n"/>
      <c r="Y956" s="18" t="n"/>
      <c r="Z956" s="27" t="n"/>
      <c r="AA956" s="27" t="n"/>
      <c r="AB956" s="27" t="n"/>
      <c r="AC956" s="27" t="n"/>
      <c r="AD956" s="1" t="n"/>
      <c r="AE956" s="1" t="n"/>
      <c r="AF956" s="4" t="n"/>
      <c r="AG956" s="4" t="n"/>
    </row>
    <row r="957" ht="47.25" customHeight="1">
      <c r="A957" s="18" t="n"/>
      <c r="B957" s="19" t="n"/>
      <c r="C957" s="20" t="n"/>
      <c r="D957" s="44" t="n"/>
      <c r="E957" s="23" t="n"/>
      <c r="F957" s="19" t="n"/>
      <c r="G957" s="19" t="n"/>
      <c r="H957" s="23" t="n"/>
      <c r="I957" s="19" t="n"/>
      <c r="J957" s="23" t="n"/>
      <c r="K957" s="21" t="n"/>
      <c r="L957" s="24" t="n"/>
      <c r="M957" s="24" t="n"/>
      <c r="N957" s="24" t="n"/>
      <c r="O957" s="24" t="n"/>
      <c r="P957" s="25" t="n"/>
      <c r="Q957" s="23" t="n"/>
      <c r="R957" s="23" t="n"/>
      <c r="S957" s="26" t="n"/>
      <c r="T957" s="24" t="n"/>
      <c r="U957" s="24" t="n"/>
      <c r="V957" s="24" t="n"/>
      <c r="W957" s="26" t="n"/>
      <c r="X957" s="23" t="n"/>
      <c r="Y957" s="18" t="n"/>
      <c r="Z957" s="27" t="n"/>
      <c r="AA957" s="27" t="n"/>
      <c r="AB957" s="27" t="n"/>
      <c r="AC957" s="27" t="n"/>
      <c r="AD957" s="1" t="n"/>
      <c r="AE957" s="1" t="n"/>
      <c r="AF957" s="4" t="n"/>
      <c r="AG957" s="4" t="n"/>
    </row>
    <row r="958" ht="47.25" customHeight="1">
      <c r="A958" s="18" t="n"/>
      <c r="B958" s="19" t="n"/>
      <c r="C958" s="20" t="n"/>
      <c r="D958" s="44" t="n"/>
      <c r="E958" s="23" t="n"/>
      <c r="F958" s="19" t="n"/>
      <c r="G958" s="19" t="n"/>
      <c r="H958" s="23" t="n"/>
      <c r="I958" s="19" t="n"/>
      <c r="J958" s="23" t="n"/>
      <c r="K958" s="21" t="n"/>
      <c r="L958" s="24" t="n"/>
      <c r="M958" s="24" t="n"/>
      <c r="N958" s="24" t="n"/>
      <c r="O958" s="24" t="n"/>
      <c r="P958" s="25" t="n"/>
      <c r="Q958" s="23" t="n"/>
      <c r="R958" s="23" t="n"/>
      <c r="S958" s="26" t="n"/>
      <c r="T958" s="24" t="n"/>
      <c r="U958" s="24" t="n"/>
      <c r="V958" s="24" t="n"/>
      <c r="W958" s="26" t="n"/>
      <c r="X958" s="23" t="n"/>
      <c r="Y958" s="18" t="n"/>
      <c r="Z958" s="27" t="n"/>
      <c r="AA958" s="27" t="n"/>
      <c r="AB958" s="27" t="n"/>
      <c r="AC958" s="27" t="n"/>
      <c r="AD958" s="1" t="n"/>
      <c r="AE958" s="1" t="n"/>
      <c r="AF958" s="4" t="n"/>
      <c r="AG958" s="4" t="n"/>
    </row>
    <row r="959" ht="47.25" customHeight="1">
      <c r="A959" s="18" t="n"/>
      <c r="B959" s="19" t="n"/>
      <c r="C959" s="20" t="n"/>
      <c r="D959" s="44" t="n"/>
      <c r="E959" s="23" t="n"/>
      <c r="F959" s="19" t="n"/>
      <c r="G959" s="19" t="n"/>
      <c r="H959" s="23" t="n"/>
      <c r="I959" s="19" t="n"/>
      <c r="J959" s="23" t="n"/>
      <c r="K959" s="21" t="n"/>
      <c r="L959" s="24" t="n"/>
      <c r="M959" s="24" t="n"/>
      <c r="N959" s="24" t="n"/>
      <c r="O959" s="24" t="n"/>
      <c r="P959" s="25" t="n"/>
      <c r="Q959" s="23" t="n"/>
      <c r="R959" s="23" t="n"/>
      <c r="S959" s="26" t="n"/>
      <c r="T959" s="24" t="n"/>
      <c r="U959" s="24" t="n"/>
      <c r="V959" s="24" t="n"/>
      <c r="W959" s="26" t="n"/>
      <c r="X959" s="23" t="n"/>
      <c r="Y959" s="18" t="n"/>
      <c r="Z959" s="27" t="n"/>
      <c r="AA959" s="27" t="n"/>
      <c r="AB959" s="27" t="n"/>
      <c r="AC959" s="27" t="n"/>
      <c r="AD959" s="1" t="n"/>
      <c r="AE959" s="1" t="n"/>
      <c r="AF959" s="4" t="n"/>
      <c r="AG959" s="4" t="n"/>
    </row>
    <row r="960" ht="47.25" customHeight="1">
      <c r="A960" s="18" t="n"/>
      <c r="B960" s="19" t="n"/>
      <c r="C960" s="20" t="n"/>
      <c r="D960" s="44" t="n"/>
      <c r="E960" s="23" t="n"/>
      <c r="F960" s="19" t="n"/>
      <c r="G960" s="19" t="n"/>
      <c r="H960" s="23" t="n"/>
      <c r="I960" s="19" t="n"/>
      <c r="J960" s="23" t="n"/>
      <c r="K960" s="21" t="n"/>
      <c r="L960" s="24" t="n"/>
      <c r="M960" s="24" t="n"/>
      <c r="N960" s="24" t="n"/>
      <c r="O960" s="24" t="n"/>
      <c r="P960" s="25" t="n"/>
      <c r="Q960" s="23" t="n"/>
      <c r="R960" s="23" t="n"/>
      <c r="S960" s="26" t="n"/>
      <c r="T960" s="24" t="n"/>
      <c r="U960" s="24" t="n"/>
      <c r="V960" s="24" t="n"/>
      <c r="W960" s="26" t="n"/>
      <c r="X960" s="23" t="n"/>
      <c r="Y960" s="18" t="n"/>
      <c r="Z960" s="27" t="n"/>
      <c r="AA960" s="27" t="n"/>
      <c r="AB960" s="27" t="n"/>
      <c r="AC960" s="27" t="n"/>
      <c r="AD960" s="1" t="n"/>
      <c r="AE960" s="1" t="n"/>
      <c r="AF960" s="4" t="n"/>
      <c r="AG960" s="4" t="n"/>
    </row>
    <row r="961" ht="47.25" customHeight="1">
      <c r="A961" s="18" t="n"/>
      <c r="B961" s="19" t="n"/>
      <c r="C961" s="20" t="n"/>
      <c r="D961" s="44" t="n"/>
      <c r="E961" s="23" t="n"/>
      <c r="F961" s="19" t="n"/>
      <c r="G961" s="19" t="n"/>
      <c r="H961" s="23" t="n"/>
      <c r="I961" s="19" t="n"/>
      <c r="J961" s="23" t="n"/>
      <c r="K961" s="21" t="n"/>
      <c r="L961" s="24" t="n"/>
      <c r="M961" s="24" t="n"/>
      <c r="N961" s="24" t="n"/>
      <c r="O961" s="24" t="n"/>
      <c r="P961" s="25" t="n"/>
      <c r="Q961" s="23" t="n"/>
      <c r="R961" s="23" t="n"/>
      <c r="S961" s="26" t="n"/>
      <c r="T961" s="24" t="n"/>
      <c r="U961" s="24" t="n"/>
      <c r="V961" s="24" t="n"/>
      <c r="W961" s="26" t="n"/>
      <c r="X961" s="23" t="n"/>
      <c r="Y961" s="18" t="n"/>
      <c r="Z961" s="27" t="n"/>
      <c r="AA961" s="27" t="n"/>
      <c r="AB961" s="27" t="n"/>
      <c r="AC961" s="27" t="n"/>
      <c r="AD961" s="1" t="n"/>
      <c r="AE961" s="1" t="n"/>
      <c r="AF961" s="4" t="n"/>
      <c r="AG961" s="4" t="n"/>
    </row>
    <row r="962" ht="47.25" customHeight="1">
      <c r="A962" s="18" t="n"/>
      <c r="B962" s="19" t="n"/>
      <c r="C962" s="20" t="n"/>
      <c r="D962" s="44" t="n"/>
      <c r="E962" s="23" t="n"/>
      <c r="F962" s="19" t="n"/>
      <c r="G962" s="19" t="n"/>
      <c r="H962" s="23" t="n"/>
      <c r="I962" s="19" t="n"/>
      <c r="J962" s="23" t="n"/>
      <c r="K962" s="21" t="n"/>
      <c r="L962" s="24" t="n"/>
      <c r="M962" s="24" t="n"/>
      <c r="N962" s="24" t="n"/>
      <c r="O962" s="24" t="n"/>
      <c r="P962" s="25" t="n"/>
      <c r="Q962" s="23" t="n"/>
      <c r="R962" s="23" t="n"/>
      <c r="S962" s="26" t="n"/>
      <c r="T962" s="24" t="n"/>
      <c r="U962" s="24" t="n"/>
      <c r="V962" s="24" t="n"/>
      <c r="W962" s="26" t="n"/>
      <c r="X962" s="23" t="n"/>
      <c r="Y962" s="18" t="n"/>
      <c r="Z962" s="27" t="n"/>
      <c r="AA962" s="27" t="n"/>
      <c r="AB962" s="27" t="n"/>
      <c r="AC962" s="27" t="n"/>
      <c r="AD962" s="1" t="n"/>
      <c r="AE962" s="1" t="n"/>
      <c r="AF962" s="4" t="n"/>
      <c r="AG962" s="4" t="n"/>
    </row>
    <row r="963" ht="47.25" customHeight="1">
      <c r="A963" s="18" t="n"/>
      <c r="B963" s="19" t="n"/>
      <c r="C963" s="20" t="n"/>
      <c r="D963" s="44" t="n"/>
      <c r="E963" s="23" t="n"/>
      <c r="F963" s="19" t="n"/>
      <c r="G963" s="19" t="n"/>
      <c r="H963" s="23" t="n"/>
      <c r="I963" s="19" t="n"/>
      <c r="J963" s="23" t="n"/>
      <c r="K963" s="21" t="n"/>
      <c r="L963" s="24" t="n"/>
      <c r="M963" s="24" t="n"/>
      <c r="N963" s="24" t="n"/>
      <c r="O963" s="24" t="n"/>
      <c r="P963" s="25" t="n"/>
      <c r="Q963" s="23" t="n"/>
      <c r="R963" s="23" t="n"/>
      <c r="S963" s="26" t="n"/>
      <c r="T963" s="24" t="n"/>
      <c r="U963" s="24" t="n"/>
      <c r="V963" s="24" t="n"/>
      <c r="W963" s="26" t="n"/>
      <c r="X963" s="23" t="n"/>
      <c r="Y963" s="18" t="n"/>
      <c r="Z963" s="27" t="n"/>
      <c r="AA963" s="27" t="n"/>
      <c r="AB963" s="27" t="n"/>
      <c r="AC963" s="27" t="n"/>
      <c r="AD963" s="1" t="n"/>
      <c r="AE963" s="1" t="n"/>
      <c r="AF963" s="4" t="n"/>
      <c r="AG963" s="4" t="n"/>
    </row>
    <row r="964" ht="47.25" customHeight="1">
      <c r="A964" s="18" t="n"/>
      <c r="B964" s="19" t="n"/>
      <c r="C964" s="20" t="n"/>
      <c r="D964" s="44" t="n"/>
      <c r="E964" s="23" t="n"/>
      <c r="F964" s="19" t="n"/>
      <c r="G964" s="19" t="n"/>
      <c r="H964" s="23" t="n"/>
      <c r="I964" s="19" t="n"/>
      <c r="J964" s="23" t="n"/>
      <c r="K964" s="21" t="n"/>
      <c r="L964" s="24" t="n"/>
      <c r="M964" s="24" t="n"/>
      <c r="N964" s="24" t="n"/>
      <c r="O964" s="24" t="n"/>
      <c r="P964" s="25" t="n"/>
      <c r="Q964" s="23" t="n"/>
      <c r="R964" s="23" t="n"/>
      <c r="S964" s="26" t="n"/>
      <c r="T964" s="24" t="n"/>
      <c r="U964" s="24" t="n"/>
      <c r="V964" s="24" t="n"/>
      <c r="W964" s="26" t="n"/>
      <c r="X964" s="23" t="n"/>
      <c r="Y964" s="18" t="n"/>
      <c r="Z964" s="27" t="n"/>
      <c r="AA964" s="27" t="n"/>
      <c r="AB964" s="27" t="n"/>
      <c r="AC964" s="27" t="n"/>
      <c r="AD964" s="1" t="n"/>
      <c r="AE964" s="1" t="n"/>
      <c r="AF964" s="4" t="n"/>
      <c r="AG964" s="4" t="n"/>
    </row>
    <row r="965" ht="47.25" customHeight="1">
      <c r="A965" s="18" t="n"/>
      <c r="B965" s="19" t="n"/>
      <c r="C965" s="20" t="n"/>
      <c r="D965" s="44" t="n"/>
      <c r="E965" s="23" t="n"/>
      <c r="F965" s="19" t="n"/>
      <c r="G965" s="19" t="n"/>
      <c r="H965" s="23" t="n"/>
      <c r="I965" s="19" t="n"/>
      <c r="J965" s="23" t="n"/>
      <c r="K965" s="21" t="n"/>
      <c r="L965" s="24" t="n"/>
      <c r="M965" s="24" t="n"/>
      <c r="N965" s="24" t="n"/>
      <c r="O965" s="24" t="n"/>
      <c r="P965" s="25" t="n"/>
      <c r="Q965" s="23" t="n"/>
      <c r="R965" s="23" t="n"/>
      <c r="S965" s="26" t="n"/>
      <c r="T965" s="24" t="n"/>
      <c r="U965" s="24" t="n"/>
      <c r="V965" s="24" t="n"/>
      <c r="W965" s="26" t="n"/>
      <c r="X965" s="23" t="n"/>
      <c r="Y965" s="18" t="n"/>
      <c r="Z965" s="27" t="n"/>
      <c r="AA965" s="27" t="n"/>
      <c r="AB965" s="27" t="n"/>
      <c r="AC965" s="27" t="n"/>
      <c r="AD965" s="1" t="n"/>
      <c r="AE965" s="1" t="n"/>
      <c r="AF965" s="4" t="n"/>
      <c r="AG965" s="4" t="n"/>
    </row>
    <row r="966" ht="47.25" customHeight="1">
      <c r="A966" s="18" t="n"/>
      <c r="B966" s="19" t="n"/>
      <c r="C966" s="20" t="n"/>
      <c r="D966" s="44" t="n"/>
      <c r="E966" s="23" t="n"/>
      <c r="F966" s="19" t="n"/>
      <c r="G966" s="19" t="n"/>
      <c r="H966" s="23" t="n"/>
      <c r="I966" s="19" t="n"/>
      <c r="J966" s="23" t="n"/>
      <c r="K966" s="21" t="n"/>
      <c r="L966" s="24" t="n"/>
      <c r="M966" s="24" t="n"/>
      <c r="N966" s="24" t="n"/>
      <c r="O966" s="24" t="n"/>
      <c r="P966" s="25" t="n"/>
      <c r="Q966" s="23" t="n"/>
      <c r="R966" s="23" t="n"/>
      <c r="S966" s="26" t="n"/>
      <c r="T966" s="24" t="n"/>
      <c r="U966" s="24" t="n"/>
      <c r="V966" s="24" t="n"/>
      <c r="W966" s="26" t="n"/>
      <c r="X966" s="23" t="n"/>
      <c r="Y966" s="18" t="n"/>
      <c r="Z966" s="27" t="n"/>
      <c r="AA966" s="27" t="n"/>
      <c r="AB966" s="27" t="n"/>
      <c r="AC966" s="27" t="n"/>
      <c r="AD966" s="1" t="n"/>
      <c r="AE966" s="1" t="n"/>
      <c r="AF966" s="4" t="n"/>
      <c r="AG966" s="4" t="n"/>
    </row>
    <row r="967" ht="47.25" customHeight="1">
      <c r="A967" s="18" t="n"/>
      <c r="B967" s="19" t="n"/>
      <c r="C967" s="20" t="n"/>
      <c r="D967" s="44" t="n"/>
      <c r="E967" s="23" t="n"/>
      <c r="F967" s="19" t="n"/>
      <c r="G967" s="19" t="n"/>
      <c r="H967" s="23" t="n"/>
      <c r="I967" s="19" t="n"/>
      <c r="J967" s="23" t="n"/>
      <c r="K967" s="21" t="n"/>
      <c r="L967" s="24" t="n"/>
      <c r="M967" s="24" t="n"/>
      <c r="N967" s="24" t="n"/>
      <c r="O967" s="24" t="n"/>
      <c r="P967" s="25" t="n"/>
      <c r="Q967" s="23" t="n"/>
      <c r="R967" s="23" t="n"/>
      <c r="S967" s="26" t="n"/>
      <c r="T967" s="24" t="n"/>
      <c r="U967" s="24" t="n"/>
      <c r="V967" s="24" t="n"/>
      <c r="W967" s="26" t="n"/>
      <c r="X967" s="23" t="n"/>
      <c r="Y967" s="18" t="n"/>
      <c r="Z967" s="27" t="n"/>
      <c r="AA967" s="27" t="n"/>
      <c r="AB967" s="27" t="n"/>
      <c r="AC967" s="27" t="n"/>
      <c r="AD967" s="1" t="n"/>
      <c r="AE967" s="1" t="n"/>
      <c r="AF967" s="4" t="n"/>
      <c r="AG967" s="4" t="n"/>
    </row>
    <row r="968" ht="47.25" customHeight="1">
      <c r="A968" s="18" t="n"/>
      <c r="B968" s="19" t="n"/>
      <c r="C968" s="20" t="n"/>
      <c r="D968" s="44" t="n"/>
      <c r="E968" s="23" t="n"/>
      <c r="F968" s="19" t="n"/>
      <c r="G968" s="19" t="n"/>
      <c r="H968" s="23" t="n"/>
      <c r="I968" s="19" t="n"/>
      <c r="J968" s="23" t="n"/>
      <c r="K968" s="21" t="n"/>
      <c r="L968" s="24" t="n"/>
      <c r="M968" s="24" t="n"/>
      <c r="N968" s="24" t="n"/>
      <c r="O968" s="24" t="n"/>
      <c r="P968" s="25" t="n"/>
      <c r="Q968" s="23" t="n"/>
      <c r="R968" s="23" t="n"/>
      <c r="S968" s="26" t="n"/>
      <c r="T968" s="24" t="n"/>
      <c r="U968" s="24" t="n"/>
      <c r="V968" s="24" t="n"/>
      <c r="W968" s="26" t="n"/>
      <c r="X968" s="23" t="n"/>
      <c r="Y968" s="18" t="n"/>
      <c r="Z968" s="27" t="n"/>
      <c r="AA968" s="27" t="n"/>
      <c r="AB968" s="27" t="n"/>
      <c r="AC968" s="27" t="n"/>
      <c r="AD968" s="1" t="n"/>
      <c r="AE968" s="1" t="n"/>
      <c r="AF968" s="4" t="n"/>
      <c r="AG968" s="4" t="n"/>
    </row>
    <row r="969" ht="47.25" customHeight="1">
      <c r="A969" s="18" t="n"/>
      <c r="B969" s="19" t="n"/>
      <c r="C969" s="20" t="n"/>
      <c r="D969" s="44" t="n"/>
      <c r="E969" s="23" t="n"/>
      <c r="F969" s="19" t="n"/>
      <c r="G969" s="19" t="n"/>
      <c r="H969" s="23" t="n"/>
      <c r="I969" s="19" t="n"/>
      <c r="J969" s="23" t="n"/>
      <c r="K969" s="21" t="n"/>
      <c r="L969" s="24" t="n"/>
      <c r="M969" s="24" t="n"/>
      <c r="N969" s="24" t="n"/>
      <c r="O969" s="24" t="n"/>
      <c r="P969" s="25" t="n"/>
      <c r="Q969" s="23" t="n"/>
      <c r="R969" s="23" t="n"/>
      <c r="S969" s="26" t="n"/>
      <c r="T969" s="24" t="n"/>
      <c r="U969" s="24" t="n"/>
      <c r="V969" s="24" t="n"/>
      <c r="W969" s="26" t="n"/>
      <c r="X969" s="23" t="n"/>
      <c r="Y969" s="18" t="n"/>
      <c r="Z969" s="27" t="n"/>
      <c r="AA969" s="27" t="n"/>
      <c r="AB969" s="27" t="n"/>
      <c r="AC969" s="27" t="n"/>
      <c r="AD969" s="1" t="n"/>
      <c r="AE969" s="1" t="n"/>
      <c r="AF969" s="4" t="n"/>
      <c r="AG969" s="4" t="n"/>
    </row>
    <row r="970" ht="47.25" customHeight="1">
      <c r="A970" s="18" t="n"/>
      <c r="B970" s="19" t="n"/>
      <c r="C970" s="20" t="n"/>
      <c r="D970" s="44" t="n"/>
      <c r="E970" s="23" t="n"/>
      <c r="F970" s="19" t="n"/>
      <c r="G970" s="19" t="n"/>
      <c r="H970" s="23" t="n"/>
      <c r="I970" s="19" t="n"/>
      <c r="J970" s="23" t="n"/>
      <c r="K970" s="21" t="n"/>
      <c r="L970" s="24" t="n"/>
      <c r="M970" s="24" t="n"/>
      <c r="N970" s="24" t="n"/>
      <c r="O970" s="24" t="n"/>
      <c r="P970" s="25" t="n"/>
      <c r="Q970" s="23" t="n"/>
      <c r="R970" s="23" t="n"/>
      <c r="S970" s="26" t="n"/>
      <c r="T970" s="24" t="n"/>
      <c r="U970" s="24" t="n"/>
      <c r="V970" s="24" t="n"/>
      <c r="W970" s="26" t="n"/>
      <c r="X970" s="23" t="n"/>
      <c r="Y970" s="18" t="n"/>
      <c r="Z970" s="27" t="n"/>
      <c r="AA970" s="27" t="n"/>
      <c r="AB970" s="27" t="n"/>
      <c r="AC970" s="27" t="n"/>
      <c r="AD970" s="1" t="n"/>
      <c r="AE970" s="1" t="n"/>
      <c r="AF970" s="4" t="n"/>
      <c r="AG970" s="4" t="n"/>
    </row>
    <row r="971" ht="47.25" customHeight="1">
      <c r="A971" s="18" t="n"/>
      <c r="B971" s="19" t="n"/>
      <c r="C971" s="20" t="n"/>
      <c r="D971" s="44" t="n"/>
      <c r="E971" s="23" t="n"/>
      <c r="F971" s="19" t="n"/>
      <c r="G971" s="19" t="n"/>
      <c r="H971" s="23" t="n"/>
      <c r="I971" s="19" t="n"/>
      <c r="J971" s="23" t="n"/>
      <c r="K971" s="21" t="n"/>
      <c r="L971" s="24" t="n"/>
      <c r="M971" s="24" t="n"/>
      <c r="N971" s="24" t="n"/>
      <c r="O971" s="24" t="n"/>
      <c r="P971" s="25" t="n"/>
      <c r="Q971" s="23" t="n"/>
      <c r="R971" s="23" t="n"/>
      <c r="S971" s="26" t="n"/>
      <c r="T971" s="24" t="n"/>
      <c r="U971" s="24" t="n"/>
      <c r="V971" s="24" t="n"/>
      <c r="W971" s="26" t="n"/>
      <c r="X971" s="23" t="n"/>
      <c r="Y971" s="18" t="n"/>
      <c r="Z971" s="27" t="n"/>
      <c r="AA971" s="27" t="n"/>
      <c r="AB971" s="27" t="n"/>
      <c r="AC971" s="27" t="n"/>
      <c r="AD971" s="1" t="n"/>
      <c r="AE971" s="1" t="n"/>
      <c r="AF971" s="4" t="n"/>
      <c r="AG971" s="4" t="n"/>
    </row>
    <row r="972" ht="47.25" customHeight="1">
      <c r="A972" s="18" t="n"/>
      <c r="B972" s="19" t="n"/>
      <c r="C972" s="20" t="n"/>
      <c r="D972" s="44" t="n"/>
      <c r="E972" s="23" t="n"/>
      <c r="F972" s="19" t="n"/>
      <c r="G972" s="19" t="n"/>
      <c r="H972" s="23" t="n"/>
      <c r="I972" s="19" t="n"/>
      <c r="J972" s="23" t="n"/>
      <c r="K972" s="21" t="n"/>
      <c r="L972" s="24" t="n"/>
      <c r="M972" s="24" t="n"/>
      <c r="N972" s="24" t="n"/>
      <c r="O972" s="24" t="n"/>
      <c r="P972" s="25" t="n"/>
      <c r="Q972" s="23" t="n"/>
      <c r="R972" s="23" t="n"/>
      <c r="S972" s="26" t="n"/>
      <c r="T972" s="24" t="n"/>
      <c r="U972" s="24" t="n"/>
      <c r="V972" s="24" t="n"/>
      <c r="W972" s="26" t="n"/>
      <c r="X972" s="23" t="n"/>
      <c r="Y972" s="18" t="n"/>
      <c r="Z972" s="27" t="n"/>
      <c r="AA972" s="27" t="n"/>
      <c r="AB972" s="27" t="n"/>
      <c r="AC972" s="27" t="n"/>
      <c r="AD972" s="1" t="n"/>
      <c r="AE972" s="1" t="n"/>
      <c r="AF972" s="4" t="n"/>
      <c r="AG972" s="4" t="n"/>
    </row>
    <row r="973" ht="47.25" customHeight="1">
      <c r="A973" s="18" t="n"/>
      <c r="B973" s="19" t="n"/>
      <c r="C973" s="20" t="n"/>
      <c r="D973" s="44" t="n"/>
      <c r="E973" s="23" t="n"/>
      <c r="F973" s="19" t="n"/>
      <c r="G973" s="19" t="n"/>
      <c r="H973" s="23" t="n"/>
      <c r="I973" s="19" t="n"/>
      <c r="J973" s="23" t="n"/>
      <c r="K973" s="21" t="n"/>
      <c r="L973" s="24" t="n"/>
      <c r="M973" s="24" t="n"/>
      <c r="N973" s="24" t="n"/>
      <c r="O973" s="24" t="n"/>
      <c r="P973" s="25" t="n"/>
      <c r="Q973" s="23" t="n"/>
      <c r="R973" s="23" t="n"/>
      <c r="S973" s="26" t="n"/>
      <c r="T973" s="24" t="n"/>
      <c r="U973" s="24" t="n"/>
      <c r="V973" s="24" t="n"/>
      <c r="W973" s="26" t="n"/>
      <c r="X973" s="23" t="n"/>
      <c r="Y973" s="18" t="n"/>
      <c r="Z973" s="27" t="n"/>
      <c r="AA973" s="27" t="n"/>
      <c r="AB973" s="27" t="n"/>
      <c r="AC973" s="27" t="n"/>
      <c r="AD973" s="1" t="n"/>
      <c r="AE973" s="1" t="n"/>
      <c r="AF973" s="4" t="n"/>
      <c r="AG973" s="4" t="n"/>
    </row>
    <row r="974" ht="47.25" customHeight="1">
      <c r="A974" s="18" t="n"/>
      <c r="B974" s="19" t="n"/>
      <c r="C974" s="20" t="n"/>
      <c r="D974" s="44" t="n"/>
      <c r="E974" s="23" t="n"/>
      <c r="F974" s="19" t="n"/>
      <c r="G974" s="19" t="n"/>
      <c r="H974" s="23" t="n"/>
      <c r="I974" s="19" t="n"/>
      <c r="J974" s="23" t="n"/>
      <c r="K974" s="21" t="n"/>
      <c r="L974" s="24" t="n"/>
      <c r="M974" s="24" t="n"/>
      <c r="N974" s="24" t="n"/>
      <c r="O974" s="24" t="n"/>
      <c r="P974" s="25" t="n"/>
      <c r="Q974" s="23" t="n"/>
      <c r="R974" s="23" t="n"/>
      <c r="S974" s="26" t="n"/>
      <c r="T974" s="24" t="n"/>
      <c r="U974" s="24" t="n"/>
      <c r="V974" s="24" t="n"/>
      <c r="W974" s="26" t="n"/>
      <c r="X974" s="23" t="n"/>
      <c r="Y974" s="18" t="n"/>
      <c r="Z974" s="27" t="n"/>
      <c r="AA974" s="27" t="n"/>
      <c r="AB974" s="27" t="n"/>
      <c r="AC974" s="27" t="n"/>
      <c r="AD974" s="1" t="n"/>
      <c r="AE974" s="1" t="n"/>
      <c r="AF974" s="4" t="n"/>
      <c r="AG974" s="4" t="n"/>
    </row>
    <row r="975" ht="47.25" customHeight="1">
      <c r="A975" s="18" t="n"/>
      <c r="B975" s="19" t="n"/>
      <c r="C975" s="20" t="n"/>
      <c r="D975" s="44" t="n"/>
      <c r="E975" s="23" t="n"/>
      <c r="F975" s="19" t="n"/>
      <c r="G975" s="19" t="n"/>
      <c r="H975" s="23" t="n"/>
      <c r="I975" s="19" t="n"/>
      <c r="J975" s="23" t="n"/>
      <c r="K975" s="21" t="n"/>
      <c r="L975" s="24" t="n"/>
      <c r="M975" s="24" t="n"/>
      <c r="N975" s="24" t="n"/>
      <c r="O975" s="24" t="n"/>
      <c r="P975" s="25" t="n"/>
      <c r="Q975" s="23" t="n"/>
      <c r="R975" s="23" t="n"/>
      <c r="S975" s="26" t="n"/>
      <c r="T975" s="24" t="n"/>
      <c r="U975" s="24" t="n"/>
      <c r="V975" s="24" t="n"/>
      <c r="W975" s="26" t="n"/>
      <c r="X975" s="23" t="n"/>
      <c r="Y975" s="18" t="n"/>
      <c r="Z975" s="27" t="n"/>
      <c r="AA975" s="27" t="n"/>
      <c r="AB975" s="27" t="n"/>
      <c r="AC975" s="27" t="n"/>
      <c r="AD975" s="1" t="n"/>
      <c r="AE975" s="1" t="n"/>
      <c r="AF975" s="4" t="n"/>
      <c r="AG975" s="4" t="n"/>
    </row>
    <row r="976" ht="47.25" customHeight="1">
      <c r="A976" s="18" t="n"/>
      <c r="B976" s="19" t="n"/>
      <c r="C976" s="20" t="n"/>
      <c r="D976" s="44" t="n"/>
      <c r="E976" s="23" t="n"/>
      <c r="F976" s="19" t="n"/>
      <c r="G976" s="19" t="n"/>
      <c r="H976" s="23" t="n"/>
      <c r="I976" s="19" t="n"/>
      <c r="J976" s="23" t="n"/>
      <c r="K976" s="21" t="n"/>
      <c r="L976" s="24" t="n"/>
      <c r="M976" s="24" t="n"/>
      <c r="N976" s="24" t="n"/>
      <c r="O976" s="24" t="n"/>
      <c r="P976" s="25" t="n"/>
      <c r="Q976" s="23" t="n"/>
      <c r="R976" s="23" t="n"/>
      <c r="S976" s="26" t="n"/>
      <c r="T976" s="24" t="n"/>
      <c r="U976" s="24" t="n"/>
      <c r="V976" s="24" t="n"/>
      <c r="W976" s="26" t="n"/>
      <c r="X976" s="23" t="n"/>
      <c r="Y976" s="18" t="n"/>
      <c r="Z976" s="27" t="n"/>
      <c r="AA976" s="27" t="n"/>
      <c r="AB976" s="27" t="n"/>
      <c r="AC976" s="27" t="n"/>
      <c r="AD976" s="1" t="n"/>
      <c r="AE976" s="1" t="n"/>
      <c r="AF976" s="4" t="n"/>
      <c r="AG976" s="4" t="n"/>
    </row>
    <row r="977" ht="47.25" customHeight="1">
      <c r="A977" s="18" t="n"/>
      <c r="B977" s="19" t="n"/>
      <c r="C977" s="20" t="n"/>
      <c r="D977" s="44" t="n"/>
      <c r="E977" s="23" t="n"/>
      <c r="F977" s="19" t="n"/>
      <c r="G977" s="19" t="n"/>
      <c r="H977" s="23" t="n"/>
      <c r="I977" s="19" t="n"/>
      <c r="J977" s="23" t="n"/>
      <c r="K977" s="21" t="n"/>
      <c r="L977" s="24" t="n"/>
      <c r="M977" s="24" t="n"/>
      <c r="N977" s="24" t="n"/>
      <c r="O977" s="24" t="n"/>
      <c r="P977" s="25" t="n"/>
      <c r="Q977" s="23" t="n"/>
      <c r="R977" s="23" t="n"/>
      <c r="S977" s="26" t="n"/>
      <c r="T977" s="24" t="n"/>
      <c r="U977" s="24" t="n"/>
      <c r="V977" s="24" t="n"/>
      <c r="W977" s="26" t="n"/>
      <c r="X977" s="23" t="n"/>
      <c r="Y977" s="18" t="n"/>
      <c r="Z977" s="27" t="n"/>
      <c r="AA977" s="27" t="n"/>
      <c r="AB977" s="27" t="n"/>
      <c r="AC977" s="27" t="n"/>
      <c r="AD977" s="1" t="n"/>
      <c r="AE977" s="1" t="n"/>
      <c r="AF977" s="4" t="n"/>
      <c r="AG977" s="4" t="n"/>
    </row>
    <row r="978" ht="47.25" customHeight="1">
      <c r="A978" s="18" t="n"/>
      <c r="B978" s="19" t="n"/>
      <c r="C978" s="20" t="n"/>
      <c r="D978" s="44" t="n"/>
      <c r="E978" s="23" t="n"/>
      <c r="F978" s="19" t="n"/>
      <c r="G978" s="19" t="n"/>
      <c r="H978" s="23" t="n"/>
      <c r="I978" s="19" t="n"/>
      <c r="J978" s="23" t="n"/>
      <c r="K978" s="21" t="n"/>
      <c r="L978" s="24" t="n"/>
      <c r="M978" s="24" t="n"/>
      <c r="N978" s="24" t="n"/>
      <c r="O978" s="24" t="n"/>
      <c r="P978" s="25" t="n"/>
      <c r="Q978" s="23" t="n"/>
      <c r="R978" s="23" t="n"/>
      <c r="S978" s="26" t="n"/>
      <c r="T978" s="24" t="n"/>
      <c r="U978" s="24" t="n"/>
      <c r="V978" s="24" t="n"/>
      <c r="W978" s="26" t="n"/>
      <c r="X978" s="23" t="n"/>
      <c r="Y978" s="18" t="n"/>
      <c r="Z978" s="27" t="n"/>
      <c r="AA978" s="27" t="n"/>
      <c r="AB978" s="27" t="n"/>
      <c r="AC978" s="27" t="n"/>
      <c r="AD978" s="1" t="n"/>
      <c r="AE978" s="1" t="n"/>
      <c r="AF978" s="4" t="n"/>
      <c r="AG978" s="4" t="n"/>
    </row>
    <row r="979" ht="47.25" customHeight="1">
      <c r="A979" s="18" t="n"/>
      <c r="B979" s="19" t="n"/>
      <c r="C979" s="20" t="n"/>
      <c r="D979" s="44" t="n"/>
      <c r="E979" s="23" t="n"/>
      <c r="F979" s="19" t="n"/>
      <c r="G979" s="19" t="n"/>
      <c r="H979" s="23" t="n"/>
      <c r="I979" s="19" t="n"/>
      <c r="J979" s="23" t="n"/>
      <c r="K979" s="21" t="n"/>
      <c r="L979" s="24" t="n"/>
      <c r="M979" s="24" t="n"/>
      <c r="N979" s="24" t="n"/>
      <c r="O979" s="24" t="n"/>
      <c r="P979" s="25" t="n"/>
      <c r="Q979" s="23" t="n"/>
      <c r="R979" s="23" t="n"/>
      <c r="S979" s="26" t="n"/>
      <c r="T979" s="24" t="n"/>
      <c r="U979" s="24" t="n"/>
      <c r="V979" s="24" t="n"/>
      <c r="W979" s="26" t="n"/>
      <c r="X979" s="23" t="n"/>
      <c r="Y979" s="18" t="n"/>
      <c r="Z979" s="27" t="n"/>
      <c r="AA979" s="27" t="n"/>
      <c r="AB979" s="27" t="n"/>
      <c r="AC979" s="27" t="n"/>
      <c r="AD979" s="1" t="n"/>
      <c r="AE979" s="1" t="n"/>
      <c r="AF979" s="4" t="n"/>
      <c r="AG979" s="4" t="n"/>
    </row>
    <row r="980" ht="47.25" customHeight="1">
      <c r="A980" s="18" t="n"/>
      <c r="B980" s="19" t="n"/>
      <c r="C980" s="20" t="n"/>
      <c r="D980" s="44" t="n"/>
      <c r="E980" s="23" t="n"/>
      <c r="F980" s="19" t="n"/>
      <c r="G980" s="19" t="n"/>
      <c r="H980" s="23" t="n"/>
      <c r="I980" s="19" t="n"/>
      <c r="J980" s="23" t="n"/>
      <c r="K980" s="21" t="n"/>
      <c r="L980" s="24" t="n"/>
      <c r="M980" s="24" t="n"/>
      <c r="N980" s="24" t="n"/>
      <c r="O980" s="24" t="n"/>
      <c r="P980" s="25" t="n"/>
      <c r="Q980" s="23" t="n"/>
      <c r="R980" s="23" t="n"/>
      <c r="S980" s="26" t="n"/>
      <c r="T980" s="24" t="n"/>
      <c r="U980" s="24" t="n"/>
      <c r="V980" s="24" t="n"/>
      <c r="W980" s="26" t="n"/>
      <c r="X980" s="23" t="n"/>
      <c r="Y980" s="18" t="n"/>
      <c r="Z980" s="27" t="n"/>
      <c r="AA980" s="27" t="n"/>
      <c r="AB980" s="27" t="n"/>
      <c r="AC980" s="27" t="n"/>
      <c r="AD980" s="1" t="n"/>
      <c r="AE980" s="1" t="n"/>
      <c r="AF980" s="4" t="n"/>
      <c r="AG980" s="4" t="n"/>
    </row>
    <row r="981" ht="47.25" customHeight="1">
      <c r="A981" s="18" t="n"/>
      <c r="B981" s="19" t="n"/>
      <c r="C981" s="20" t="n"/>
      <c r="D981" s="44" t="n"/>
      <c r="E981" s="23" t="n"/>
      <c r="F981" s="19" t="n"/>
      <c r="G981" s="19" t="n"/>
      <c r="H981" s="23" t="n"/>
      <c r="I981" s="19" t="n"/>
      <c r="J981" s="23" t="n"/>
      <c r="K981" s="21" t="n"/>
      <c r="L981" s="24" t="n"/>
      <c r="M981" s="24" t="n"/>
      <c r="N981" s="24" t="n"/>
      <c r="O981" s="24" t="n"/>
      <c r="P981" s="25" t="n"/>
      <c r="Q981" s="23" t="n"/>
      <c r="R981" s="23" t="n"/>
      <c r="S981" s="26" t="n"/>
      <c r="T981" s="24" t="n"/>
      <c r="U981" s="24" t="n"/>
      <c r="V981" s="24" t="n"/>
      <c r="W981" s="26" t="n"/>
      <c r="X981" s="23" t="n"/>
      <c r="Y981" s="18" t="n"/>
      <c r="Z981" s="27" t="n"/>
      <c r="AA981" s="27" t="n"/>
      <c r="AB981" s="27" t="n"/>
      <c r="AC981" s="27" t="n"/>
      <c r="AD981" s="1" t="n"/>
      <c r="AE981" s="1" t="n"/>
      <c r="AF981" s="4" t="n"/>
      <c r="AG981" s="4" t="n"/>
    </row>
    <row r="982" ht="47.25" customHeight="1">
      <c r="A982" s="18" t="n"/>
      <c r="B982" s="19" t="n"/>
      <c r="C982" s="20" t="n"/>
      <c r="D982" s="44" t="n"/>
      <c r="E982" s="23" t="n"/>
      <c r="F982" s="19" t="n"/>
      <c r="G982" s="19" t="n"/>
      <c r="H982" s="23" t="n"/>
      <c r="I982" s="19" t="n"/>
      <c r="J982" s="23" t="n"/>
      <c r="K982" s="21" t="n"/>
      <c r="L982" s="24" t="n"/>
      <c r="M982" s="24" t="n"/>
      <c r="N982" s="24" t="n"/>
      <c r="O982" s="24" t="n"/>
      <c r="P982" s="25" t="n"/>
      <c r="Q982" s="23" t="n"/>
      <c r="R982" s="23" t="n"/>
      <c r="S982" s="26" t="n"/>
      <c r="T982" s="24" t="n"/>
      <c r="U982" s="24" t="n"/>
      <c r="V982" s="24" t="n"/>
      <c r="W982" s="26" t="n"/>
      <c r="X982" s="23" t="n"/>
      <c r="Y982" s="18" t="n"/>
      <c r="Z982" s="27" t="n"/>
      <c r="AA982" s="27" t="n"/>
      <c r="AB982" s="27" t="n"/>
      <c r="AC982" s="27" t="n"/>
      <c r="AD982" s="1" t="n"/>
      <c r="AE982" s="1" t="n"/>
      <c r="AF982" s="4" t="n"/>
      <c r="AG982" s="4" t="n"/>
    </row>
    <row r="983" ht="47.25" customHeight="1">
      <c r="A983" s="18" t="n"/>
      <c r="B983" s="19" t="n"/>
      <c r="C983" s="20" t="n"/>
      <c r="D983" s="44" t="n"/>
      <c r="E983" s="23" t="n"/>
      <c r="F983" s="19" t="n"/>
      <c r="G983" s="19" t="n"/>
      <c r="H983" s="23" t="n"/>
      <c r="I983" s="19" t="n"/>
      <c r="J983" s="23" t="n"/>
      <c r="K983" s="21" t="n"/>
      <c r="L983" s="24" t="n"/>
      <c r="M983" s="24" t="n"/>
      <c r="N983" s="24" t="n"/>
      <c r="O983" s="24" t="n"/>
      <c r="P983" s="25" t="n"/>
      <c r="Q983" s="23" t="n"/>
      <c r="R983" s="23" t="n"/>
      <c r="S983" s="26" t="n"/>
      <c r="T983" s="24" t="n"/>
      <c r="U983" s="24" t="n"/>
      <c r="V983" s="24" t="n"/>
      <c r="W983" s="26" t="n"/>
      <c r="X983" s="23" t="n"/>
      <c r="Y983" s="18" t="n"/>
      <c r="Z983" s="27" t="n"/>
      <c r="AA983" s="27" t="n"/>
      <c r="AB983" s="27" t="n"/>
      <c r="AC983" s="27" t="n"/>
      <c r="AD983" s="1" t="n"/>
      <c r="AE983" s="1" t="n"/>
      <c r="AF983" s="4" t="n"/>
      <c r="AG983" s="4" t="n"/>
    </row>
    <row r="984" ht="47.25" customHeight="1">
      <c r="A984" s="18" t="n"/>
      <c r="B984" s="19" t="n"/>
      <c r="C984" s="20" t="n"/>
      <c r="D984" s="44" t="n"/>
      <c r="E984" s="23" t="n"/>
      <c r="F984" s="19" t="n"/>
      <c r="G984" s="19" t="n"/>
      <c r="H984" s="23" t="n"/>
      <c r="I984" s="19" t="n"/>
      <c r="J984" s="23" t="n"/>
      <c r="K984" s="21" t="n"/>
      <c r="L984" s="24" t="n"/>
      <c r="M984" s="24" t="n"/>
      <c r="N984" s="24" t="n"/>
      <c r="O984" s="24" t="n"/>
      <c r="P984" s="25" t="n"/>
      <c r="Q984" s="23" t="n"/>
      <c r="R984" s="23" t="n"/>
      <c r="S984" s="26" t="n"/>
      <c r="T984" s="24" t="n"/>
      <c r="U984" s="24" t="n"/>
      <c r="V984" s="24" t="n"/>
      <c r="W984" s="26" t="n"/>
      <c r="X984" s="23" t="n"/>
      <c r="Y984" s="18" t="n"/>
      <c r="Z984" s="27" t="n"/>
      <c r="AA984" s="27" t="n"/>
      <c r="AB984" s="27" t="n"/>
      <c r="AC984" s="27" t="n"/>
      <c r="AD984" s="1" t="n"/>
      <c r="AE984" s="1" t="n"/>
      <c r="AF984" s="4" t="n"/>
      <c r="AG984" s="4" t="n"/>
    </row>
    <row r="985" ht="47.25" customHeight="1">
      <c r="A985" s="18" t="n"/>
      <c r="B985" s="19" t="n"/>
      <c r="C985" s="20" t="n"/>
      <c r="D985" s="44" t="n"/>
      <c r="E985" s="23" t="n"/>
      <c r="F985" s="19" t="n"/>
      <c r="G985" s="19" t="n"/>
      <c r="H985" s="23" t="n"/>
      <c r="I985" s="19" t="n"/>
      <c r="J985" s="23" t="n"/>
      <c r="K985" s="21" t="n"/>
      <c r="L985" s="24" t="n"/>
      <c r="M985" s="24" t="n"/>
      <c r="N985" s="24" t="n"/>
      <c r="O985" s="24" t="n"/>
      <c r="P985" s="25" t="n"/>
      <c r="Q985" s="23" t="n"/>
      <c r="R985" s="23" t="n"/>
      <c r="S985" s="26" t="n"/>
      <c r="T985" s="24" t="n"/>
      <c r="U985" s="24" t="n"/>
      <c r="V985" s="24" t="n"/>
      <c r="W985" s="26" t="n"/>
      <c r="X985" s="23" t="n"/>
      <c r="Y985" s="18" t="n"/>
      <c r="Z985" s="27" t="n"/>
      <c r="AA985" s="27" t="n"/>
      <c r="AB985" s="27" t="n"/>
      <c r="AC985" s="27" t="n"/>
      <c r="AD985" s="1" t="n"/>
      <c r="AE985" s="1" t="n"/>
      <c r="AF985" s="4" t="n"/>
      <c r="AG985" s="4" t="n"/>
    </row>
    <row r="986" ht="47.25" customHeight="1">
      <c r="A986" s="18" t="n"/>
      <c r="B986" s="19" t="n"/>
      <c r="C986" s="20" t="n"/>
      <c r="D986" s="44" t="n"/>
      <c r="E986" s="23" t="n"/>
      <c r="F986" s="19" t="n"/>
      <c r="G986" s="19" t="n"/>
      <c r="H986" s="23" t="n"/>
      <c r="I986" s="19" t="n"/>
      <c r="J986" s="23" t="n"/>
      <c r="K986" s="21" t="n"/>
      <c r="L986" s="24" t="n"/>
      <c r="M986" s="24" t="n"/>
      <c r="N986" s="24" t="n"/>
      <c r="O986" s="24" t="n"/>
      <c r="P986" s="25" t="n"/>
      <c r="Q986" s="23" t="n"/>
      <c r="R986" s="23" t="n"/>
      <c r="S986" s="26" t="n"/>
      <c r="T986" s="24" t="n"/>
      <c r="U986" s="24" t="n"/>
      <c r="V986" s="24" t="n"/>
      <c r="W986" s="26" t="n"/>
      <c r="X986" s="23" t="n"/>
      <c r="Y986" s="18" t="n"/>
      <c r="Z986" s="27" t="n"/>
      <c r="AA986" s="27" t="n"/>
      <c r="AB986" s="27" t="n"/>
      <c r="AC986" s="27" t="n"/>
      <c r="AD986" s="1" t="n"/>
      <c r="AE986" s="1" t="n"/>
      <c r="AF986" s="4" t="n"/>
      <c r="AG986" s="4" t="n"/>
    </row>
    <row r="987" ht="47.25" customHeight="1">
      <c r="A987" s="18" t="n"/>
      <c r="B987" s="19" t="n"/>
      <c r="C987" s="20" t="n"/>
      <c r="D987" s="44" t="n"/>
      <c r="E987" s="23" t="n"/>
      <c r="F987" s="19" t="n"/>
      <c r="G987" s="19" t="n"/>
      <c r="H987" s="23" t="n"/>
      <c r="I987" s="19" t="n"/>
      <c r="J987" s="23" t="n"/>
      <c r="K987" s="21" t="n"/>
      <c r="L987" s="24" t="n"/>
      <c r="M987" s="24" t="n"/>
      <c r="N987" s="24" t="n"/>
      <c r="O987" s="24" t="n"/>
      <c r="P987" s="25" t="n"/>
      <c r="Q987" s="23" t="n"/>
      <c r="R987" s="23" t="n"/>
      <c r="S987" s="26" t="n"/>
      <c r="T987" s="24" t="n"/>
      <c r="U987" s="24" t="n"/>
      <c r="V987" s="24" t="n"/>
      <c r="W987" s="26" t="n"/>
      <c r="X987" s="23" t="n"/>
      <c r="Y987" s="18" t="n"/>
      <c r="Z987" s="27" t="n"/>
      <c r="AA987" s="27" t="n"/>
      <c r="AB987" s="27" t="n"/>
      <c r="AC987" s="27" t="n"/>
      <c r="AD987" s="1" t="n"/>
      <c r="AE987" s="1" t="n"/>
      <c r="AF987" s="4" t="n"/>
      <c r="AG987" s="4" t="n"/>
    </row>
    <row r="988" ht="47.25" customHeight="1">
      <c r="A988" s="18" t="n"/>
      <c r="B988" s="19" t="n"/>
      <c r="C988" s="20" t="n"/>
      <c r="D988" s="44" t="n"/>
      <c r="E988" s="23" t="n"/>
      <c r="F988" s="19" t="n"/>
      <c r="G988" s="19" t="n"/>
      <c r="H988" s="23" t="n"/>
      <c r="I988" s="19" t="n"/>
      <c r="J988" s="23" t="n"/>
      <c r="K988" s="21" t="n"/>
      <c r="L988" s="24" t="n"/>
      <c r="M988" s="24" t="n"/>
      <c r="N988" s="24" t="n"/>
      <c r="O988" s="24" t="n"/>
      <c r="P988" s="25" t="n"/>
      <c r="Q988" s="23" t="n"/>
      <c r="R988" s="23" t="n"/>
      <c r="S988" s="26" t="n"/>
      <c r="T988" s="24" t="n"/>
      <c r="U988" s="24" t="n"/>
      <c r="V988" s="24" t="n"/>
      <c r="W988" s="26" t="n"/>
      <c r="X988" s="23" t="n"/>
      <c r="Y988" s="18" t="n"/>
      <c r="Z988" s="27" t="n"/>
      <c r="AA988" s="27" t="n"/>
      <c r="AB988" s="27" t="n"/>
      <c r="AC988" s="27" t="n"/>
      <c r="AD988" s="1" t="n"/>
      <c r="AE988" s="1" t="n"/>
      <c r="AF988" s="4" t="n"/>
      <c r="AG988" s="4" t="n"/>
    </row>
    <row r="989" ht="47.25" customHeight="1">
      <c r="A989" s="18" t="n"/>
      <c r="B989" s="19" t="n"/>
      <c r="C989" s="20" t="n"/>
      <c r="D989" s="44" t="n"/>
      <c r="E989" s="23" t="n"/>
      <c r="F989" s="19" t="n"/>
      <c r="G989" s="19" t="n"/>
      <c r="H989" s="23" t="n"/>
      <c r="I989" s="19" t="n"/>
      <c r="J989" s="23" t="n"/>
      <c r="K989" s="21" t="n"/>
      <c r="L989" s="24" t="n"/>
      <c r="M989" s="24" t="n"/>
      <c r="N989" s="24" t="n"/>
      <c r="O989" s="24" t="n"/>
      <c r="P989" s="25" t="n"/>
      <c r="Q989" s="23" t="n"/>
      <c r="R989" s="23" t="n"/>
      <c r="S989" s="26" t="n"/>
      <c r="T989" s="24" t="n"/>
      <c r="U989" s="24" t="n"/>
      <c r="V989" s="24" t="n"/>
      <c r="W989" s="26" t="n"/>
      <c r="X989" s="23" t="n"/>
      <c r="Y989" s="18" t="n"/>
      <c r="Z989" s="27" t="n"/>
      <c r="AA989" s="27" t="n"/>
      <c r="AB989" s="27" t="n"/>
      <c r="AC989" s="27" t="n"/>
      <c r="AD989" s="1" t="n"/>
      <c r="AE989" s="1" t="n"/>
      <c r="AF989" s="4" t="n"/>
      <c r="AG989" s="4" t="n"/>
    </row>
    <row r="990" ht="47.25" customHeight="1">
      <c r="A990" s="18" t="n"/>
      <c r="B990" s="19" t="n"/>
      <c r="C990" s="20" t="n"/>
      <c r="D990" s="44" t="n"/>
      <c r="E990" s="23" t="n"/>
      <c r="F990" s="19" t="n"/>
      <c r="G990" s="19" t="n"/>
      <c r="H990" s="23" t="n"/>
      <c r="I990" s="19" t="n"/>
      <c r="J990" s="23" t="n"/>
      <c r="K990" s="21" t="n"/>
      <c r="L990" s="24" t="n"/>
      <c r="M990" s="24" t="n"/>
      <c r="N990" s="24" t="n"/>
      <c r="O990" s="24" t="n"/>
      <c r="P990" s="25" t="n"/>
      <c r="Q990" s="23" t="n"/>
      <c r="R990" s="23" t="n"/>
      <c r="S990" s="26" t="n"/>
      <c r="T990" s="24" t="n"/>
      <c r="U990" s="24" t="n"/>
      <c r="V990" s="24" t="n"/>
      <c r="W990" s="26" t="n"/>
      <c r="X990" s="23" t="n"/>
      <c r="Y990" s="18" t="n"/>
      <c r="Z990" s="27" t="n"/>
      <c r="AA990" s="27" t="n"/>
      <c r="AB990" s="27" t="n"/>
      <c r="AC990" s="27" t="n"/>
      <c r="AD990" s="1" t="n"/>
      <c r="AE990" s="1" t="n"/>
      <c r="AF990" s="4" t="n"/>
      <c r="AG990" s="4" t="n"/>
    </row>
    <row r="991" ht="47.25" customHeight="1">
      <c r="A991" s="18" t="n"/>
      <c r="B991" s="19" t="n"/>
      <c r="C991" s="20" t="n"/>
      <c r="D991" s="44" t="n"/>
      <c r="E991" s="23" t="n"/>
      <c r="F991" s="19" t="n"/>
      <c r="G991" s="19" t="n"/>
      <c r="H991" s="23" t="n"/>
      <c r="I991" s="19" t="n"/>
      <c r="J991" s="23" t="n"/>
      <c r="K991" s="21" t="n"/>
      <c r="L991" s="24" t="n"/>
      <c r="M991" s="24" t="n"/>
      <c r="N991" s="24" t="n"/>
      <c r="O991" s="24" t="n"/>
      <c r="P991" s="25" t="n"/>
      <c r="Q991" s="23" t="n"/>
      <c r="R991" s="23" t="n"/>
      <c r="S991" s="26" t="n"/>
      <c r="T991" s="24" t="n"/>
      <c r="U991" s="24" t="n"/>
      <c r="V991" s="24" t="n"/>
      <c r="W991" s="26" t="n"/>
      <c r="X991" s="23" t="n"/>
      <c r="Y991" s="18" t="n"/>
      <c r="Z991" s="27" t="n"/>
      <c r="AA991" s="27" t="n"/>
      <c r="AB991" s="27" t="n"/>
      <c r="AC991" s="27" t="n"/>
      <c r="AD991" s="1" t="n"/>
      <c r="AE991" s="1" t="n"/>
      <c r="AF991" s="4" t="n"/>
      <c r="AG991" s="4" t="n"/>
    </row>
    <row r="992" ht="47.25" customHeight="1">
      <c r="A992" s="18" t="n"/>
      <c r="B992" s="19" t="n"/>
      <c r="C992" s="20" t="n"/>
      <c r="D992" s="44" t="n"/>
      <c r="E992" s="23" t="n"/>
      <c r="F992" s="19" t="n"/>
      <c r="G992" s="19" t="n"/>
      <c r="H992" s="23" t="n"/>
      <c r="I992" s="19" t="n"/>
      <c r="J992" s="23" t="n"/>
      <c r="K992" s="21" t="n"/>
      <c r="L992" s="24" t="n"/>
      <c r="M992" s="24" t="n"/>
      <c r="N992" s="24" t="n"/>
      <c r="O992" s="24" t="n"/>
      <c r="P992" s="25" t="n"/>
      <c r="Q992" s="23" t="n"/>
      <c r="R992" s="23" t="n"/>
      <c r="S992" s="26" t="n"/>
      <c r="T992" s="24" t="n"/>
      <c r="U992" s="24" t="n"/>
      <c r="V992" s="24" t="n"/>
      <c r="W992" s="26" t="n"/>
      <c r="X992" s="23" t="n"/>
      <c r="Y992" s="18" t="n"/>
      <c r="Z992" s="27" t="n"/>
      <c r="AA992" s="27" t="n"/>
      <c r="AB992" s="27" t="n"/>
      <c r="AC992" s="27" t="n"/>
      <c r="AD992" s="1" t="n"/>
      <c r="AE992" s="1" t="n"/>
      <c r="AF992" s="4" t="n"/>
      <c r="AG992" s="4" t="n"/>
    </row>
    <row r="993" ht="47.25" customHeight="1">
      <c r="A993" s="18" t="n"/>
      <c r="B993" s="19" t="n"/>
      <c r="C993" s="20" t="n"/>
      <c r="D993" s="44" t="n"/>
      <c r="E993" s="23" t="n"/>
      <c r="F993" s="19" t="n"/>
      <c r="G993" s="19" t="n"/>
      <c r="H993" s="23" t="n"/>
      <c r="I993" s="19" t="n"/>
      <c r="J993" s="23" t="n"/>
      <c r="K993" s="21" t="n"/>
      <c r="L993" s="24" t="n"/>
      <c r="M993" s="24" t="n"/>
      <c r="N993" s="24" t="n"/>
      <c r="O993" s="24" t="n"/>
      <c r="P993" s="25" t="n"/>
      <c r="Q993" s="23" t="n"/>
      <c r="R993" s="23" t="n"/>
      <c r="S993" s="26" t="n"/>
      <c r="T993" s="24" t="n"/>
      <c r="U993" s="24" t="n"/>
      <c r="V993" s="24" t="n"/>
      <c r="W993" s="26" t="n"/>
      <c r="X993" s="23" t="n"/>
      <c r="Y993" s="18" t="n"/>
      <c r="Z993" s="27" t="n"/>
      <c r="AA993" s="27" t="n"/>
      <c r="AB993" s="27" t="n"/>
      <c r="AC993" s="27" t="n"/>
      <c r="AD993" s="1" t="n"/>
      <c r="AE993" s="1" t="n"/>
      <c r="AF993" s="4" t="n"/>
      <c r="AG993" s="4" t="n"/>
    </row>
    <row r="994" ht="47.25" customHeight="1">
      <c r="A994" s="18" t="n"/>
      <c r="B994" s="19" t="n"/>
      <c r="C994" s="20" t="n"/>
      <c r="D994" s="44" t="n"/>
      <c r="E994" s="23" t="n"/>
      <c r="F994" s="19" t="n"/>
      <c r="G994" s="19" t="n"/>
      <c r="H994" s="23" t="n"/>
      <c r="I994" s="19" t="n"/>
      <c r="J994" s="23" t="n"/>
      <c r="K994" s="21" t="n"/>
      <c r="L994" s="24" t="n"/>
      <c r="M994" s="24" t="n"/>
      <c r="N994" s="24" t="n"/>
      <c r="O994" s="24" t="n"/>
      <c r="P994" s="25" t="n"/>
      <c r="Q994" s="23" t="n"/>
      <c r="R994" s="23" t="n"/>
      <c r="S994" s="26" t="n"/>
      <c r="T994" s="24" t="n"/>
      <c r="U994" s="24" t="n"/>
      <c r="V994" s="24" t="n"/>
      <c r="W994" s="26" t="n"/>
      <c r="X994" s="23" t="n"/>
      <c r="Y994" s="18" t="n"/>
      <c r="Z994" s="27" t="n"/>
      <c r="AA994" s="27" t="n"/>
      <c r="AB994" s="27" t="n"/>
      <c r="AC994" s="27" t="n"/>
      <c r="AD994" s="1" t="n"/>
      <c r="AE994" s="1" t="n"/>
      <c r="AF994" s="4" t="n"/>
      <c r="AG994" s="4" t="n"/>
    </row>
    <row r="995" ht="47.25" customHeight="1">
      <c r="A995" s="18" t="n"/>
      <c r="B995" s="19" t="n"/>
      <c r="C995" s="20" t="n"/>
      <c r="D995" s="44" t="n"/>
      <c r="E995" s="23" t="n"/>
      <c r="F995" s="19" t="n"/>
      <c r="G995" s="19" t="n"/>
      <c r="H995" s="23" t="n"/>
      <c r="I995" s="19" t="n"/>
      <c r="J995" s="23" t="n"/>
      <c r="K995" s="21" t="n"/>
      <c r="L995" s="24" t="n"/>
      <c r="M995" s="24" t="n"/>
      <c r="N995" s="24" t="n"/>
      <c r="O995" s="24" t="n"/>
      <c r="P995" s="25" t="n"/>
      <c r="Q995" s="23" t="n"/>
      <c r="R995" s="23" t="n"/>
      <c r="S995" s="26" t="n"/>
      <c r="T995" s="24" t="n"/>
      <c r="U995" s="24" t="n"/>
      <c r="V995" s="24" t="n"/>
      <c r="W995" s="26" t="n"/>
      <c r="X995" s="23" t="n"/>
      <c r="Y995" s="18" t="n"/>
      <c r="Z995" s="27" t="n"/>
      <c r="AA995" s="27" t="n"/>
      <c r="AB995" s="27" t="n"/>
      <c r="AC995" s="27" t="n"/>
      <c r="AD995" s="1" t="n"/>
      <c r="AE995" s="1" t="n"/>
      <c r="AF995" s="4" t="n"/>
      <c r="AG995" s="4" t="n"/>
    </row>
    <row r="996" ht="47.25" customHeight="1">
      <c r="A996" s="18" t="n"/>
      <c r="B996" s="19" t="n"/>
      <c r="C996" s="20" t="n"/>
      <c r="D996" s="44" t="n"/>
      <c r="E996" s="23" t="n"/>
      <c r="F996" s="19" t="n"/>
      <c r="G996" s="19" t="n"/>
      <c r="H996" s="23" t="n"/>
      <c r="I996" s="19" t="n"/>
      <c r="J996" s="23" t="n"/>
      <c r="K996" s="21" t="n"/>
      <c r="L996" s="24" t="n"/>
      <c r="M996" s="24" t="n"/>
      <c r="N996" s="24" t="n"/>
      <c r="O996" s="24" t="n"/>
      <c r="P996" s="25" t="n"/>
      <c r="Q996" s="23" t="n"/>
      <c r="R996" s="23" t="n"/>
      <c r="S996" s="26" t="n"/>
      <c r="T996" s="24" t="n"/>
      <c r="U996" s="24" t="n"/>
      <c r="V996" s="24" t="n"/>
      <c r="W996" s="26" t="n"/>
      <c r="X996" s="23" t="n"/>
      <c r="Y996" s="18" t="n"/>
      <c r="Z996" s="27" t="n"/>
      <c r="AA996" s="27" t="n"/>
      <c r="AB996" s="27" t="n"/>
      <c r="AC996" s="27" t="n"/>
      <c r="AD996" s="1" t="n"/>
      <c r="AE996" s="1" t="n"/>
      <c r="AF996" s="4" t="n"/>
      <c r="AG996" s="4" t="n"/>
    </row>
    <row r="997" ht="47.25" customHeight="1">
      <c r="A997" s="18" t="n"/>
      <c r="B997" s="19" t="n"/>
      <c r="C997" s="20" t="n"/>
      <c r="D997" s="44" t="n"/>
      <c r="E997" s="23" t="n"/>
      <c r="F997" s="19" t="n"/>
      <c r="G997" s="19" t="n"/>
      <c r="H997" s="23" t="n"/>
      <c r="I997" s="19" t="n"/>
      <c r="J997" s="23" t="n"/>
      <c r="K997" s="21" t="n"/>
      <c r="L997" s="24" t="n"/>
      <c r="M997" s="24" t="n"/>
      <c r="N997" s="24" t="n"/>
      <c r="O997" s="24" t="n"/>
      <c r="P997" s="25" t="n"/>
      <c r="Q997" s="23" t="n"/>
      <c r="R997" s="23" t="n"/>
      <c r="S997" s="26" t="n"/>
      <c r="T997" s="24" t="n"/>
      <c r="U997" s="24" t="n"/>
      <c r="V997" s="24" t="n"/>
      <c r="W997" s="26" t="n"/>
      <c r="X997" s="23" t="n"/>
      <c r="Y997" s="18" t="n"/>
      <c r="Z997" s="27" t="n"/>
      <c r="AA997" s="27" t="n"/>
      <c r="AB997" s="27" t="n"/>
      <c r="AC997" s="27" t="n"/>
      <c r="AD997" s="1" t="n"/>
      <c r="AE997" s="1" t="n"/>
      <c r="AF997" s="4" t="n"/>
      <c r="AG997" s="4" t="n"/>
    </row>
    <row r="998" ht="47.25" customHeight="1">
      <c r="A998" s="18" t="n"/>
      <c r="B998" s="19" t="n"/>
      <c r="C998" s="20" t="n"/>
      <c r="D998" s="44" t="n"/>
      <c r="E998" s="23" t="n"/>
      <c r="F998" s="19" t="n"/>
      <c r="G998" s="19" t="n"/>
      <c r="H998" s="23" t="n"/>
      <c r="I998" s="19" t="n"/>
      <c r="J998" s="23" t="n"/>
      <c r="K998" s="21" t="n"/>
      <c r="L998" s="24" t="n"/>
      <c r="M998" s="24" t="n"/>
      <c r="N998" s="24" t="n"/>
      <c r="O998" s="24" t="n"/>
      <c r="P998" s="25" t="n"/>
      <c r="Q998" s="23" t="n"/>
      <c r="R998" s="23" t="n"/>
      <c r="S998" s="26" t="n"/>
      <c r="T998" s="24" t="n"/>
      <c r="U998" s="24" t="n"/>
      <c r="V998" s="24" t="n"/>
      <c r="W998" s="26" t="n"/>
      <c r="X998" s="23" t="n"/>
      <c r="Y998" s="18" t="n"/>
      <c r="Z998" s="27" t="n"/>
      <c r="AA998" s="27" t="n"/>
      <c r="AB998" s="27" t="n"/>
      <c r="AC998" s="27" t="n"/>
      <c r="AD998" s="1" t="n"/>
      <c r="AE998" s="1" t="n"/>
      <c r="AF998" s="4" t="n"/>
      <c r="AG998" s="4" t="n"/>
    </row>
    <row r="999" ht="47.25" customHeight="1">
      <c r="A999" s="18" t="n"/>
      <c r="B999" s="19" t="n"/>
      <c r="C999" s="20" t="n"/>
      <c r="D999" s="44" t="n"/>
      <c r="E999" s="23" t="n"/>
      <c r="F999" s="19" t="n"/>
      <c r="G999" s="19" t="n"/>
      <c r="H999" s="23" t="n"/>
      <c r="I999" s="19" t="n"/>
      <c r="J999" s="23" t="n"/>
      <c r="K999" s="21" t="n"/>
      <c r="L999" s="24" t="n"/>
      <c r="M999" s="24" t="n"/>
      <c r="N999" s="24" t="n"/>
      <c r="O999" s="24" t="n"/>
      <c r="P999" s="25" t="n"/>
      <c r="Q999" s="23" t="n"/>
      <c r="R999" s="23" t="n"/>
      <c r="S999" s="26" t="n"/>
      <c r="T999" s="24" t="n"/>
      <c r="U999" s="24" t="n"/>
      <c r="V999" s="24" t="n"/>
      <c r="W999" s="26" t="n"/>
      <c r="X999" s="23" t="n"/>
      <c r="Y999" s="18" t="n"/>
      <c r="Z999" s="27" t="n"/>
      <c r="AA999" s="27" t="n"/>
      <c r="AB999" s="27" t="n"/>
      <c r="AC999" s="27" t="n"/>
      <c r="AD999" s="1" t="n"/>
      <c r="AE999" s="1" t="n"/>
      <c r="AF999" s="4" t="n"/>
      <c r="AG999" s="4" t="n"/>
    </row>
    <row r="1000" ht="47.25" customHeight="1">
      <c r="A1000" s="18" t="n"/>
      <c r="B1000" s="19" t="n"/>
      <c r="C1000" s="20" t="n"/>
      <c r="D1000" s="44" t="n"/>
      <c r="E1000" s="23" t="n"/>
      <c r="F1000" s="19" t="n"/>
      <c r="G1000" s="19" t="n"/>
      <c r="H1000" s="23" t="n"/>
      <c r="I1000" s="19" t="n"/>
      <c r="J1000" s="23" t="n"/>
      <c r="K1000" s="21" t="n"/>
      <c r="L1000" s="24" t="n"/>
      <c r="M1000" s="24" t="n"/>
      <c r="N1000" s="24" t="n"/>
      <c r="O1000" s="24" t="n"/>
      <c r="P1000" s="25" t="n"/>
      <c r="Q1000" s="23" t="n"/>
      <c r="R1000" s="23" t="n"/>
      <c r="S1000" s="26" t="n"/>
      <c r="T1000" s="24" t="n"/>
      <c r="U1000" s="24" t="n"/>
      <c r="V1000" s="24" t="n"/>
      <c r="W1000" s="26" t="n"/>
      <c r="X1000" s="23" t="n"/>
      <c r="Y1000" s="18" t="n"/>
      <c r="Z1000" s="27" t="n"/>
      <c r="AA1000" s="27" t="n"/>
      <c r="AB1000" s="27" t="n"/>
      <c r="AC1000" s="27" t="n"/>
      <c r="AD1000" s="1" t="n"/>
      <c r="AE1000" s="1" t="n"/>
      <c r="AF1000" s="4" t="n"/>
      <c r="AG1000" s="4" t="n"/>
    </row>
    <row r="1001" ht="47.25" customHeight="1">
      <c r="A1001" s="18" t="n"/>
      <c r="B1001" s="19" t="n"/>
      <c r="C1001" s="20" t="n"/>
      <c r="D1001" s="44" t="n"/>
      <c r="E1001" s="23" t="n"/>
      <c r="F1001" s="19" t="n"/>
      <c r="G1001" s="19" t="n"/>
      <c r="H1001" s="23" t="n"/>
      <c r="I1001" s="19" t="n"/>
      <c r="J1001" s="23" t="n"/>
      <c r="K1001" s="21" t="n"/>
      <c r="L1001" s="24" t="n"/>
      <c r="M1001" s="24" t="n"/>
      <c r="N1001" s="24" t="n"/>
      <c r="O1001" s="24" t="n"/>
      <c r="P1001" s="25" t="n"/>
      <c r="Q1001" s="23" t="n"/>
      <c r="R1001" s="23" t="n"/>
      <c r="S1001" s="26" t="n"/>
      <c r="T1001" s="24" t="n"/>
      <c r="U1001" s="24" t="n"/>
      <c r="V1001" s="24" t="n"/>
      <c r="W1001" s="26" t="n"/>
      <c r="X1001" s="23" t="n"/>
      <c r="Y1001" s="18" t="n"/>
      <c r="Z1001" s="27" t="n"/>
      <c r="AA1001" s="27" t="n"/>
      <c r="AB1001" s="27" t="n"/>
      <c r="AC1001" s="27" t="n"/>
      <c r="AD1001" s="1" t="n"/>
      <c r="AE1001" s="1" t="n"/>
      <c r="AF1001" s="4" t="n"/>
      <c r="AG1001" s="4" t="n"/>
    </row>
    <row r="1002" ht="47.25" customHeight="1">
      <c r="A1002" s="18" t="n"/>
      <c r="B1002" s="19" t="n"/>
      <c r="C1002" s="20" t="n"/>
      <c r="D1002" s="44" t="n"/>
      <c r="E1002" s="23" t="n"/>
      <c r="F1002" s="19" t="n"/>
      <c r="G1002" s="19" t="n"/>
      <c r="H1002" s="23" t="n"/>
      <c r="I1002" s="19" t="n"/>
      <c r="J1002" s="23" t="n"/>
      <c r="K1002" s="21" t="n"/>
      <c r="L1002" s="24" t="n"/>
      <c r="M1002" s="24" t="n"/>
      <c r="N1002" s="24" t="n"/>
      <c r="O1002" s="24" t="n"/>
      <c r="P1002" s="25" t="n"/>
      <c r="Q1002" s="23" t="n"/>
      <c r="R1002" s="23" t="n"/>
      <c r="S1002" s="26" t="n"/>
      <c r="T1002" s="24" t="n"/>
      <c r="U1002" s="24" t="n"/>
      <c r="V1002" s="24" t="n"/>
      <c r="W1002" s="26" t="n"/>
      <c r="X1002" s="23" t="n"/>
      <c r="Y1002" s="18" t="n"/>
      <c r="Z1002" s="27" t="n"/>
      <c r="AA1002" s="27" t="n"/>
      <c r="AB1002" s="27" t="n"/>
      <c r="AC1002" s="27" t="n"/>
      <c r="AD1002" s="1" t="n"/>
      <c r="AE1002" s="1" t="n"/>
      <c r="AF1002" s="4" t="n"/>
      <c r="AG1002" s="4" t="n"/>
    </row>
  </sheetData>
  <conditionalFormatting sqref="L1:L1048576">
    <cfRule type="cellIs" priority="8" operator="greaterThan" dxfId="0">
      <formula>75</formula>
    </cfRule>
    <cfRule type="cellIs" priority="9" operator="between" dxfId="1">
      <formula>25</formula>
      <formula>75</formula>
    </cfRule>
    <cfRule type="cellIs" priority="10" operator="lessThan" dxfId="2">
      <formula>25</formula>
    </cfRule>
  </conditionalFormatting>
  <conditionalFormatting sqref="M1:M1048576">
    <cfRule type="cellIs" priority="5" operator="greaterThan" dxfId="2">
      <formula>50</formula>
    </cfRule>
    <cfRule type="cellIs" priority="6" operator="between" dxfId="1">
      <formula>20</formula>
      <formula>50</formula>
    </cfRule>
    <cfRule type="cellIs" priority="7" operator="lessThan" dxfId="0">
      <formula>20</formula>
    </cfRule>
  </conditionalFormatting>
  <conditionalFormatting sqref="N1:N1048576">
    <cfRule type="cellIs" priority="17" operator="greaterThan" dxfId="2">
      <formula>15</formula>
    </cfRule>
    <cfRule type="cellIs" priority="18" operator="between" dxfId="1">
      <formula>5</formula>
      <formula>15</formula>
    </cfRule>
    <cfRule type="cellIs" priority="19" operator="lessThan" dxfId="0">
      <formula>5</formula>
    </cfRule>
  </conditionalFormatting>
  <conditionalFormatting sqref="O1:O1048576">
    <cfRule type="cellIs" priority="2" operator="greaterThan" dxfId="2">
      <formula>5</formula>
    </cfRule>
    <cfRule type="cellIs" priority="3" operator="between" dxfId="1">
      <formula>-5</formula>
      <formula>5</formula>
    </cfRule>
    <cfRule type="cellIs" priority="4" operator="lessThan" dxfId="0">
      <formula>-5</formula>
    </cfRule>
  </conditionalFormatting>
  <conditionalFormatting sqref="P1:P1048576">
    <cfRule type="cellIs" priority="14" operator="greaterThan" dxfId="2">
      <formula>0.3</formula>
    </cfRule>
    <cfRule type="cellIs" priority="15" operator="between" dxfId="1">
      <formula>0.15</formula>
      <formula>0.3</formula>
    </cfRule>
    <cfRule type="cellIs" priority="16" operator="lessThan" dxfId="0">
      <formula>0.15</formula>
    </cfRule>
  </conditionalFormatting>
  <conditionalFormatting sqref="Q1:Q1048576">
    <cfRule type="cellIs" priority="11" operator="lessThan" dxfId="2">
      <formula>50000</formula>
    </cfRule>
    <cfRule type="cellIs" priority="12" operator="between" dxfId="1">
      <formula>50000</formula>
      <formula>150000</formula>
    </cfRule>
    <cfRule type="cellIs" priority="13" operator="greaterThan" dxfId="0">
      <formula>150000</formula>
    </cfRule>
  </conditionalFormatting>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sheetPr>
    <outlinePr summaryBelow="1" summaryRight="1"/>
    <pageSetUpPr/>
  </sheetPr>
  <dimension ref="A1:E845"/>
  <sheetViews>
    <sheetView workbookViewId="0">
      <selection activeCell="A1" sqref="A1"/>
    </sheetView>
  </sheetViews>
  <sheetFormatPr baseColWidth="8" defaultRowHeight="15"/>
  <sheetData>
    <row r="1">
      <c r="A1" t="inlineStr">
        <is>
          <t>UPC</t>
        </is>
      </c>
      <c r="B1" t="inlineStr">
        <is>
          <t>Price</t>
        </is>
      </c>
      <c r="C1" t="inlineStr">
        <is>
          <t>Sku</t>
        </is>
      </c>
      <c r="D1" t="inlineStr">
        <is>
          <t>Title</t>
        </is>
      </c>
      <c r="E1" t="inlineStr">
        <is>
          <t>Quantity</t>
        </is>
      </c>
    </row>
    <row r="2">
      <c r="A2" t="inlineStr">
        <is>
          <t>196478206065</t>
        </is>
      </c>
      <c r="B2" t="n">
        <v>71.2405</v>
      </c>
      <c r="C2" t="inlineStr">
        <is>
          <t>196478206065</t>
        </is>
      </c>
      <c r="D2" t="inlineStr">
        <is>
          <t>adidas Vl Court Bold Womens Sneakers</t>
        </is>
      </c>
      <c r="E2" t="inlineStr">
        <is>
          <t>8</t>
        </is>
      </c>
    </row>
    <row r="3">
      <c r="A3" t="inlineStr">
        <is>
          <t>196478206102</t>
        </is>
      </c>
      <c r="B3" t="n">
        <v>71.2405</v>
      </c>
      <c r="C3" t="inlineStr">
        <is>
          <t>196478206102</t>
        </is>
      </c>
      <c r="D3" t="inlineStr">
        <is>
          <t>adidas Vl Court Bold Womens Sneakers</t>
        </is>
      </c>
      <c r="E3" t="inlineStr">
        <is>
          <t>8</t>
        </is>
      </c>
    </row>
    <row r="4">
      <c r="A4" t="inlineStr">
        <is>
          <t>196478206058</t>
        </is>
      </c>
      <c r="B4" t="n">
        <v>71.2405</v>
      </c>
      <c r="C4" t="inlineStr">
        <is>
          <t>196478206058</t>
        </is>
      </c>
      <c r="D4" t="inlineStr">
        <is>
          <t>adidas Vl Court Bold Womens Sneakers</t>
        </is>
      </c>
      <c r="E4" t="inlineStr">
        <is>
          <t>8</t>
        </is>
      </c>
    </row>
    <row r="5">
      <c r="A5" t="inlineStr">
        <is>
          <t>196478206096</t>
        </is>
      </c>
      <c r="B5" t="n">
        <v>71.2405</v>
      </c>
      <c r="C5" t="inlineStr">
        <is>
          <t>196478206096</t>
        </is>
      </c>
      <c r="D5" t="inlineStr">
        <is>
          <t>adidas Vl Court Bold Womens Sneakers</t>
        </is>
      </c>
      <c r="E5" t="inlineStr">
        <is>
          <t>8</t>
        </is>
      </c>
    </row>
    <row r="6">
      <c r="A6" t="inlineStr">
        <is>
          <t>196478206126</t>
        </is>
      </c>
      <c r="B6" t="n">
        <v>71.2405</v>
      </c>
      <c r="C6" t="inlineStr">
        <is>
          <t>196478206126</t>
        </is>
      </c>
      <c r="D6" t="inlineStr">
        <is>
          <t>adidas Vl Court Bold Womens Sneakers</t>
        </is>
      </c>
      <c r="E6" t="inlineStr">
        <is>
          <t>8</t>
        </is>
      </c>
    </row>
    <row r="7">
      <c r="A7" t="inlineStr">
        <is>
          <t>196478206119</t>
        </is>
      </c>
      <c r="B7" t="n">
        <v>71.2405</v>
      </c>
      <c r="C7" t="inlineStr">
        <is>
          <t>196478206119</t>
        </is>
      </c>
      <c r="D7" t="inlineStr">
        <is>
          <t>adidas Vl Court Bold Womens Sneakers</t>
        </is>
      </c>
      <c r="E7" t="inlineStr">
        <is>
          <t>8</t>
        </is>
      </c>
    </row>
    <row r="8">
      <c r="A8" t="inlineStr">
        <is>
          <t>196478206881</t>
        </is>
      </c>
      <c r="B8" t="n">
        <v>71.2405</v>
      </c>
      <c r="C8" t="inlineStr">
        <is>
          <t>196478206881</t>
        </is>
      </c>
      <c r="D8" t="inlineStr">
        <is>
          <t>adidas Vl Court Bold Womens Sneakers</t>
        </is>
      </c>
      <c r="E8" t="inlineStr">
        <is>
          <t>8</t>
        </is>
      </c>
    </row>
    <row r="9">
      <c r="A9" t="inlineStr">
        <is>
          <t>196478206072</t>
        </is>
      </c>
      <c r="B9" t="n">
        <v>71.2405</v>
      </c>
      <c r="C9" t="inlineStr">
        <is>
          <t>196478206072</t>
        </is>
      </c>
      <c r="D9" t="inlineStr">
        <is>
          <t>adidas Vl Court Bold Womens Sneakers</t>
        </is>
      </c>
      <c r="E9" t="inlineStr">
        <is>
          <t>8</t>
        </is>
      </c>
    </row>
    <row r="10">
      <c r="A10" t="inlineStr">
        <is>
          <t>196478206133</t>
        </is>
      </c>
      <c r="B10" t="n">
        <v>71.2405</v>
      </c>
      <c r="C10" t="inlineStr">
        <is>
          <t>196478206133</t>
        </is>
      </c>
      <c r="D10" t="inlineStr">
        <is>
          <t>adidas Vl Court Bold Womens Sneakers</t>
        </is>
      </c>
      <c r="E10" t="inlineStr">
        <is>
          <t>8</t>
        </is>
      </c>
    </row>
    <row r="11">
      <c r="A11" t="inlineStr">
        <is>
          <t>196478206911</t>
        </is>
      </c>
      <c r="B11" t="n">
        <v>71.2405</v>
      </c>
      <c r="C11" t="inlineStr">
        <is>
          <t>196478206911</t>
        </is>
      </c>
      <c r="D11" t="inlineStr">
        <is>
          <t>adidas Vl Court Bold Womens Sneakers</t>
        </is>
      </c>
      <c r="E11" t="inlineStr">
        <is>
          <t>8</t>
        </is>
      </c>
    </row>
    <row r="12">
      <c r="A12" t="inlineStr">
        <is>
          <t>196478206089</t>
        </is>
      </c>
      <c r="B12" t="n">
        <v>71.2405</v>
      </c>
      <c r="C12" t="inlineStr">
        <is>
          <t>196478206089</t>
        </is>
      </c>
      <c r="D12" t="inlineStr">
        <is>
          <t>adidas Vl Court Bold Womens Sneakers</t>
        </is>
      </c>
      <c r="E12" t="inlineStr">
        <is>
          <t>8</t>
        </is>
      </c>
    </row>
    <row r="13">
      <c r="A13" t="inlineStr">
        <is>
          <t>196478206140</t>
        </is>
      </c>
      <c r="B13" t="n">
        <v>71.2405</v>
      </c>
      <c r="C13" t="inlineStr">
        <is>
          <t>196478206140</t>
        </is>
      </c>
      <c r="D13" t="inlineStr">
        <is>
          <t>adidas Vl Court Bold Womens Sneakers</t>
        </is>
      </c>
      <c r="E13" t="inlineStr">
        <is>
          <t>8</t>
        </is>
      </c>
    </row>
    <row r="14">
      <c r="A14" t="inlineStr">
        <is>
          <t>196479358220</t>
        </is>
      </c>
      <c r="B14" t="n">
        <v>71.2405</v>
      </c>
      <c r="C14" t="inlineStr">
        <is>
          <t>196479358220</t>
        </is>
      </c>
      <c r="D14" t="inlineStr">
        <is>
          <t>adidas Vl Court Bold Womens Sneakers</t>
        </is>
      </c>
      <c r="E14" t="inlineStr">
        <is>
          <t>8</t>
        </is>
      </c>
    </row>
    <row r="15">
      <c r="A15" t="inlineStr">
        <is>
          <t>196479358152</t>
        </is>
      </c>
      <c r="B15" t="n">
        <v>71.2405</v>
      </c>
      <c r="C15" t="inlineStr">
        <is>
          <t>196479358152</t>
        </is>
      </c>
      <c r="D15" t="inlineStr">
        <is>
          <t>adidas Vl Court Bold Womens Sneakers</t>
        </is>
      </c>
      <c r="E15" t="inlineStr">
        <is>
          <t>8</t>
        </is>
      </c>
    </row>
    <row r="16">
      <c r="A16" t="inlineStr">
        <is>
          <t>196479358138</t>
        </is>
      </c>
      <c r="B16" t="n">
        <v>71.2405</v>
      </c>
      <c r="C16" t="inlineStr">
        <is>
          <t>196479358138</t>
        </is>
      </c>
      <c r="D16" t="inlineStr">
        <is>
          <t>adidas Vl Court Bold Womens Sneakers</t>
        </is>
      </c>
      <c r="E16" t="inlineStr">
        <is>
          <t>8</t>
        </is>
      </c>
    </row>
    <row r="17">
      <c r="A17" t="inlineStr">
        <is>
          <t>196479358213</t>
        </is>
      </c>
      <c r="B17" t="n">
        <v>71.2405</v>
      </c>
      <c r="C17" t="inlineStr">
        <is>
          <t>196479358213</t>
        </is>
      </c>
      <c r="D17" t="inlineStr">
        <is>
          <t>adidas Vl Court Bold Womens Sneakers</t>
        </is>
      </c>
      <c r="E17" t="inlineStr">
        <is>
          <t>8</t>
        </is>
      </c>
    </row>
    <row r="18">
      <c r="A18" t="inlineStr">
        <is>
          <t>196479358206</t>
        </is>
      </c>
      <c r="B18" t="n">
        <v>71.2405</v>
      </c>
      <c r="C18" t="inlineStr">
        <is>
          <t>196479358206</t>
        </is>
      </c>
      <c r="D18" t="inlineStr">
        <is>
          <t>adidas Vl Court Bold Womens Sneakers</t>
        </is>
      </c>
      <c r="E18" t="inlineStr">
        <is>
          <t>8</t>
        </is>
      </c>
    </row>
    <row r="19">
      <c r="A19" t="inlineStr">
        <is>
          <t>196479358237</t>
        </is>
      </c>
      <c r="B19" t="n">
        <v>71.2405</v>
      </c>
      <c r="C19" t="inlineStr">
        <is>
          <t>196479358237</t>
        </is>
      </c>
      <c r="D19" t="inlineStr">
        <is>
          <t>adidas Vl Court Bold Womens Sneakers</t>
        </is>
      </c>
      <c r="E19" t="inlineStr">
        <is>
          <t>8</t>
        </is>
      </c>
    </row>
    <row r="20">
      <c r="A20" t="inlineStr">
        <is>
          <t>196479358145</t>
        </is>
      </c>
      <c r="B20" t="n">
        <v>71.2405</v>
      </c>
      <c r="C20" t="inlineStr">
        <is>
          <t>196479358145</t>
        </is>
      </c>
      <c r="D20" t="inlineStr">
        <is>
          <t>adidas Vl Court Bold Womens Sneakers</t>
        </is>
      </c>
      <c r="E20" t="inlineStr">
        <is>
          <t>8</t>
        </is>
      </c>
    </row>
    <row r="21">
      <c r="A21" t="inlineStr">
        <is>
          <t>196479358121</t>
        </is>
      </c>
      <c r="B21" t="n">
        <v>71.2405</v>
      </c>
      <c r="C21" t="inlineStr">
        <is>
          <t>196479358121</t>
        </is>
      </c>
      <c r="D21" t="inlineStr">
        <is>
          <t>adidas Vl Court Bold Womens Sneakers</t>
        </is>
      </c>
      <c r="E21" t="inlineStr">
        <is>
          <t>8</t>
        </is>
      </c>
    </row>
    <row r="22">
      <c r="A22" t="inlineStr">
        <is>
          <t>196479358190</t>
        </is>
      </c>
      <c r="B22" t="n">
        <v>71.2405</v>
      </c>
      <c r="C22" t="inlineStr">
        <is>
          <t>196479358190</t>
        </is>
      </c>
      <c r="D22" t="inlineStr">
        <is>
          <t>adidas Vl Court Bold Womens Sneakers</t>
        </is>
      </c>
      <c r="E22" t="inlineStr">
        <is>
          <t>8</t>
        </is>
      </c>
    </row>
    <row r="23">
      <c r="A23" t="inlineStr">
        <is>
          <t>196479358176</t>
        </is>
      </c>
      <c r="B23" t="n">
        <v>71.2405</v>
      </c>
      <c r="C23" t="inlineStr">
        <is>
          <t>196479358176</t>
        </is>
      </c>
      <c r="D23" t="inlineStr">
        <is>
          <t>adidas Vl Court Bold Womens Sneakers</t>
        </is>
      </c>
      <c r="E23" t="inlineStr">
        <is>
          <t>8</t>
        </is>
      </c>
    </row>
    <row r="24">
      <c r="A24" t="inlineStr">
        <is>
          <t>196479358183</t>
        </is>
      </c>
      <c r="B24" t="n">
        <v>71.2405</v>
      </c>
      <c r="C24" t="inlineStr">
        <is>
          <t>196479358183</t>
        </is>
      </c>
      <c r="D24" t="inlineStr">
        <is>
          <t>adidas Vl Court Bold Womens Sneakers</t>
        </is>
      </c>
      <c r="E24" t="inlineStr">
        <is>
          <t>8</t>
        </is>
      </c>
    </row>
    <row r="25">
      <c r="A25" t="inlineStr">
        <is>
          <t>196479358169</t>
        </is>
      </c>
      <c r="B25" t="n">
        <v>71.2405</v>
      </c>
      <c r="C25" t="inlineStr">
        <is>
          <t>196479358169</t>
        </is>
      </c>
      <c r="D25" t="inlineStr">
        <is>
          <t>adidas Vl Court Bold Womens Sneakers</t>
        </is>
      </c>
      <c r="E25" t="inlineStr">
        <is>
          <t>8</t>
        </is>
      </c>
    </row>
    <row r="26">
      <c r="A26" t="inlineStr">
        <is>
          <t>197607002848</t>
        </is>
      </c>
      <c r="B26" t="n">
        <v>71.2405</v>
      </c>
      <c r="C26" t="inlineStr">
        <is>
          <t>197607002848</t>
        </is>
      </c>
      <c r="D26" t="inlineStr">
        <is>
          <t>adidas Vl Court Bold Womens Sneakers</t>
        </is>
      </c>
      <c r="E26" t="inlineStr">
        <is>
          <t>8</t>
        </is>
      </c>
    </row>
    <row r="27">
      <c r="A27" t="inlineStr">
        <is>
          <t>197607002800</t>
        </is>
      </c>
      <c r="B27" t="n">
        <v>71.2405</v>
      </c>
      <c r="C27" t="inlineStr">
        <is>
          <t>197607002800</t>
        </is>
      </c>
      <c r="D27" t="inlineStr">
        <is>
          <t>adidas Vl Court Bold Womens Sneakers</t>
        </is>
      </c>
      <c r="E27" t="inlineStr">
        <is>
          <t>8</t>
        </is>
      </c>
    </row>
    <row r="28">
      <c r="A28" t="inlineStr">
        <is>
          <t>197607002770</t>
        </is>
      </c>
      <c r="B28" t="n">
        <v>71.2405</v>
      </c>
      <c r="C28" t="inlineStr">
        <is>
          <t>197607002770</t>
        </is>
      </c>
      <c r="D28" t="inlineStr">
        <is>
          <t>adidas Vl Court Bold Womens Sneakers</t>
        </is>
      </c>
      <c r="E28" t="inlineStr">
        <is>
          <t>8</t>
        </is>
      </c>
    </row>
    <row r="29">
      <c r="A29" t="inlineStr">
        <is>
          <t>197607002817</t>
        </is>
      </c>
      <c r="B29" t="n">
        <v>71.2405</v>
      </c>
      <c r="C29" t="inlineStr">
        <is>
          <t>197607002817</t>
        </is>
      </c>
      <c r="D29" t="inlineStr">
        <is>
          <t>adidas Vl Court Bold Womens Sneakers</t>
        </is>
      </c>
      <c r="E29" t="inlineStr">
        <is>
          <t>8</t>
        </is>
      </c>
    </row>
    <row r="30">
      <c r="A30" t="inlineStr">
        <is>
          <t>197607002763</t>
        </is>
      </c>
      <c r="B30" t="n">
        <v>71.2405</v>
      </c>
      <c r="C30" t="inlineStr">
        <is>
          <t>197607002763</t>
        </is>
      </c>
      <c r="D30" t="inlineStr">
        <is>
          <t>adidas Vl Court Bold Womens Sneakers</t>
        </is>
      </c>
      <c r="E30" t="inlineStr">
        <is>
          <t>8</t>
        </is>
      </c>
    </row>
    <row r="31">
      <c r="A31" t="inlineStr">
        <is>
          <t>197607002886</t>
        </is>
      </c>
      <c r="B31" t="n">
        <v>71.2405</v>
      </c>
      <c r="C31" t="inlineStr">
        <is>
          <t>197607002886</t>
        </is>
      </c>
      <c r="D31" t="inlineStr">
        <is>
          <t>adidas Vl Court Bold Womens Sneakers</t>
        </is>
      </c>
      <c r="E31" t="inlineStr">
        <is>
          <t>8</t>
        </is>
      </c>
    </row>
    <row r="32">
      <c r="A32" t="inlineStr">
        <is>
          <t>197607002862</t>
        </is>
      </c>
      <c r="B32" t="n">
        <v>71.2405</v>
      </c>
      <c r="C32" t="inlineStr">
        <is>
          <t>197607002862</t>
        </is>
      </c>
      <c r="D32" t="inlineStr">
        <is>
          <t>adidas Vl Court Bold Womens Sneakers</t>
        </is>
      </c>
      <c r="E32" t="inlineStr">
        <is>
          <t>8</t>
        </is>
      </c>
    </row>
    <row r="33">
      <c r="A33" t="inlineStr">
        <is>
          <t>197607002831</t>
        </is>
      </c>
      <c r="B33" t="n">
        <v>71.2405</v>
      </c>
      <c r="C33" t="inlineStr">
        <is>
          <t>197607002831</t>
        </is>
      </c>
      <c r="D33" t="inlineStr">
        <is>
          <t>adidas Vl Court Bold Womens Sneakers</t>
        </is>
      </c>
      <c r="E33" t="inlineStr">
        <is>
          <t>8</t>
        </is>
      </c>
    </row>
    <row r="34">
      <c r="A34" t="inlineStr">
        <is>
          <t>197607002787</t>
        </is>
      </c>
      <c r="B34" t="n">
        <v>71.2405</v>
      </c>
      <c r="C34" t="inlineStr">
        <is>
          <t>197607002787</t>
        </is>
      </c>
      <c r="D34" t="inlineStr">
        <is>
          <t>adidas Vl Court Bold Womens Sneakers</t>
        </is>
      </c>
      <c r="E34" t="inlineStr">
        <is>
          <t>8</t>
        </is>
      </c>
    </row>
    <row r="35">
      <c r="A35" t="inlineStr">
        <is>
          <t>197607002879</t>
        </is>
      </c>
      <c r="B35" t="n">
        <v>71.2405</v>
      </c>
      <c r="C35" t="inlineStr">
        <is>
          <t>197607002879</t>
        </is>
      </c>
      <c r="D35" t="inlineStr">
        <is>
          <t>adidas Vl Court Bold Womens Sneakers</t>
        </is>
      </c>
      <c r="E35" t="inlineStr">
        <is>
          <t>8</t>
        </is>
      </c>
    </row>
    <row r="36">
      <c r="A36" t="inlineStr">
        <is>
          <t>196478047170</t>
        </is>
      </c>
      <c r="B36" t="n">
        <v>71.2405</v>
      </c>
      <c r="C36" t="inlineStr">
        <is>
          <t>196478047170</t>
        </is>
      </c>
      <c r="D36" t="inlineStr">
        <is>
          <t>adidas Vl Court Bold Womens Sneakers</t>
        </is>
      </c>
      <c r="E36" t="inlineStr">
        <is>
          <t>8</t>
        </is>
      </c>
    </row>
    <row r="37">
      <c r="A37" t="inlineStr">
        <is>
          <t>196478047163</t>
        </is>
      </c>
      <c r="B37" t="n">
        <v>71.2405</v>
      </c>
      <c r="C37" t="inlineStr">
        <is>
          <t>196478047163</t>
        </is>
      </c>
      <c r="D37" t="inlineStr">
        <is>
          <t>adidas Vl Court Bold Womens Sneakers</t>
        </is>
      </c>
      <c r="E37" t="inlineStr">
        <is>
          <t>8</t>
        </is>
      </c>
    </row>
    <row r="38">
      <c r="A38" t="inlineStr">
        <is>
          <t>196478047156</t>
        </is>
      </c>
      <c r="B38" t="n">
        <v>71.2405</v>
      </c>
      <c r="C38" t="inlineStr">
        <is>
          <t>196478047156</t>
        </is>
      </c>
      <c r="D38" t="inlineStr">
        <is>
          <t>adidas Vl Court Bold Womens Sneakers</t>
        </is>
      </c>
      <c r="E38" t="inlineStr">
        <is>
          <t>8</t>
        </is>
      </c>
    </row>
    <row r="39">
      <c r="A39" t="inlineStr">
        <is>
          <t>196478047088</t>
        </is>
      </c>
      <c r="B39" t="n">
        <v>71.2405</v>
      </c>
      <c r="C39" t="inlineStr">
        <is>
          <t>196478047088</t>
        </is>
      </c>
      <c r="D39" t="inlineStr">
        <is>
          <t>adidas Vl Court Bold Womens Sneakers</t>
        </is>
      </c>
      <c r="E39" t="inlineStr">
        <is>
          <t>8</t>
        </is>
      </c>
    </row>
    <row r="40">
      <c r="A40" t="inlineStr">
        <is>
          <t>196478047132</t>
        </is>
      </c>
      <c r="B40" t="n">
        <v>71.2405</v>
      </c>
      <c r="C40" t="inlineStr">
        <is>
          <t>196478047132</t>
        </is>
      </c>
      <c r="D40" t="inlineStr">
        <is>
          <t>adidas Vl Court Bold Womens Sneakers</t>
        </is>
      </c>
      <c r="E40" t="inlineStr">
        <is>
          <t>8</t>
        </is>
      </c>
    </row>
    <row r="41">
      <c r="A41" t="inlineStr">
        <is>
          <t>196478047118</t>
        </is>
      </c>
      <c r="B41" t="n">
        <v>71.2405</v>
      </c>
      <c r="C41" t="inlineStr">
        <is>
          <t>196478047118</t>
        </is>
      </c>
      <c r="D41" t="inlineStr">
        <is>
          <t>adidas Vl Court Bold Womens Sneakers</t>
        </is>
      </c>
      <c r="E41" t="inlineStr">
        <is>
          <t>8</t>
        </is>
      </c>
    </row>
    <row r="42">
      <c r="A42" t="inlineStr">
        <is>
          <t>196478047101</t>
        </is>
      </c>
      <c r="B42" t="n">
        <v>71.2405</v>
      </c>
      <c r="C42" t="inlineStr">
        <is>
          <t>196478047101</t>
        </is>
      </c>
      <c r="D42" t="inlineStr">
        <is>
          <t>adidas Vl Court Bold Womens Sneakers</t>
        </is>
      </c>
      <c r="E42" t="inlineStr">
        <is>
          <t>8</t>
        </is>
      </c>
    </row>
    <row r="43">
      <c r="A43" t="inlineStr">
        <is>
          <t>196478047095</t>
        </is>
      </c>
      <c r="B43" t="n">
        <v>71.2405</v>
      </c>
      <c r="C43" t="inlineStr">
        <is>
          <t>196478047095</t>
        </is>
      </c>
      <c r="D43" t="inlineStr">
        <is>
          <t>adidas Vl Court Bold Womens Sneakers</t>
        </is>
      </c>
      <c r="E43" t="inlineStr">
        <is>
          <t>8</t>
        </is>
      </c>
    </row>
    <row r="44">
      <c r="A44" t="inlineStr">
        <is>
          <t>196478047071</t>
        </is>
      </c>
      <c r="B44" t="n">
        <v>71.2405</v>
      </c>
      <c r="C44" t="inlineStr">
        <is>
          <t>196478047071</t>
        </is>
      </c>
      <c r="D44" t="inlineStr">
        <is>
          <t>adidas Vl Court Bold Womens Sneakers</t>
        </is>
      </c>
      <c r="E44" t="inlineStr">
        <is>
          <t>8</t>
        </is>
      </c>
    </row>
    <row r="45">
      <c r="A45" t="inlineStr">
        <is>
          <t>196478047057</t>
        </is>
      </c>
      <c r="B45" t="n">
        <v>71.2405</v>
      </c>
      <c r="C45" t="inlineStr">
        <is>
          <t>196478047057</t>
        </is>
      </c>
      <c r="D45" t="inlineStr">
        <is>
          <t>adidas Vl Court Bold Womens Sneakers</t>
        </is>
      </c>
      <c r="E45" t="inlineStr">
        <is>
          <t>8</t>
        </is>
      </c>
    </row>
    <row r="46">
      <c r="A46" t="inlineStr">
        <is>
          <t>196478047187</t>
        </is>
      </c>
      <c r="B46" t="n">
        <v>71.2405</v>
      </c>
      <c r="C46" t="inlineStr">
        <is>
          <t>196478047187</t>
        </is>
      </c>
      <c r="D46" t="inlineStr">
        <is>
          <t>adidas Vl Court Bold Womens Sneakers</t>
        </is>
      </c>
      <c r="E46" t="inlineStr">
        <is>
          <t>8</t>
        </is>
      </c>
    </row>
    <row r="47">
      <c r="A47" t="inlineStr">
        <is>
          <t>196478207956</t>
        </is>
      </c>
      <c r="B47" t="n">
        <v>71.2405</v>
      </c>
      <c r="C47" t="inlineStr">
        <is>
          <t>196478207956</t>
        </is>
      </c>
      <c r="D47" t="inlineStr">
        <is>
          <t>adidas Vl Court Bold Womens Sneakers</t>
        </is>
      </c>
      <c r="E47" t="inlineStr">
        <is>
          <t>8</t>
        </is>
      </c>
    </row>
    <row r="48">
      <c r="A48" t="inlineStr">
        <is>
          <t>196478207970</t>
        </is>
      </c>
      <c r="B48" t="n">
        <v>71.2405</v>
      </c>
      <c r="C48" t="inlineStr">
        <is>
          <t>196478207970</t>
        </is>
      </c>
      <c r="D48" t="inlineStr">
        <is>
          <t>adidas Vl Court Bold Womens Sneakers</t>
        </is>
      </c>
      <c r="E48" t="inlineStr">
        <is>
          <t>8</t>
        </is>
      </c>
    </row>
    <row r="49">
      <c r="A49" t="inlineStr">
        <is>
          <t>196478207932</t>
        </is>
      </c>
      <c r="B49" t="n">
        <v>71.2405</v>
      </c>
      <c r="C49" t="inlineStr">
        <is>
          <t>196478207932</t>
        </is>
      </c>
      <c r="D49" t="inlineStr">
        <is>
          <t>adidas Vl Court Bold Womens Sneakers</t>
        </is>
      </c>
      <c r="E49" t="inlineStr">
        <is>
          <t>8</t>
        </is>
      </c>
    </row>
    <row r="50">
      <c r="A50" t="inlineStr">
        <is>
          <t>196478207888</t>
        </is>
      </c>
      <c r="B50" t="n">
        <v>71.2405</v>
      </c>
      <c r="C50" t="inlineStr">
        <is>
          <t>196478207888</t>
        </is>
      </c>
      <c r="D50" t="inlineStr">
        <is>
          <t>adidas Vl Court Bold Womens Sneakers</t>
        </is>
      </c>
      <c r="E50" t="inlineStr">
        <is>
          <t>8</t>
        </is>
      </c>
    </row>
    <row r="51">
      <c r="A51" t="inlineStr">
        <is>
          <t>196478207901</t>
        </is>
      </c>
      <c r="B51" t="n">
        <v>71.2405</v>
      </c>
      <c r="C51" t="inlineStr">
        <is>
          <t>196478207901</t>
        </is>
      </c>
      <c r="D51" t="inlineStr">
        <is>
          <t>adidas Vl Court Bold Womens Sneakers</t>
        </is>
      </c>
      <c r="E51" t="inlineStr">
        <is>
          <t>8</t>
        </is>
      </c>
    </row>
    <row r="52">
      <c r="A52" t="inlineStr">
        <is>
          <t>196478207963</t>
        </is>
      </c>
      <c r="B52" t="n">
        <v>71.2405</v>
      </c>
      <c r="C52" t="inlineStr">
        <is>
          <t>196478207963</t>
        </is>
      </c>
      <c r="D52" t="inlineStr">
        <is>
          <t>adidas Vl Court Bold Womens Sneakers</t>
        </is>
      </c>
      <c r="E52" t="inlineStr">
        <is>
          <t>8</t>
        </is>
      </c>
    </row>
    <row r="53">
      <c r="A53" t="inlineStr">
        <is>
          <t>196478207925</t>
        </is>
      </c>
      <c r="B53" t="n">
        <v>71.2405</v>
      </c>
      <c r="C53" t="inlineStr">
        <is>
          <t>196478207925</t>
        </is>
      </c>
      <c r="D53" t="inlineStr">
        <is>
          <t>adidas Vl Court Bold Womens Sneakers</t>
        </is>
      </c>
      <c r="E53" t="inlineStr">
        <is>
          <t>8</t>
        </is>
      </c>
    </row>
    <row r="54">
      <c r="A54" t="inlineStr">
        <is>
          <t>196478207949</t>
        </is>
      </c>
      <c r="B54" t="n">
        <v>71.2405</v>
      </c>
      <c r="C54" t="inlineStr">
        <is>
          <t>196478207949</t>
        </is>
      </c>
      <c r="D54" t="inlineStr">
        <is>
          <t>adidas Vl Court Bold Womens Sneakers</t>
        </is>
      </c>
      <c r="E54" t="inlineStr">
        <is>
          <t>8</t>
        </is>
      </c>
    </row>
    <row r="55">
      <c r="A55" t="inlineStr">
        <is>
          <t>196478207918</t>
        </is>
      </c>
      <c r="B55" t="n">
        <v>71.2405</v>
      </c>
      <c r="C55" t="inlineStr">
        <is>
          <t>196478207918</t>
        </is>
      </c>
      <c r="D55" t="inlineStr">
        <is>
          <t>adidas Vl Court Bold Womens Sneakers</t>
        </is>
      </c>
      <c r="E55" t="inlineStr">
        <is>
          <t>8</t>
        </is>
      </c>
    </row>
    <row r="56">
      <c r="A56" t="inlineStr">
        <is>
          <t>196478208007</t>
        </is>
      </c>
      <c r="B56" t="n">
        <v>71.2405</v>
      </c>
      <c r="C56" t="inlineStr">
        <is>
          <t>196478208007</t>
        </is>
      </c>
      <c r="D56" t="inlineStr">
        <is>
          <t>adidas Vl Court Bold Womens Sneakers</t>
        </is>
      </c>
      <c r="E56" t="inlineStr">
        <is>
          <t>8</t>
        </is>
      </c>
    </row>
    <row r="57">
      <c r="A57" t="inlineStr">
        <is>
          <t>196478207994</t>
        </is>
      </c>
      <c r="B57" t="n">
        <v>71.2405</v>
      </c>
      <c r="C57" t="inlineStr">
        <is>
          <t>196478207994</t>
        </is>
      </c>
      <c r="D57" t="inlineStr">
        <is>
          <t>adidas Vl Court Bold Womens Sneakers</t>
        </is>
      </c>
      <c r="E57" t="inlineStr">
        <is>
          <t>8</t>
        </is>
      </c>
    </row>
    <row r="58">
      <c r="A58" t="inlineStr">
        <is>
          <t>196478209059</t>
        </is>
      </c>
      <c r="B58" t="n">
        <v>71.2405</v>
      </c>
      <c r="C58" t="inlineStr">
        <is>
          <t>196478209059</t>
        </is>
      </c>
      <c r="D58" t="inlineStr">
        <is>
          <t>adidas Vl Court Bold Womens Sneakers</t>
        </is>
      </c>
      <c r="E58" t="inlineStr">
        <is>
          <t>8</t>
        </is>
      </c>
    </row>
    <row r="59">
      <c r="A59" t="inlineStr">
        <is>
          <t>196478208069</t>
        </is>
      </c>
      <c r="B59" t="n">
        <v>71.2405</v>
      </c>
      <c r="C59" t="inlineStr">
        <is>
          <t>196478208069</t>
        </is>
      </c>
      <c r="D59" t="inlineStr">
        <is>
          <t>adidas Vl Court Bold Womens Sneakers</t>
        </is>
      </c>
      <c r="E59" t="inlineStr">
        <is>
          <t>8</t>
        </is>
      </c>
    </row>
    <row r="60">
      <c r="A60" t="inlineStr">
        <is>
          <t>196478208014</t>
        </is>
      </c>
      <c r="B60" t="n">
        <v>71.2405</v>
      </c>
      <c r="C60" t="inlineStr">
        <is>
          <t>196478208014</t>
        </is>
      </c>
      <c r="D60" t="inlineStr">
        <is>
          <t>adidas Vl Court Bold Womens Sneakers</t>
        </is>
      </c>
      <c r="E60" t="inlineStr">
        <is>
          <t>8</t>
        </is>
      </c>
    </row>
    <row r="61">
      <c r="A61" t="inlineStr">
        <is>
          <t>196478208038</t>
        </is>
      </c>
      <c r="B61" t="n">
        <v>71.2405</v>
      </c>
      <c r="C61" t="inlineStr">
        <is>
          <t>196478208038</t>
        </is>
      </c>
      <c r="D61" t="inlineStr">
        <is>
          <t>adidas Vl Court Bold Womens Sneakers</t>
        </is>
      </c>
      <c r="E61" t="inlineStr">
        <is>
          <t>8</t>
        </is>
      </c>
    </row>
    <row r="62">
      <c r="A62" t="inlineStr">
        <is>
          <t>196478209097</t>
        </is>
      </c>
      <c r="B62" t="n">
        <v>71.2405</v>
      </c>
      <c r="C62" t="inlineStr">
        <is>
          <t>196478209097</t>
        </is>
      </c>
      <c r="D62" t="inlineStr">
        <is>
          <t>adidas Vl Court Bold Womens Sneakers</t>
        </is>
      </c>
      <c r="E62" t="inlineStr">
        <is>
          <t>8</t>
        </is>
      </c>
    </row>
    <row r="63">
      <c r="A63" t="inlineStr">
        <is>
          <t>196478209080</t>
        </is>
      </c>
      <c r="B63" t="n">
        <v>71.2405</v>
      </c>
      <c r="C63" t="inlineStr">
        <is>
          <t>196478209080</t>
        </is>
      </c>
      <c r="D63" t="inlineStr">
        <is>
          <t>adidas Vl Court Bold Womens Sneakers</t>
        </is>
      </c>
      <c r="E63" t="inlineStr">
        <is>
          <t>8</t>
        </is>
      </c>
    </row>
    <row r="64">
      <c r="A64" t="inlineStr">
        <is>
          <t>196478208052</t>
        </is>
      </c>
      <c r="B64" t="n">
        <v>71.2405</v>
      </c>
      <c r="C64" t="inlineStr">
        <is>
          <t>196478208052</t>
        </is>
      </c>
      <c r="D64" t="inlineStr">
        <is>
          <t>adidas Vl Court Bold Womens Sneakers</t>
        </is>
      </c>
      <c r="E64" t="inlineStr">
        <is>
          <t>8</t>
        </is>
      </c>
    </row>
    <row r="65">
      <c r="A65" t="inlineStr">
        <is>
          <t>196478209042</t>
        </is>
      </c>
      <c r="B65" t="n">
        <v>71.2405</v>
      </c>
      <c r="C65" t="inlineStr">
        <is>
          <t>196478209042</t>
        </is>
      </c>
      <c r="D65" t="inlineStr">
        <is>
          <t>adidas Vl Court Bold Womens Sneakers</t>
        </is>
      </c>
      <c r="E65" t="inlineStr">
        <is>
          <t>8</t>
        </is>
      </c>
    </row>
    <row r="66">
      <c r="A66" t="inlineStr">
        <is>
          <t>196478208076</t>
        </is>
      </c>
      <c r="B66" t="n">
        <v>71.2405</v>
      </c>
      <c r="C66" t="inlineStr">
        <is>
          <t>196478208076</t>
        </is>
      </c>
      <c r="D66" t="inlineStr">
        <is>
          <t>adidas Vl Court Bold Womens Sneakers</t>
        </is>
      </c>
      <c r="E66" t="inlineStr">
        <is>
          <t>8</t>
        </is>
      </c>
    </row>
    <row r="67">
      <c r="A67" t="inlineStr">
        <is>
          <t>196478208045</t>
        </is>
      </c>
      <c r="B67" t="n">
        <v>71.2405</v>
      </c>
      <c r="C67" t="inlineStr">
        <is>
          <t>196478208045</t>
        </is>
      </c>
      <c r="D67" t="inlineStr">
        <is>
          <t>adidas Vl Court Bold Womens Sneakers</t>
        </is>
      </c>
      <c r="E67" t="inlineStr">
        <is>
          <t>8</t>
        </is>
      </c>
    </row>
    <row r="68">
      <c r="A68" t="inlineStr">
        <is>
          <t>196478208021</t>
        </is>
      </c>
      <c r="B68" t="n">
        <v>71.2405</v>
      </c>
      <c r="C68" t="inlineStr">
        <is>
          <t>196478208021</t>
        </is>
      </c>
      <c r="D68" t="inlineStr">
        <is>
          <t>adidas Vl Court Bold Womens Sneakers</t>
        </is>
      </c>
      <c r="E68" t="inlineStr">
        <is>
          <t>8</t>
        </is>
      </c>
    </row>
    <row r="69">
      <c r="A69" t="inlineStr">
        <is>
          <t>196478209073</t>
        </is>
      </c>
      <c r="B69" t="n">
        <v>71.2405</v>
      </c>
      <c r="C69" t="inlineStr">
        <is>
          <t>196478209073</t>
        </is>
      </c>
      <c r="D69" t="inlineStr">
        <is>
          <t>adidas Vl Court Bold Womens Sneakers</t>
        </is>
      </c>
      <c r="E69" t="inlineStr">
        <is>
          <t>8</t>
        </is>
      </c>
    </row>
    <row r="70">
      <c r="A70" t="inlineStr">
        <is>
          <t>196478772966</t>
        </is>
      </c>
      <c r="B70" t="n">
        <v>71.2405</v>
      </c>
      <c r="C70" t="inlineStr">
        <is>
          <t>196478772966</t>
        </is>
      </c>
      <c r="D70" t="inlineStr">
        <is>
          <t>adidas Vl Court Bold Womens Sneakers</t>
        </is>
      </c>
      <c r="E70" t="inlineStr">
        <is>
          <t>8</t>
        </is>
      </c>
    </row>
    <row r="71">
      <c r="A71" t="inlineStr">
        <is>
          <t>196478776612</t>
        </is>
      </c>
      <c r="B71" t="n">
        <v>71.2405</v>
      </c>
      <c r="C71" t="inlineStr">
        <is>
          <t>196478776612</t>
        </is>
      </c>
      <c r="D71" t="inlineStr">
        <is>
          <t>adidas Vl Court Bold Womens Sneakers</t>
        </is>
      </c>
      <c r="E71" t="inlineStr">
        <is>
          <t>8</t>
        </is>
      </c>
    </row>
    <row r="72">
      <c r="A72" t="inlineStr">
        <is>
          <t>196478776643</t>
        </is>
      </c>
      <c r="B72" t="n">
        <v>71.2405</v>
      </c>
      <c r="C72" t="inlineStr">
        <is>
          <t>196478776643</t>
        </is>
      </c>
      <c r="D72" t="inlineStr">
        <is>
          <t>adidas Vl Court Bold Womens Sneakers</t>
        </is>
      </c>
      <c r="E72" t="inlineStr">
        <is>
          <t>8</t>
        </is>
      </c>
    </row>
    <row r="73">
      <c r="A73" t="inlineStr">
        <is>
          <t>196478772980</t>
        </is>
      </c>
      <c r="B73" t="n">
        <v>71.2405</v>
      </c>
      <c r="C73" t="inlineStr">
        <is>
          <t>196478772980</t>
        </is>
      </c>
      <c r="D73" t="inlineStr">
        <is>
          <t>adidas Vl Court Bold Womens Sneakers</t>
        </is>
      </c>
      <c r="E73" t="inlineStr">
        <is>
          <t>8</t>
        </is>
      </c>
    </row>
    <row r="74">
      <c r="A74" t="inlineStr">
        <is>
          <t>196478776636</t>
        </is>
      </c>
      <c r="B74" t="n">
        <v>71.2405</v>
      </c>
      <c r="C74" t="inlineStr">
        <is>
          <t>196478776636</t>
        </is>
      </c>
      <c r="D74" t="inlineStr">
        <is>
          <t>adidas Vl Court Bold Womens Sneakers</t>
        </is>
      </c>
      <c r="E74" t="inlineStr">
        <is>
          <t>8</t>
        </is>
      </c>
    </row>
    <row r="75">
      <c r="A75" t="inlineStr">
        <is>
          <t>196478772973</t>
        </is>
      </c>
      <c r="B75" t="n">
        <v>71.2405</v>
      </c>
      <c r="C75" t="inlineStr">
        <is>
          <t>196478772973</t>
        </is>
      </c>
      <c r="D75" t="inlineStr">
        <is>
          <t>adidas Vl Court Bold Womens Sneakers</t>
        </is>
      </c>
      <c r="E75" t="inlineStr">
        <is>
          <t>8</t>
        </is>
      </c>
    </row>
    <row r="76">
      <c r="A76" t="inlineStr">
        <is>
          <t>196478776681</t>
        </is>
      </c>
      <c r="B76" t="n">
        <v>71.2405</v>
      </c>
      <c r="C76" t="inlineStr">
        <is>
          <t>196478776681</t>
        </is>
      </c>
      <c r="D76" t="inlineStr">
        <is>
          <t>adidas Vl Court Bold Womens Sneakers</t>
        </is>
      </c>
      <c r="E76" t="inlineStr">
        <is>
          <t>8</t>
        </is>
      </c>
    </row>
    <row r="77">
      <c r="A77" t="inlineStr">
        <is>
          <t>196478776667</t>
        </is>
      </c>
      <c r="B77" t="n">
        <v>71.2405</v>
      </c>
      <c r="C77" t="inlineStr">
        <is>
          <t>196478776667</t>
        </is>
      </c>
      <c r="D77" t="inlineStr">
        <is>
          <t>adidas Vl Court Bold Womens Sneakers</t>
        </is>
      </c>
      <c r="E77" t="inlineStr">
        <is>
          <t>8</t>
        </is>
      </c>
    </row>
    <row r="78">
      <c r="A78" t="inlineStr">
        <is>
          <t>196478776674</t>
        </is>
      </c>
      <c r="B78" t="n">
        <v>71.2405</v>
      </c>
      <c r="C78" t="inlineStr">
        <is>
          <t>196478776674</t>
        </is>
      </c>
      <c r="D78" t="inlineStr">
        <is>
          <t>adidas Vl Court Bold Womens Sneakers</t>
        </is>
      </c>
      <c r="E78" t="inlineStr">
        <is>
          <t>8</t>
        </is>
      </c>
    </row>
    <row r="79">
      <c r="A79" t="inlineStr">
        <is>
          <t>196478772997</t>
        </is>
      </c>
      <c r="B79" t="n">
        <v>71.2405</v>
      </c>
      <c r="C79" t="inlineStr">
        <is>
          <t>196478772997</t>
        </is>
      </c>
      <c r="D79" t="inlineStr">
        <is>
          <t>adidas Vl Court Bold Womens Sneakers</t>
        </is>
      </c>
      <c r="E79" t="inlineStr">
        <is>
          <t>8</t>
        </is>
      </c>
    </row>
    <row r="80">
      <c r="A80" t="inlineStr">
        <is>
          <t>197671555226</t>
        </is>
      </c>
      <c r="B80" t="n">
        <v>66.5</v>
      </c>
      <c r="C80" t="inlineStr">
        <is>
          <t>197671555226</t>
        </is>
      </c>
      <c r="D80" t="inlineStr">
        <is>
          <t>PUMA Club Ii Era Womens Sneakers</t>
        </is>
      </c>
      <c r="E80" t="inlineStr">
        <is>
          <t>8</t>
        </is>
      </c>
    </row>
    <row r="81">
      <c r="A81" t="inlineStr">
        <is>
          <t>197671555233</t>
        </is>
      </c>
      <c r="B81" t="n">
        <v>66.5</v>
      </c>
      <c r="C81" t="inlineStr">
        <is>
          <t>197671555233</t>
        </is>
      </c>
      <c r="D81" t="inlineStr">
        <is>
          <t>PUMA Club Ii Era Womens Sneakers</t>
        </is>
      </c>
      <c r="E81" t="inlineStr">
        <is>
          <t>8</t>
        </is>
      </c>
    </row>
    <row r="82">
      <c r="A82" t="inlineStr">
        <is>
          <t>197671555240</t>
        </is>
      </c>
      <c r="B82" t="n">
        <v>66.5</v>
      </c>
      <c r="C82" t="inlineStr">
        <is>
          <t>197671555240</t>
        </is>
      </c>
      <c r="D82" t="inlineStr">
        <is>
          <t>PUMA Club Ii Era Womens Sneakers</t>
        </is>
      </c>
      <c r="E82" t="inlineStr">
        <is>
          <t>8</t>
        </is>
      </c>
    </row>
    <row r="83">
      <c r="A83" t="inlineStr">
        <is>
          <t>197671555257</t>
        </is>
      </c>
      <c r="B83" t="n">
        <v>66.5</v>
      </c>
      <c r="C83" t="inlineStr">
        <is>
          <t>197671555257</t>
        </is>
      </c>
      <c r="D83" t="inlineStr">
        <is>
          <t>PUMA Club Ii Era Womens Sneakers</t>
        </is>
      </c>
      <c r="E83" t="inlineStr">
        <is>
          <t>8</t>
        </is>
      </c>
    </row>
    <row r="84">
      <c r="A84" t="inlineStr">
        <is>
          <t>197671555264</t>
        </is>
      </c>
      <c r="B84" t="n">
        <v>66.5</v>
      </c>
      <c r="C84" t="inlineStr">
        <is>
          <t>197671555264</t>
        </is>
      </c>
      <c r="D84" t="inlineStr">
        <is>
          <t>PUMA Club Ii Era Womens Sneakers</t>
        </is>
      </c>
      <c r="E84" t="inlineStr">
        <is>
          <t>8</t>
        </is>
      </c>
    </row>
    <row r="85">
      <c r="A85" t="inlineStr">
        <is>
          <t>197671555271</t>
        </is>
      </c>
      <c r="B85" t="n">
        <v>66.5</v>
      </c>
      <c r="C85" t="inlineStr">
        <is>
          <t>197671555271</t>
        </is>
      </c>
      <c r="D85" t="inlineStr">
        <is>
          <t>PUMA Club Ii Era Womens Sneakers</t>
        </is>
      </c>
      <c r="E85" t="inlineStr">
        <is>
          <t>8</t>
        </is>
      </c>
    </row>
    <row r="86">
      <c r="A86" t="inlineStr">
        <is>
          <t>197671555288</t>
        </is>
      </c>
      <c r="B86" t="n">
        <v>66.5</v>
      </c>
      <c r="C86" t="inlineStr">
        <is>
          <t>197671555288</t>
        </is>
      </c>
      <c r="D86" t="inlineStr">
        <is>
          <t>PUMA Club Ii Era Womens Sneakers</t>
        </is>
      </c>
      <c r="E86" t="inlineStr">
        <is>
          <t>8</t>
        </is>
      </c>
    </row>
    <row r="87">
      <c r="A87" t="inlineStr">
        <is>
          <t>197671555295</t>
        </is>
      </c>
      <c r="B87" t="n">
        <v>66.5</v>
      </c>
      <c r="C87" t="inlineStr">
        <is>
          <t>197671555295</t>
        </is>
      </c>
      <c r="D87" t="inlineStr">
        <is>
          <t>PUMA Club Ii Era Womens Sneakers</t>
        </is>
      </c>
      <c r="E87" t="inlineStr">
        <is>
          <t>8</t>
        </is>
      </c>
    </row>
    <row r="88">
      <c r="A88" t="inlineStr">
        <is>
          <t>197671555301</t>
        </is>
      </c>
      <c r="B88" t="n">
        <v>66.5</v>
      </c>
      <c r="C88" t="inlineStr">
        <is>
          <t>197671555301</t>
        </is>
      </c>
      <c r="D88" t="inlineStr">
        <is>
          <t>PUMA Club Ii Era Womens Sneakers</t>
        </is>
      </c>
      <c r="E88" t="inlineStr">
        <is>
          <t>8</t>
        </is>
      </c>
    </row>
    <row r="89">
      <c r="A89" t="inlineStr">
        <is>
          <t>197671555318</t>
        </is>
      </c>
      <c r="B89" t="n">
        <v>66.5</v>
      </c>
      <c r="C89" t="inlineStr">
        <is>
          <t>197671555318</t>
        </is>
      </c>
      <c r="D89" t="inlineStr">
        <is>
          <t>PUMA Club Ii Era Womens Sneakers</t>
        </is>
      </c>
      <c r="E89" t="inlineStr">
        <is>
          <t>8</t>
        </is>
      </c>
    </row>
    <row r="90">
      <c r="A90" t="inlineStr">
        <is>
          <t>197671555332</t>
        </is>
      </c>
      <c r="B90" t="n">
        <v>66.5</v>
      </c>
      <c r="C90" t="inlineStr">
        <is>
          <t>197671555332</t>
        </is>
      </c>
      <c r="D90" t="inlineStr">
        <is>
          <t>PUMA Club Ii Era Womens Sneakers</t>
        </is>
      </c>
      <c r="E90" t="inlineStr">
        <is>
          <t>8</t>
        </is>
      </c>
    </row>
    <row r="91">
      <c r="A91" t="inlineStr">
        <is>
          <t>197671555646</t>
        </is>
      </c>
      <c r="B91" t="n">
        <v>66.5</v>
      </c>
      <c r="C91" t="inlineStr">
        <is>
          <t>197671555646</t>
        </is>
      </c>
      <c r="D91" t="inlineStr">
        <is>
          <t>PUMA Club Ii Era Womens Sneakers</t>
        </is>
      </c>
      <c r="E91" t="inlineStr">
        <is>
          <t>8</t>
        </is>
      </c>
    </row>
    <row r="92">
      <c r="A92" t="inlineStr">
        <is>
          <t>197671555653</t>
        </is>
      </c>
      <c r="B92" t="n">
        <v>66.5</v>
      </c>
      <c r="C92" t="inlineStr">
        <is>
          <t>197671555653</t>
        </is>
      </c>
      <c r="D92" t="inlineStr">
        <is>
          <t>PUMA Club Ii Era Womens Sneakers</t>
        </is>
      </c>
      <c r="E92" t="inlineStr">
        <is>
          <t>8</t>
        </is>
      </c>
    </row>
    <row r="93">
      <c r="A93" t="inlineStr">
        <is>
          <t>197671555660</t>
        </is>
      </c>
      <c r="B93" t="n">
        <v>66.5</v>
      </c>
      <c r="C93" t="inlineStr">
        <is>
          <t>197671555660</t>
        </is>
      </c>
      <c r="D93" t="inlineStr">
        <is>
          <t>PUMA Club Ii Era Womens Sneakers</t>
        </is>
      </c>
      <c r="E93" t="inlineStr">
        <is>
          <t>8</t>
        </is>
      </c>
    </row>
    <row r="94">
      <c r="A94" t="inlineStr">
        <is>
          <t>197671555677</t>
        </is>
      </c>
      <c r="B94" t="n">
        <v>66.5</v>
      </c>
      <c r="C94" t="inlineStr">
        <is>
          <t>197671555677</t>
        </is>
      </c>
      <c r="D94" t="inlineStr">
        <is>
          <t>PUMA Club Ii Era Womens Sneakers</t>
        </is>
      </c>
      <c r="E94" t="inlineStr">
        <is>
          <t>8</t>
        </is>
      </c>
    </row>
    <row r="95">
      <c r="A95" t="inlineStr">
        <is>
          <t>197671555684</t>
        </is>
      </c>
      <c r="B95" t="n">
        <v>66.5</v>
      </c>
      <c r="C95" t="inlineStr">
        <is>
          <t>197671555684</t>
        </is>
      </c>
      <c r="D95" t="inlineStr">
        <is>
          <t>PUMA Club Ii Era Womens Sneakers</t>
        </is>
      </c>
      <c r="E95" t="inlineStr">
        <is>
          <t>8</t>
        </is>
      </c>
    </row>
    <row r="96">
      <c r="A96" t="inlineStr">
        <is>
          <t>197671555691</t>
        </is>
      </c>
      <c r="B96" t="n">
        <v>66.5</v>
      </c>
      <c r="C96" t="inlineStr">
        <is>
          <t>197671555691</t>
        </is>
      </c>
      <c r="D96" t="inlineStr">
        <is>
          <t>PUMA Club Ii Era Womens Sneakers</t>
        </is>
      </c>
      <c r="E96" t="inlineStr">
        <is>
          <t>8</t>
        </is>
      </c>
    </row>
    <row r="97">
      <c r="A97" t="inlineStr">
        <is>
          <t>197671555585</t>
        </is>
      </c>
      <c r="B97" t="n">
        <v>66.5</v>
      </c>
      <c r="C97" t="inlineStr">
        <is>
          <t>197671555585</t>
        </is>
      </c>
      <c r="D97" t="inlineStr">
        <is>
          <t>PUMA Club Ii Era Womens Sneakers</t>
        </is>
      </c>
      <c r="E97" t="inlineStr">
        <is>
          <t>8</t>
        </is>
      </c>
    </row>
    <row r="98">
      <c r="A98" t="inlineStr">
        <is>
          <t>197671555592</t>
        </is>
      </c>
      <c r="B98" t="n">
        <v>66.5</v>
      </c>
      <c r="C98" t="inlineStr">
        <is>
          <t>197671555592</t>
        </is>
      </c>
      <c r="D98" t="inlineStr">
        <is>
          <t>PUMA Club Ii Era Womens Sneakers</t>
        </is>
      </c>
      <c r="E98" t="inlineStr">
        <is>
          <t>8</t>
        </is>
      </c>
    </row>
    <row r="99">
      <c r="A99" t="inlineStr">
        <is>
          <t>197671555608</t>
        </is>
      </c>
      <c r="B99" t="n">
        <v>66.5</v>
      </c>
      <c r="C99" t="inlineStr">
        <is>
          <t>197671555608</t>
        </is>
      </c>
      <c r="D99" t="inlineStr">
        <is>
          <t>PUMA Club Ii Era Womens Sneakers</t>
        </is>
      </c>
      <c r="E99" t="inlineStr">
        <is>
          <t>8</t>
        </is>
      </c>
    </row>
    <row r="100">
      <c r="A100" t="inlineStr">
        <is>
          <t>197671555615</t>
        </is>
      </c>
      <c r="B100" t="n">
        <v>66.5</v>
      </c>
      <c r="C100" t="inlineStr">
        <is>
          <t>197671555615</t>
        </is>
      </c>
      <c r="D100" t="inlineStr">
        <is>
          <t>PUMA Club Ii Era Womens Sneakers</t>
        </is>
      </c>
      <c r="E100" t="inlineStr">
        <is>
          <t>8</t>
        </is>
      </c>
    </row>
    <row r="101">
      <c r="A101" t="inlineStr">
        <is>
          <t>197671555639</t>
        </is>
      </c>
      <c r="B101" t="n">
        <v>66.5</v>
      </c>
      <c r="C101" t="inlineStr">
        <is>
          <t>197671555639</t>
        </is>
      </c>
      <c r="D101" t="inlineStr">
        <is>
          <t>PUMA Club Ii Era Womens Sneakers</t>
        </is>
      </c>
      <c r="E101" t="inlineStr">
        <is>
          <t>8</t>
        </is>
      </c>
    </row>
    <row r="102">
      <c r="A102" t="inlineStr">
        <is>
          <t>196471925925</t>
        </is>
      </c>
      <c r="B102" t="n">
        <v>71.2405</v>
      </c>
      <c r="C102" t="inlineStr">
        <is>
          <t>196471925925</t>
        </is>
      </c>
      <c r="D102" t="inlineStr">
        <is>
          <t>adidas Grand Court Alpha Womens Sneakers</t>
        </is>
      </c>
      <c r="E102" t="inlineStr">
        <is>
          <t>n/a</t>
        </is>
      </c>
    </row>
    <row r="103">
      <c r="A103" t="inlineStr">
        <is>
          <t>196471922238</t>
        </is>
      </c>
      <c r="B103" t="n">
        <v>71.2405</v>
      </c>
      <c r="C103" t="inlineStr">
        <is>
          <t>196471922238</t>
        </is>
      </c>
      <c r="D103" t="inlineStr">
        <is>
          <t>adidas Grand Court Alpha Womens Sneakers</t>
        </is>
      </c>
      <c r="E103" t="inlineStr">
        <is>
          <t>n/a</t>
        </is>
      </c>
    </row>
    <row r="104">
      <c r="A104" t="inlineStr">
        <is>
          <t>196471922283</t>
        </is>
      </c>
      <c r="B104" t="n">
        <v>71.2405</v>
      </c>
      <c r="C104" t="inlineStr">
        <is>
          <t>196471922283</t>
        </is>
      </c>
      <c r="D104" t="inlineStr">
        <is>
          <t>adidas Grand Court Alpha Womens Sneakers</t>
        </is>
      </c>
      <c r="E104" t="inlineStr">
        <is>
          <t>n/a</t>
        </is>
      </c>
    </row>
    <row r="105">
      <c r="A105" t="inlineStr">
        <is>
          <t>196471925895</t>
        </is>
      </c>
      <c r="B105" t="n">
        <v>71.2405</v>
      </c>
      <c r="C105" t="inlineStr">
        <is>
          <t>196471925895</t>
        </is>
      </c>
      <c r="D105" t="inlineStr">
        <is>
          <t>adidas Grand Court Alpha Womens Sneakers</t>
        </is>
      </c>
      <c r="E105" t="inlineStr">
        <is>
          <t>n/a</t>
        </is>
      </c>
    </row>
    <row r="106">
      <c r="A106" t="inlineStr">
        <is>
          <t>196471925901</t>
        </is>
      </c>
      <c r="B106" t="n">
        <v>71.2405</v>
      </c>
      <c r="C106" t="inlineStr">
        <is>
          <t>196471925901</t>
        </is>
      </c>
      <c r="D106" t="inlineStr">
        <is>
          <t>adidas Grand Court Alpha Womens Sneakers</t>
        </is>
      </c>
      <c r="E106" t="inlineStr">
        <is>
          <t>n/a</t>
        </is>
      </c>
    </row>
    <row r="107">
      <c r="A107" t="inlineStr">
        <is>
          <t>196471922269</t>
        </is>
      </c>
      <c r="B107" t="n">
        <v>71.2405</v>
      </c>
      <c r="C107" t="inlineStr">
        <is>
          <t>196471922269</t>
        </is>
      </c>
      <c r="D107" t="inlineStr">
        <is>
          <t>adidas Grand Court Alpha Womens Sneakers</t>
        </is>
      </c>
      <c r="E107" t="inlineStr">
        <is>
          <t>n/a</t>
        </is>
      </c>
    </row>
    <row r="108">
      <c r="A108" t="inlineStr">
        <is>
          <t>196471922252</t>
        </is>
      </c>
      <c r="B108" t="n">
        <v>71.2405</v>
      </c>
      <c r="C108" t="inlineStr">
        <is>
          <t>196471922252</t>
        </is>
      </c>
      <c r="D108" t="inlineStr">
        <is>
          <t>adidas Grand Court Alpha Womens Sneakers</t>
        </is>
      </c>
      <c r="E108" t="inlineStr">
        <is>
          <t>n/a</t>
        </is>
      </c>
    </row>
    <row r="109">
      <c r="A109" t="inlineStr">
        <is>
          <t>196471922191</t>
        </is>
      </c>
      <c r="B109" t="n">
        <v>71.2405</v>
      </c>
      <c r="C109" t="inlineStr">
        <is>
          <t>196471922191</t>
        </is>
      </c>
      <c r="D109" t="inlineStr">
        <is>
          <t>adidas Grand Court Alpha Womens Sneakers</t>
        </is>
      </c>
      <c r="E109" t="inlineStr">
        <is>
          <t>n/a</t>
        </is>
      </c>
    </row>
    <row r="110">
      <c r="A110" t="inlineStr">
        <is>
          <t>196471922276</t>
        </is>
      </c>
      <c r="B110" t="n">
        <v>71.2405</v>
      </c>
      <c r="C110" t="inlineStr">
        <is>
          <t>196471922276</t>
        </is>
      </c>
      <c r="D110" t="inlineStr">
        <is>
          <t>adidas Grand Court Alpha Womens Sneakers</t>
        </is>
      </c>
      <c r="E110" t="inlineStr">
        <is>
          <t>n/a</t>
        </is>
      </c>
    </row>
    <row r="111">
      <c r="A111" t="inlineStr">
        <is>
          <t>196471922245</t>
        </is>
      </c>
      <c r="B111" t="n">
        <v>71.2405</v>
      </c>
      <c r="C111" t="inlineStr">
        <is>
          <t>196471922245</t>
        </is>
      </c>
      <c r="D111" t="inlineStr">
        <is>
          <t>adidas Grand Court Alpha Womens Sneakers</t>
        </is>
      </c>
      <c r="E111" t="inlineStr">
        <is>
          <t>n/a</t>
        </is>
      </c>
    </row>
    <row r="112">
      <c r="A112" t="inlineStr">
        <is>
          <t>196471922207</t>
        </is>
      </c>
      <c r="B112" t="n">
        <v>71.2405</v>
      </c>
      <c r="C112" t="inlineStr">
        <is>
          <t>196471922207</t>
        </is>
      </c>
      <c r="D112" t="inlineStr">
        <is>
          <t>adidas Grand Court Alpha Womens Sneakers</t>
        </is>
      </c>
      <c r="E112" t="inlineStr">
        <is>
          <t>n/a</t>
        </is>
      </c>
    </row>
    <row r="113">
      <c r="A113" t="inlineStr">
        <is>
          <t>196471922214</t>
        </is>
      </c>
      <c r="B113" t="n">
        <v>71.2405</v>
      </c>
      <c r="C113" t="inlineStr">
        <is>
          <t>196471922214</t>
        </is>
      </c>
      <c r="D113" t="inlineStr">
        <is>
          <t>adidas Grand Court Alpha Womens Sneakers</t>
        </is>
      </c>
      <c r="E113" t="inlineStr">
        <is>
          <t>n/a</t>
        </is>
      </c>
    </row>
    <row r="114">
      <c r="A114" t="inlineStr">
        <is>
          <t>197609350343</t>
        </is>
      </c>
      <c r="B114" t="n">
        <v>71.2405</v>
      </c>
      <c r="C114" t="inlineStr">
        <is>
          <t>197609350343</t>
        </is>
      </c>
      <c r="D114" t="inlineStr">
        <is>
          <t>adidas Grand Court Alpha Womens Sneakers</t>
        </is>
      </c>
      <c r="E114" t="inlineStr">
        <is>
          <t>n/a</t>
        </is>
      </c>
    </row>
    <row r="115">
      <c r="A115" t="inlineStr">
        <is>
          <t>197609346674</t>
        </is>
      </c>
      <c r="B115" t="n">
        <v>71.2405</v>
      </c>
      <c r="C115" t="inlineStr">
        <is>
          <t>197609346674</t>
        </is>
      </c>
      <c r="D115" t="inlineStr">
        <is>
          <t>adidas Grand Court Alpha Womens Sneakers</t>
        </is>
      </c>
      <c r="E115" t="inlineStr">
        <is>
          <t>n/a</t>
        </is>
      </c>
    </row>
    <row r="116">
      <c r="A116" t="inlineStr">
        <is>
          <t>197609350336</t>
        </is>
      </c>
      <c r="B116" t="n">
        <v>71.2405</v>
      </c>
      <c r="C116" t="inlineStr">
        <is>
          <t>197609350336</t>
        </is>
      </c>
      <c r="D116" t="inlineStr">
        <is>
          <t>adidas Grand Court Alpha Womens Sneakers</t>
        </is>
      </c>
      <c r="E116" t="inlineStr">
        <is>
          <t>n/a</t>
        </is>
      </c>
    </row>
    <row r="117">
      <c r="A117" t="inlineStr">
        <is>
          <t>197609350305</t>
        </is>
      </c>
      <c r="B117" t="n">
        <v>71.2405</v>
      </c>
      <c r="C117" t="inlineStr">
        <is>
          <t>197609350305</t>
        </is>
      </c>
      <c r="D117" t="inlineStr">
        <is>
          <t>adidas Grand Court Alpha Womens Sneakers</t>
        </is>
      </c>
      <c r="E117" t="inlineStr">
        <is>
          <t>n/a</t>
        </is>
      </c>
    </row>
    <row r="118">
      <c r="A118" t="inlineStr">
        <is>
          <t>197609346650</t>
        </is>
      </c>
      <c r="B118" t="n">
        <v>71.2405</v>
      </c>
      <c r="C118" t="inlineStr">
        <is>
          <t>197609346650</t>
        </is>
      </c>
      <c r="D118" t="inlineStr">
        <is>
          <t>adidas Grand Court Alpha Womens Sneakers</t>
        </is>
      </c>
      <c r="E118" t="inlineStr">
        <is>
          <t>n/a</t>
        </is>
      </c>
    </row>
    <row r="119">
      <c r="A119" t="inlineStr">
        <is>
          <t>197609350282</t>
        </is>
      </c>
      <c r="B119" t="n">
        <v>71.2405</v>
      </c>
      <c r="C119" t="inlineStr">
        <is>
          <t>197609350282</t>
        </is>
      </c>
      <c r="D119" t="inlineStr">
        <is>
          <t>adidas Grand Court Alpha Womens Sneakers</t>
        </is>
      </c>
      <c r="E119" t="inlineStr">
        <is>
          <t>n/a</t>
        </is>
      </c>
    </row>
    <row r="120">
      <c r="A120" t="inlineStr">
        <is>
          <t>197609350367</t>
        </is>
      </c>
      <c r="B120" t="n">
        <v>71.2405</v>
      </c>
      <c r="C120" t="inlineStr">
        <is>
          <t>197609350367</t>
        </is>
      </c>
      <c r="D120" t="inlineStr">
        <is>
          <t>adidas Grand Court Alpha Womens Sneakers</t>
        </is>
      </c>
      <c r="E120" t="inlineStr">
        <is>
          <t>n/a</t>
        </is>
      </c>
    </row>
    <row r="121">
      <c r="A121" t="inlineStr">
        <is>
          <t>197609350374</t>
        </is>
      </c>
      <c r="B121" t="n">
        <v>71.2405</v>
      </c>
      <c r="C121" t="inlineStr">
        <is>
          <t>197609350374</t>
        </is>
      </c>
      <c r="D121" t="inlineStr">
        <is>
          <t>adidas Grand Court Alpha Womens Sneakers</t>
        </is>
      </c>
      <c r="E121" t="inlineStr">
        <is>
          <t>n/a</t>
        </is>
      </c>
    </row>
    <row r="122">
      <c r="A122" t="inlineStr">
        <is>
          <t>197609346667</t>
        </is>
      </c>
      <c r="B122" t="n">
        <v>71.2405</v>
      </c>
      <c r="C122" t="inlineStr">
        <is>
          <t>197609346667</t>
        </is>
      </c>
      <c r="D122" t="inlineStr">
        <is>
          <t>adidas Grand Court Alpha Womens Sneakers</t>
        </is>
      </c>
      <c r="E122" t="inlineStr">
        <is>
          <t>n/a</t>
        </is>
      </c>
    </row>
    <row r="123">
      <c r="A123" t="inlineStr">
        <is>
          <t>197609350299</t>
        </is>
      </c>
      <c r="B123" t="n">
        <v>71.2405</v>
      </c>
      <c r="C123" t="inlineStr">
        <is>
          <t>197609350299</t>
        </is>
      </c>
      <c r="D123" t="inlineStr">
        <is>
          <t>adidas Grand Court Alpha Womens Sneakers</t>
        </is>
      </c>
      <c r="E123" t="inlineStr">
        <is>
          <t>n/a</t>
        </is>
      </c>
    </row>
    <row r="124">
      <c r="A124" t="inlineStr">
        <is>
          <t>197609350329</t>
        </is>
      </c>
      <c r="B124" t="n">
        <v>71.2405</v>
      </c>
      <c r="C124" t="inlineStr">
        <is>
          <t>197609350329</t>
        </is>
      </c>
      <c r="D124" t="inlineStr">
        <is>
          <t>adidas Grand Court Alpha Womens Sneakers</t>
        </is>
      </c>
      <c r="E124" t="inlineStr">
        <is>
          <t>n/a</t>
        </is>
      </c>
    </row>
    <row r="125">
      <c r="A125" t="inlineStr">
        <is>
          <t>197609350312</t>
        </is>
      </c>
      <c r="B125" t="n">
        <v>71.2405</v>
      </c>
      <c r="C125" t="inlineStr">
        <is>
          <t>197609350312</t>
        </is>
      </c>
      <c r="D125" t="inlineStr">
        <is>
          <t>adidas Grand Court Alpha Womens Sneakers</t>
        </is>
      </c>
      <c r="E125" t="inlineStr">
        <is>
          <t>n/a</t>
        </is>
      </c>
    </row>
    <row r="126">
      <c r="A126" t="inlineStr">
        <is>
          <t>197609350466</t>
        </is>
      </c>
      <c r="B126" t="n">
        <v>71.2405</v>
      </c>
      <c r="C126" t="inlineStr">
        <is>
          <t>197609350466</t>
        </is>
      </c>
      <c r="D126" t="inlineStr">
        <is>
          <t>adidas Grand Court Alpha Womens Sneakers</t>
        </is>
      </c>
      <c r="E126" t="inlineStr">
        <is>
          <t>n/a</t>
        </is>
      </c>
    </row>
    <row r="127">
      <c r="A127" t="inlineStr">
        <is>
          <t>197609350503</t>
        </is>
      </c>
      <c r="B127" t="n">
        <v>71.2405</v>
      </c>
      <c r="C127" t="inlineStr">
        <is>
          <t>197609350503</t>
        </is>
      </c>
      <c r="D127" t="inlineStr">
        <is>
          <t>adidas Grand Court Alpha Womens Sneakers</t>
        </is>
      </c>
      <c r="E127" t="inlineStr">
        <is>
          <t>n/a</t>
        </is>
      </c>
    </row>
    <row r="128">
      <c r="A128" t="inlineStr">
        <is>
          <t>197609350404</t>
        </is>
      </c>
      <c r="B128" t="n">
        <v>71.2405</v>
      </c>
      <c r="C128" t="inlineStr">
        <is>
          <t>197609350404</t>
        </is>
      </c>
      <c r="D128" t="inlineStr">
        <is>
          <t>adidas Grand Court Alpha Womens Sneakers</t>
        </is>
      </c>
      <c r="E128" t="inlineStr">
        <is>
          <t>n/a</t>
        </is>
      </c>
    </row>
    <row r="129">
      <c r="A129" t="inlineStr">
        <is>
          <t>197609350442</t>
        </is>
      </c>
      <c r="B129" t="n">
        <v>71.2405</v>
      </c>
      <c r="C129" t="inlineStr">
        <is>
          <t>197609350442</t>
        </is>
      </c>
      <c r="D129" t="inlineStr">
        <is>
          <t>adidas Grand Court Alpha Womens Sneakers</t>
        </is>
      </c>
      <c r="E129" t="inlineStr">
        <is>
          <t>n/a</t>
        </is>
      </c>
    </row>
    <row r="130">
      <c r="A130" t="inlineStr">
        <is>
          <t>197609350473</t>
        </is>
      </c>
      <c r="B130" t="n">
        <v>71.2405</v>
      </c>
      <c r="C130" t="inlineStr">
        <is>
          <t>197609350473</t>
        </is>
      </c>
      <c r="D130" t="inlineStr">
        <is>
          <t>adidas Grand Court Alpha Womens Sneakers</t>
        </is>
      </c>
      <c r="E130" t="inlineStr">
        <is>
          <t>n/a</t>
        </is>
      </c>
    </row>
    <row r="131">
      <c r="A131" t="inlineStr">
        <is>
          <t>197609350435</t>
        </is>
      </c>
      <c r="B131" t="n">
        <v>71.2405</v>
      </c>
      <c r="C131" t="inlineStr">
        <is>
          <t>197609350435</t>
        </is>
      </c>
      <c r="D131" t="inlineStr">
        <is>
          <t>adidas Grand Court Alpha Womens Sneakers</t>
        </is>
      </c>
      <c r="E131" t="inlineStr">
        <is>
          <t>n/a</t>
        </is>
      </c>
    </row>
    <row r="132">
      <c r="A132" t="inlineStr">
        <is>
          <t>197609350381</t>
        </is>
      </c>
      <c r="B132" t="n">
        <v>71.2405</v>
      </c>
      <c r="C132" t="inlineStr">
        <is>
          <t>197609350381</t>
        </is>
      </c>
      <c r="D132" t="inlineStr">
        <is>
          <t>adidas Grand Court Alpha Womens Sneakers</t>
        </is>
      </c>
      <c r="E132" t="inlineStr">
        <is>
          <t>n/a</t>
        </is>
      </c>
    </row>
    <row r="133">
      <c r="A133" t="inlineStr">
        <is>
          <t>197609350398</t>
        </is>
      </c>
      <c r="B133" t="n">
        <v>71.2405</v>
      </c>
      <c r="C133" t="inlineStr">
        <is>
          <t>197609350398</t>
        </is>
      </c>
      <c r="D133" t="inlineStr">
        <is>
          <t>adidas Grand Court Alpha Womens Sneakers</t>
        </is>
      </c>
      <c r="E133" t="inlineStr">
        <is>
          <t>n/a</t>
        </is>
      </c>
    </row>
    <row r="134">
      <c r="A134" t="inlineStr">
        <is>
          <t>197609350497</t>
        </is>
      </c>
      <c r="B134" t="n">
        <v>71.2405</v>
      </c>
      <c r="C134" t="inlineStr">
        <is>
          <t>197609350497</t>
        </is>
      </c>
      <c r="D134" t="inlineStr">
        <is>
          <t>adidas Grand Court Alpha Womens Sneakers</t>
        </is>
      </c>
      <c r="E134" t="inlineStr">
        <is>
          <t>n/a</t>
        </is>
      </c>
    </row>
    <row r="135">
      <c r="A135" t="inlineStr">
        <is>
          <t>197609350411</t>
        </is>
      </c>
      <c r="B135" t="n">
        <v>71.2405</v>
      </c>
      <c r="C135" t="inlineStr">
        <is>
          <t>197609350411</t>
        </is>
      </c>
      <c r="D135" t="inlineStr">
        <is>
          <t>adidas Grand Court Alpha Womens Sneakers</t>
        </is>
      </c>
      <c r="E135" t="inlineStr">
        <is>
          <t>n/a</t>
        </is>
      </c>
    </row>
    <row r="136">
      <c r="A136" t="inlineStr">
        <is>
          <t>197609350428</t>
        </is>
      </c>
      <c r="B136" t="n">
        <v>71.2405</v>
      </c>
      <c r="C136" t="inlineStr">
        <is>
          <t>197609350428</t>
        </is>
      </c>
      <c r="D136" t="inlineStr">
        <is>
          <t>adidas Grand Court Alpha Womens Sneakers</t>
        </is>
      </c>
      <c r="E136" t="inlineStr">
        <is>
          <t>n/a</t>
        </is>
      </c>
    </row>
    <row r="137">
      <c r="A137" t="inlineStr">
        <is>
          <t>197609350459</t>
        </is>
      </c>
      <c r="B137" t="n">
        <v>71.2405</v>
      </c>
      <c r="C137" t="inlineStr">
        <is>
          <t>197609350459</t>
        </is>
      </c>
      <c r="D137" t="inlineStr">
        <is>
          <t>adidas Grand Court Alpha Womens Sneakers</t>
        </is>
      </c>
      <c r="E137" t="inlineStr">
        <is>
          <t>n/a</t>
        </is>
      </c>
    </row>
    <row r="138">
      <c r="A138" t="inlineStr">
        <is>
          <t>196474610057</t>
        </is>
      </c>
      <c r="C138" t="inlineStr">
        <is>
          <t>196474610057</t>
        </is>
      </c>
      <c r="D138" t="inlineStr">
        <is>
          <t>adidas Vl Court 3.0 Womens Sneakers</t>
        </is>
      </c>
      <c r="E138" t="inlineStr">
        <is>
          <t>n/a</t>
        </is>
      </c>
    </row>
    <row r="139">
      <c r="A139" t="inlineStr">
        <is>
          <t>196474610095</t>
        </is>
      </c>
      <c r="C139" t="inlineStr">
        <is>
          <t>196474610095</t>
        </is>
      </c>
      <c r="D139" t="inlineStr">
        <is>
          <t>adidas Vl Court 3.0 Womens Sneakers</t>
        </is>
      </c>
      <c r="E139" t="inlineStr">
        <is>
          <t>n/a</t>
        </is>
      </c>
    </row>
    <row r="140">
      <c r="A140" t="inlineStr">
        <is>
          <t>196474610125</t>
        </is>
      </c>
      <c r="C140" t="inlineStr">
        <is>
          <t>196474610125</t>
        </is>
      </c>
      <c r="D140" t="inlineStr">
        <is>
          <t>adidas Vl Court 3.0 Womens Sneakers</t>
        </is>
      </c>
      <c r="E140" t="inlineStr">
        <is>
          <t>n/a</t>
        </is>
      </c>
    </row>
    <row r="141">
      <c r="A141" t="inlineStr">
        <is>
          <t>196474610064</t>
        </is>
      </c>
      <c r="C141" t="inlineStr">
        <is>
          <t>196474610064</t>
        </is>
      </c>
      <c r="D141" t="inlineStr">
        <is>
          <t>adidas Vl Court 3.0 Womens Sneakers</t>
        </is>
      </c>
      <c r="E141" t="inlineStr">
        <is>
          <t>n/a</t>
        </is>
      </c>
    </row>
    <row r="142">
      <c r="A142" t="inlineStr">
        <is>
          <t>196474610132</t>
        </is>
      </c>
      <c r="C142" t="inlineStr">
        <is>
          <t>196474610132</t>
        </is>
      </c>
      <c r="D142" t="inlineStr">
        <is>
          <t>adidas Vl Court 3.0 Womens Sneakers</t>
        </is>
      </c>
      <c r="E142" t="inlineStr">
        <is>
          <t>n/a</t>
        </is>
      </c>
    </row>
    <row r="143">
      <c r="A143" t="inlineStr">
        <is>
          <t>196474610101</t>
        </is>
      </c>
      <c r="C143" t="inlineStr">
        <is>
          <t>196474610101</t>
        </is>
      </c>
      <c r="D143" t="inlineStr">
        <is>
          <t>adidas Vl Court 3.0 Womens Sneakers</t>
        </is>
      </c>
      <c r="E143" t="inlineStr">
        <is>
          <t>n/a</t>
        </is>
      </c>
    </row>
    <row r="144">
      <c r="A144" t="inlineStr">
        <is>
          <t>196474610033</t>
        </is>
      </c>
      <c r="C144" t="inlineStr">
        <is>
          <t>196474610033</t>
        </is>
      </c>
      <c r="D144" t="inlineStr">
        <is>
          <t>adidas Vl Court 3.0 Womens Sneakers</t>
        </is>
      </c>
      <c r="E144" t="inlineStr">
        <is>
          <t>n/a</t>
        </is>
      </c>
    </row>
    <row r="145">
      <c r="A145" t="inlineStr">
        <is>
          <t>196474610118</t>
        </is>
      </c>
      <c r="C145" t="inlineStr">
        <is>
          <t>196474610118</t>
        </is>
      </c>
      <c r="D145" t="inlineStr">
        <is>
          <t>adidas Vl Court 3.0 Womens Sneakers</t>
        </is>
      </c>
      <c r="E145" t="inlineStr">
        <is>
          <t>n/a</t>
        </is>
      </c>
    </row>
    <row r="146">
      <c r="A146" t="inlineStr">
        <is>
          <t>196474610149</t>
        </is>
      </c>
      <c r="C146" t="inlineStr">
        <is>
          <t>196474610149</t>
        </is>
      </c>
      <c r="D146" t="inlineStr">
        <is>
          <t>adidas Vl Court 3.0 Womens Sneakers</t>
        </is>
      </c>
      <c r="E146" t="inlineStr">
        <is>
          <t>n/a</t>
        </is>
      </c>
    </row>
    <row r="147">
      <c r="A147" t="inlineStr">
        <is>
          <t>196474610088</t>
        </is>
      </c>
      <c r="C147" t="inlineStr">
        <is>
          <t>196474610088</t>
        </is>
      </c>
      <c r="D147" t="inlineStr">
        <is>
          <t>adidas Vl Court 3.0 Womens Sneakers</t>
        </is>
      </c>
      <c r="E147" t="inlineStr">
        <is>
          <t>n/a</t>
        </is>
      </c>
    </row>
    <row r="148">
      <c r="A148" t="inlineStr">
        <is>
          <t>196474610040</t>
        </is>
      </c>
      <c r="C148" t="inlineStr">
        <is>
          <t>196474610040</t>
        </is>
      </c>
      <c r="D148" t="inlineStr">
        <is>
          <t>adidas Vl Court 3.0 Womens Sneakers</t>
        </is>
      </c>
      <c r="E148" t="inlineStr">
        <is>
          <t>n/a</t>
        </is>
      </c>
    </row>
    <row r="149">
      <c r="A149" t="inlineStr">
        <is>
          <t>196474610071</t>
        </is>
      </c>
      <c r="C149" t="inlineStr">
        <is>
          <t>196474610071</t>
        </is>
      </c>
      <c r="D149" t="inlineStr">
        <is>
          <t>adidas Vl Court 3.0 Womens Sneakers</t>
        </is>
      </c>
      <c r="E149" t="inlineStr">
        <is>
          <t>n/a</t>
        </is>
      </c>
    </row>
    <row r="150">
      <c r="A150" t="inlineStr">
        <is>
          <t>196478476703</t>
        </is>
      </c>
      <c r="C150" t="inlineStr">
        <is>
          <t>196478476703</t>
        </is>
      </c>
      <c r="D150" t="inlineStr">
        <is>
          <t>adidas Vl Court 3.0 Womens Sneakers</t>
        </is>
      </c>
      <c r="E150" t="inlineStr">
        <is>
          <t>n/a</t>
        </is>
      </c>
    </row>
    <row r="151">
      <c r="A151" t="inlineStr">
        <is>
          <t>196478476734</t>
        </is>
      </c>
      <c r="C151" t="inlineStr">
        <is>
          <t>196478476734</t>
        </is>
      </c>
      <c r="D151" t="inlineStr">
        <is>
          <t>adidas Vl Court 3.0 Womens Sneakers</t>
        </is>
      </c>
      <c r="E151" t="inlineStr">
        <is>
          <t>n/a</t>
        </is>
      </c>
    </row>
    <row r="152">
      <c r="A152" t="inlineStr">
        <is>
          <t>196478476635</t>
        </is>
      </c>
      <c r="C152" t="inlineStr">
        <is>
          <t>196478476635</t>
        </is>
      </c>
      <c r="D152" t="inlineStr">
        <is>
          <t>adidas Vl Court 3.0 Womens Sneakers</t>
        </is>
      </c>
      <c r="E152" t="inlineStr">
        <is>
          <t>n/a</t>
        </is>
      </c>
    </row>
    <row r="153">
      <c r="A153" t="inlineStr">
        <is>
          <t>196478476710</t>
        </is>
      </c>
      <c r="C153" t="inlineStr">
        <is>
          <t>196478476710</t>
        </is>
      </c>
      <c r="D153" t="inlineStr">
        <is>
          <t>adidas Vl Court 3.0 Womens Sneakers</t>
        </is>
      </c>
      <c r="E153" t="inlineStr">
        <is>
          <t>n/a</t>
        </is>
      </c>
    </row>
    <row r="154">
      <c r="A154" t="inlineStr">
        <is>
          <t>196478476673</t>
        </is>
      </c>
      <c r="C154" t="inlineStr">
        <is>
          <t>196478476673</t>
        </is>
      </c>
      <c r="D154" t="inlineStr">
        <is>
          <t>adidas Vl Court 3.0 Womens Sneakers</t>
        </is>
      </c>
      <c r="E154" t="inlineStr">
        <is>
          <t>n/a</t>
        </is>
      </c>
    </row>
    <row r="155">
      <c r="A155" t="inlineStr">
        <is>
          <t>196478476697</t>
        </is>
      </c>
      <c r="C155" t="inlineStr">
        <is>
          <t>196478476697</t>
        </is>
      </c>
      <c r="D155" t="inlineStr">
        <is>
          <t>adidas Vl Court 3.0 Womens Sneakers</t>
        </is>
      </c>
      <c r="E155" t="inlineStr">
        <is>
          <t>n/a</t>
        </is>
      </c>
    </row>
    <row r="156">
      <c r="A156" t="inlineStr">
        <is>
          <t>196478476666</t>
        </is>
      </c>
      <c r="C156" t="inlineStr">
        <is>
          <t>196478476666</t>
        </is>
      </c>
      <c r="D156" t="inlineStr">
        <is>
          <t>adidas Vl Court 3.0 Womens Sneakers</t>
        </is>
      </c>
      <c r="E156" t="inlineStr">
        <is>
          <t>n/a</t>
        </is>
      </c>
    </row>
    <row r="157">
      <c r="A157" t="inlineStr">
        <is>
          <t>196478476659</t>
        </is>
      </c>
      <c r="C157" t="inlineStr">
        <is>
          <t>196478476659</t>
        </is>
      </c>
      <c r="D157" t="inlineStr">
        <is>
          <t>adidas Vl Court 3.0 Womens Sneakers</t>
        </is>
      </c>
      <c r="E157" t="inlineStr">
        <is>
          <t>n/a</t>
        </is>
      </c>
    </row>
    <row r="158">
      <c r="A158" t="inlineStr">
        <is>
          <t>196478476611</t>
        </is>
      </c>
      <c r="C158" t="inlineStr">
        <is>
          <t>196478476611</t>
        </is>
      </c>
      <c r="D158" t="inlineStr">
        <is>
          <t>adidas Vl Court 3.0 Womens Sneakers</t>
        </is>
      </c>
      <c r="E158" t="inlineStr">
        <is>
          <t>n/a</t>
        </is>
      </c>
    </row>
    <row r="159">
      <c r="A159" t="inlineStr">
        <is>
          <t>196478476727</t>
        </is>
      </c>
      <c r="C159" t="inlineStr">
        <is>
          <t>196478476727</t>
        </is>
      </c>
      <c r="D159" t="inlineStr">
        <is>
          <t>adidas Vl Court 3.0 Womens Sneakers</t>
        </is>
      </c>
      <c r="E159" t="inlineStr">
        <is>
          <t>n/a</t>
        </is>
      </c>
    </row>
    <row r="160">
      <c r="A160" t="inlineStr">
        <is>
          <t>196478476604</t>
        </is>
      </c>
      <c r="C160" t="inlineStr">
        <is>
          <t>196478476604</t>
        </is>
      </c>
      <c r="D160" t="inlineStr">
        <is>
          <t>adidas Vl Court 3.0 Womens Sneakers</t>
        </is>
      </c>
      <c r="E160" t="inlineStr">
        <is>
          <t>n/a</t>
        </is>
      </c>
    </row>
    <row r="161">
      <c r="A161" t="inlineStr">
        <is>
          <t>196478476642</t>
        </is>
      </c>
      <c r="C161" t="inlineStr">
        <is>
          <t>196478476642</t>
        </is>
      </c>
      <c r="D161" t="inlineStr">
        <is>
          <t>adidas Vl Court 3.0 Womens Sneakers</t>
        </is>
      </c>
      <c r="E161" t="inlineStr">
        <is>
          <t>n/a</t>
        </is>
      </c>
    </row>
    <row r="162">
      <c r="A162" t="inlineStr">
        <is>
          <t>196474610200</t>
        </is>
      </c>
      <c r="C162" t="inlineStr">
        <is>
          <t>196474610200</t>
        </is>
      </c>
      <c r="D162" t="inlineStr">
        <is>
          <t>adidas Vl Court 3.0 Womens Sneakers</t>
        </is>
      </c>
      <c r="E162" t="inlineStr">
        <is>
          <t>n/a</t>
        </is>
      </c>
    </row>
    <row r="163">
      <c r="A163" t="inlineStr">
        <is>
          <t>196474610187</t>
        </is>
      </c>
      <c r="C163" t="inlineStr">
        <is>
          <t>196474610187</t>
        </is>
      </c>
      <c r="D163" t="inlineStr">
        <is>
          <t>adidas Vl Court 3.0 Womens Sneakers</t>
        </is>
      </c>
      <c r="E163" t="inlineStr">
        <is>
          <t>n/a</t>
        </is>
      </c>
    </row>
    <row r="164">
      <c r="A164" t="inlineStr">
        <is>
          <t>196474612648</t>
        </is>
      </c>
      <c r="C164" t="inlineStr">
        <is>
          <t>196474612648</t>
        </is>
      </c>
      <c r="D164" t="inlineStr">
        <is>
          <t>adidas Vl Court 3.0 Womens Sneakers</t>
        </is>
      </c>
      <c r="E164" t="inlineStr">
        <is>
          <t>n/a</t>
        </is>
      </c>
    </row>
    <row r="165">
      <c r="A165" t="inlineStr">
        <is>
          <t>196474612662</t>
        </is>
      </c>
      <c r="C165" t="inlineStr">
        <is>
          <t>196474612662</t>
        </is>
      </c>
      <c r="D165" t="inlineStr">
        <is>
          <t>adidas Vl Court 3.0 Womens Sneakers</t>
        </is>
      </c>
      <c r="E165" t="inlineStr">
        <is>
          <t>n/a</t>
        </is>
      </c>
    </row>
    <row r="166">
      <c r="A166" t="inlineStr">
        <is>
          <t>196474612631</t>
        </is>
      </c>
      <c r="C166" t="inlineStr">
        <is>
          <t>196474612631</t>
        </is>
      </c>
      <c r="D166" t="inlineStr">
        <is>
          <t>adidas Vl Court 3.0 Womens Sneakers</t>
        </is>
      </c>
      <c r="E166" t="inlineStr">
        <is>
          <t>n/a</t>
        </is>
      </c>
    </row>
    <row r="167">
      <c r="A167" t="inlineStr">
        <is>
          <t>196474610156</t>
        </is>
      </c>
      <c r="C167" t="inlineStr">
        <is>
          <t>196474610156</t>
        </is>
      </c>
      <c r="D167" t="inlineStr">
        <is>
          <t>adidas Vl Court 3.0 Womens Sneakers</t>
        </is>
      </c>
      <c r="E167" t="inlineStr">
        <is>
          <t>n/a</t>
        </is>
      </c>
    </row>
    <row r="168">
      <c r="A168" t="inlineStr">
        <is>
          <t>196474612655</t>
        </is>
      </c>
      <c r="C168" t="inlineStr">
        <is>
          <t>196474612655</t>
        </is>
      </c>
      <c r="D168" t="inlineStr">
        <is>
          <t>adidas Vl Court 3.0 Womens Sneakers</t>
        </is>
      </c>
      <c r="E168" t="inlineStr">
        <is>
          <t>n/a</t>
        </is>
      </c>
    </row>
    <row r="169">
      <c r="A169" t="inlineStr">
        <is>
          <t>196474610217</t>
        </is>
      </c>
      <c r="C169" t="inlineStr">
        <is>
          <t>196474610217</t>
        </is>
      </c>
      <c r="D169" t="inlineStr">
        <is>
          <t>adidas Vl Court 3.0 Womens Sneakers</t>
        </is>
      </c>
      <c r="E169" t="inlineStr">
        <is>
          <t>n/a</t>
        </is>
      </c>
    </row>
    <row r="170">
      <c r="A170" t="inlineStr">
        <is>
          <t>196474610170</t>
        </is>
      </c>
      <c r="C170" t="inlineStr">
        <is>
          <t>196474610170</t>
        </is>
      </c>
      <c r="D170" t="inlineStr">
        <is>
          <t>adidas Vl Court 3.0 Womens Sneakers</t>
        </is>
      </c>
      <c r="E170" t="inlineStr">
        <is>
          <t>n/a</t>
        </is>
      </c>
    </row>
    <row r="171">
      <c r="A171" t="inlineStr">
        <is>
          <t>196474610194</t>
        </is>
      </c>
      <c r="C171" t="inlineStr">
        <is>
          <t>196474610194</t>
        </is>
      </c>
      <c r="D171" t="inlineStr">
        <is>
          <t>adidas Vl Court 3.0 Womens Sneakers</t>
        </is>
      </c>
      <c r="E171" t="inlineStr">
        <is>
          <t>n/a</t>
        </is>
      </c>
    </row>
    <row r="172">
      <c r="A172" t="inlineStr">
        <is>
          <t>196474612686</t>
        </is>
      </c>
      <c r="C172" t="inlineStr">
        <is>
          <t>196474612686</t>
        </is>
      </c>
      <c r="D172" t="inlineStr">
        <is>
          <t>adidas Vl Court 3.0 Womens Sneakers</t>
        </is>
      </c>
      <c r="E172" t="inlineStr">
        <is>
          <t>n/a</t>
        </is>
      </c>
    </row>
    <row r="173">
      <c r="A173" t="inlineStr">
        <is>
          <t>196474612679</t>
        </is>
      </c>
      <c r="C173" t="inlineStr">
        <is>
          <t>196474612679</t>
        </is>
      </c>
      <c r="D173" t="inlineStr">
        <is>
          <t>adidas Vl Court 3.0 Womens Sneakers</t>
        </is>
      </c>
      <c r="E173" t="inlineStr">
        <is>
          <t>n/a</t>
        </is>
      </c>
    </row>
    <row r="174">
      <c r="A174" t="inlineStr">
        <is>
          <t>196474610002</t>
        </is>
      </c>
      <c r="C174" t="inlineStr">
        <is>
          <t>196474610002</t>
        </is>
      </c>
      <c r="D174" t="inlineStr">
        <is>
          <t>adidas Vl Court 3.0 Womens Sneakers</t>
        </is>
      </c>
      <c r="E174" t="inlineStr">
        <is>
          <t>n/a</t>
        </is>
      </c>
    </row>
    <row r="175">
      <c r="A175" t="inlineStr">
        <is>
          <t>196474607514</t>
        </is>
      </c>
      <c r="C175" t="inlineStr">
        <is>
          <t>196474607514</t>
        </is>
      </c>
      <c r="D175" t="inlineStr">
        <is>
          <t>adidas Vl Court 3.0 Womens Sneakers</t>
        </is>
      </c>
      <c r="E175" t="inlineStr">
        <is>
          <t>n/a</t>
        </is>
      </c>
    </row>
    <row r="176">
      <c r="A176" t="inlineStr">
        <is>
          <t>196474607538</t>
        </is>
      </c>
      <c r="C176" t="inlineStr">
        <is>
          <t>196474607538</t>
        </is>
      </c>
      <c r="D176" t="inlineStr">
        <is>
          <t>adidas Vl Court 3.0 Womens Sneakers</t>
        </is>
      </c>
      <c r="E176" t="inlineStr">
        <is>
          <t>n/a</t>
        </is>
      </c>
    </row>
    <row r="177">
      <c r="A177" t="inlineStr">
        <is>
          <t>196474609983</t>
        </is>
      </c>
      <c r="C177" t="inlineStr">
        <is>
          <t>196474609983</t>
        </is>
      </c>
      <c r="D177" t="inlineStr">
        <is>
          <t>adidas Vl Court 3.0 Womens Sneakers</t>
        </is>
      </c>
      <c r="E177" t="inlineStr">
        <is>
          <t>n/a</t>
        </is>
      </c>
    </row>
    <row r="178">
      <c r="A178" t="inlineStr">
        <is>
          <t>196474607569</t>
        </is>
      </c>
      <c r="C178" t="inlineStr">
        <is>
          <t>196474607569</t>
        </is>
      </c>
      <c r="D178" t="inlineStr">
        <is>
          <t>adidas Vl Court 3.0 Womens Sneakers</t>
        </is>
      </c>
      <c r="E178" t="inlineStr">
        <is>
          <t>n/a</t>
        </is>
      </c>
    </row>
    <row r="179">
      <c r="A179" t="inlineStr">
        <is>
          <t>196474609990</t>
        </is>
      </c>
      <c r="C179" t="inlineStr">
        <is>
          <t>196474609990</t>
        </is>
      </c>
      <c r="D179" t="inlineStr">
        <is>
          <t>adidas Vl Court 3.0 Womens Sneakers</t>
        </is>
      </c>
      <c r="E179" t="inlineStr">
        <is>
          <t>n/a</t>
        </is>
      </c>
    </row>
    <row r="180">
      <c r="A180" t="inlineStr">
        <is>
          <t>196474607552</t>
        </is>
      </c>
      <c r="C180" t="inlineStr">
        <is>
          <t>196474607552</t>
        </is>
      </c>
      <c r="D180" t="inlineStr">
        <is>
          <t>adidas Vl Court 3.0 Womens Sneakers</t>
        </is>
      </c>
      <c r="E180" t="inlineStr">
        <is>
          <t>n/a</t>
        </is>
      </c>
    </row>
    <row r="181">
      <c r="A181" t="inlineStr">
        <is>
          <t>196474607491</t>
        </is>
      </c>
      <c r="C181" t="inlineStr">
        <is>
          <t>196474607491</t>
        </is>
      </c>
      <c r="D181" t="inlineStr">
        <is>
          <t>adidas Vl Court 3.0 Womens Sneakers</t>
        </is>
      </c>
      <c r="E181" t="inlineStr">
        <is>
          <t>n/a</t>
        </is>
      </c>
    </row>
    <row r="182">
      <c r="A182" t="inlineStr">
        <is>
          <t>196474607484</t>
        </is>
      </c>
      <c r="C182" t="inlineStr">
        <is>
          <t>196474607484</t>
        </is>
      </c>
      <c r="D182" t="inlineStr">
        <is>
          <t>adidas Vl Court 3.0 Womens Sneakers</t>
        </is>
      </c>
      <c r="E182" t="inlineStr">
        <is>
          <t>n/a</t>
        </is>
      </c>
    </row>
    <row r="183">
      <c r="A183" t="inlineStr">
        <is>
          <t>196474610019</t>
        </is>
      </c>
      <c r="C183" t="inlineStr">
        <is>
          <t>196474610019</t>
        </is>
      </c>
      <c r="D183" t="inlineStr">
        <is>
          <t>adidas Vl Court 3.0 Womens Sneakers</t>
        </is>
      </c>
      <c r="E183" t="inlineStr">
        <is>
          <t>n/a</t>
        </is>
      </c>
    </row>
    <row r="184">
      <c r="A184" t="inlineStr">
        <is>
          <t>196474607521</t>
        </is>
      </c>
      <c r="C184" t="inlineStr">
        <is>
          <t>196474607521</t>
        </is>
      </c>
      <c r="D184" t="inlineStr">
        <is>
          <t>adidas Vl Court 3.0 Womens Sneakers</t>
        </is>
      </c>
      <c r="E184" t="inlineStr">
        <is>
          <t>n/a</t>
        </is>
      </c>
    </row>
    <row r="185">
      <c r="A185" t="inlineStr">
        <is>
          <t>196474607507</t>
        </is>
      </c>
      <c r="C185" t="inlineStr">
        <is>
          <t>196474607507</t>
        </is>
      </c>
      <c r="D185" t="inlineStr">
        <is>
          <t>adidas Vl Court 3.0 Womens Sneakers</t>
        </is>
      </c>
      <c r="E185" t="inlineStr">
        <is>
          <t>n/a</t>
        </is>
      </c>
    </row>
    <row r="186">
      <c r="A186" t="inlineStr">
        <is>
          <t>196478214251</t>
        </is>
      </c>
      <c r="C186" t="inlineStr">
        <is>
          <t>196478214251</t>
        </is>
      </c>
      <c r="D186" t="inlineStr">
        <is>
          <t>adidas Vl Court 3.0 Womens Sneakers</t>
        </is>
      </c>
      <c r="E186" t="inlineStr">
        <is>
          <t>n/a</t>
        </is>
      </c>
    </row>
    <row r="187">
      <c r="A187" t="inlineStr">
        <is>
          <t>196478214275</t>
        </is>
      </c>
      <c r="C187" t="inlineStr">
        <is>
          <t>196478214275</t>
        </is>
      </c>
      <c r="D187" t="inlineStr">
        <is>
          <t>adidas Vl Court 3.0 Womens Sneakers</t>
        </is>
      </c>
      <c r="E187" t="inlineStr">
        <is>
          <t>n/a</t>
        </is>
      </c>
    </row>
    <row r="188">
      <c r="A188" t="inlineStr">
        <is>
          <t>196478214206</t>
        </is>
      </c>
      <c r="C188" t="inlineStr">
        <is>
          <t>196478214206</t>
        </is>
      </c>
      <c r="D188" t="inlineStr">
        <is>
          <t>adidas Vl Court 3.0 Womens Sneakers</t>
        </is>
      </c>
      <c r="E188" t="inlineStr">
        <is>
          <t>n/a</t>
        </is>
      </c>
    </row>
    <row r="189">
      <c r="A189" t="inlineStr">
        <is>
          <t>196478214213</t>
        </is>
      </c>
      <c r="C189" t="inlineStr">
        <is>
          <t>196478214213</t>
        </is>
      </c>
      <c r="D189" t="inlineStr">
        <is>
          <t>adidas Vl Court 3.0 Womens Sneakers</t>
        </is>
      </c>
      <c r="E189" t="inlineStr">
        <is>
          <t>n/a</t>
        </is>
      </c>
    </row>
    <row r="190">
      <c r="A190" t="inlineStr">
        <is>
          <t>196478214244</t>
        </is>
      </c>
      <c r="C190" t="inlineStr">
        <is>
          <t>196478214244</t>
        </is>
      </c>
      <c r="D190" t="inlineStr">
        <is>
          <t>adidas Vl Court 3.0 Womens Sneakers</t>
        </is>
      </c>
      <c r="E190" t="inlineStr">
        <is>
          <t>n/a</t>
        </is>
      </c>
    </row>
    <row r="191">
      <c r="A191" t="inlineStr">
        <is>
          <t>196478214237</t>
        </is>
      </c>
      <c r="C191" t="inlineStr">
        <is>
          <t>196478214237</t>
        </is>
      </c>
      <c r="D191" t="inlineStr">
        <is>
          <t>adidas Vl Court 3.0 Womens Sneakers</t>
        </is>
      </c>
      <c r="E191" t="inlineStr">
        <is>
          <t>n/a</t>
        </is>
      </c>
    </row>
    <row r="192">
      <c r="A192" t="inlineStr">
        <is>
          <t>196478214190</t>
        </is>
      </c>
      <c r="C192" t="inlineStr">
        <is>
          <t>196478214190</t>
        </is>
      </c>
      <c r="D192" t="inlineStr">
        <is>
          <t>adidas Vl Court 3.0 Womens Sneakers</t>
        </is>
      </c>
      <c r="E192" t="inlineStr">
        <is>
          <t>n/a</t>
        </is>
      </c>
    </row>
    <row r="193">
      <c r="A193" t="inlineStr">
        <is>
          <t>196478214220</t>
        </is>
      </c>
      <c r="C193" t="inlineStr">
        <is>
          <t>196478214220</t>
        </is>
      </c>
      <c r="D193" t="inlineStr">
        <is>
          <t>adidas Vl Court 3.0 Womens Sneakers</t>
        </is>
      </c>
      <c r="E193" t="inlineStr">
        <is>
          <t>n/a</t>
        </is>
      </c>
    </row>
    <row r="194">
      <c r="A194" t="inlineStr">
        <is>
          <t>196478214183</t>
        </is>
      </c>
      <c r="C194" t="inlineStr">
        <is>
          <t>196478214183</t>
        </is>
      </c>
      <c r="D194" t="inlineStr">
        <is>
          <t>adidas Vl Court 3.0 Womens Sneakers</t>
        </is>
      </c>
      <c r="E194" t="inlineStr">
        <is>
          <t>n/a</t>
        </is>
      </c>
    </row>
    <row r="195">
      <c r="A195" t="inlineStr">
        <is>
          <t>196478214169</t>
        </is>
      </c>
      <c r="C195" t="inlineStr">
        <is>
          <t>196478214169</t>
        </is>
      </c>
      <c r="D195" t="inlineStr">
        <is>
          <t>adidas Vl Court 3.0 Womens Sneakers</t>
        </is>
      </c>
      <c r="E195" t="inlineStr">
        <is>
          <t>n/a</t>
        </is>
      </c>
    </row>
    <row r="196">
      <c r="A196" t="inlineStr">
        <is>
          <t>196478214268</t>
        </is>
      </c>
      <c r="C196" t="inlineStr">
        <is>
          <t>196478214268</t>
        </is>
      </c>
      <c r="D196" t="inlineStr">
        <is>
          <t>adidas Vl Court 3.0 Womens Sneakers</t>
        </is>
      </c>
      <c r="E196" t="inlineStr">
        <is>
          <t>n/a</t>
        </is>
      </c>
    </row>
    <row r="197">
      <c r="A197" t="inlineStr">
        <is>
          <t>196478214176</t>
        </is>
      </c>
      <c r="C197" t="inlineStr">
        <is>
          <t>196478214176</t>
        </is>
      </c>
      <c r="D197" t="inlineStr">
        <is>
          <t>adidas Vl Court 3.0 Womens Sneakers</t>
        </is>
      </c>
      <c r="E197" t="inlineStr">
        <is>
          <t>n/a</t>
        </is>
      </c>
    </row>
    <row r="198">
      <c r="A198" t="inlineStr">
        <is>
          <t>197609802439</t>
        </is>
      </c>
      <c r="C198" t="inlineStr">
        <is>
          <t>197609802439</t>
        </is>
      </c>
      <c r="D198" t="inlineStr">
        <is>
          <t>adidas Vl Court 3.0 Womens Sneakers</t>
        </is>
      </c>
      <c r="E198" t="inlineStr">
        <is>
          <t>n/a</t>
        </is>
      </c>
    </row>
    <row r="199">
      <c r="A199" t="inlineStr">
        <is>
          <t>197609802347</t>
        </is>
      </c>
      <c r="C199" t="inlineStr">
        <is>
          <t>197609802347</t>
        </is>
      </c>
      <c r="D199" t="inlineStr">
        <is>
          <t>adidas Vl Court 3.0 Womens Sneakers</t>
        </is>
      </c>
      <c r="E199" t="inlineStr">
        <is>
          <t>n/a</t>
        </is>
      </c>
    </row>
    <row r="200">
      <c r="A200" t="inlineStr">
        <is>
          <t>197609802422</t>
        </is>
      </c>
      <c r="C200" t="inlineStr">
        <is>
          <t>197609802422</t>
        </is>
      </c>
      <c r="D200" t="inlineStr">
        <is>
          <t>adidas Vl Court 3.0 Womens Sneakers</t>
        </is>
      </c>
      <c r="E200" t="inlineStr">
        <is>
          <t>n/a</t>
        </is>
      </c>
    </row>
    <row r="201">
      <c r="A201" t="inlineStr">
        <is>
          <t>197609802453</t>
        </is>
      </c>
      <c r="C201" t="inlineStr">
        <is>
          <t>197609802453</t>
        </is>
      </c>
      <c r="D201" t="inlineStr">
        <is>
          <t>adidas Vl Court 3.0 Womens Sneakers</t>
        </is>
      </c>
      <c r="E201" t="inlineStr">
        <is>
          <t>n/a</t>
        </is>
      </c>
    </row>
    <row r="202">
      <c r="A202" t="inlineStr">
        <is>
          <t>197609802361</t>
        </is>
      </c>
      <c r="C202" t="inlineStr">
        <is>
          <t>197609802361</t>
        </is>
      </c>
      <c r="D202" t="inlineStr">
        <is>
          <t>adidas Vl Court 3.0 Womens Sneakers</t>
        </is>
      </c>
      <c r="E202" t="inlineStr">
        <is>
          <t>n/a</t>
        </is>
      </c>
    </row>
    <row r="203">
      <c r="A203" t="inlineStr">
        <is>
          <t>197609802415</t>
        </is>
      </c>
      <c r="C203" t="inlineStr">
        <is>
          <t>197609802415</t>
        </is>
      </c>
      <c r="D203" t="inlineStr">
        <is>
          <t>adidas Vl Court 3.0 Womens Sneakers</t>
        </is>
      </c>
      <c r="E203" t="inlineStr">
        <is>
          <t>n/a</t>
        </is>
      </c>
    </row>
    <row r="204">
      <c r="A204" t="inlineStr">
        <is>
          <t>197609802385</t>
        </is>
      </c>
      <c r="C204" t="inlineStr">
        <is>
          <t>197609802385</t>
        </is>
      </c>
      <c r="D204" t="inlineStr">
        <is>
          <t>adidas Vl Court 3.0 Womens Sneakers</t>
        </is>
      </c>
      <c r="E204" t="inlineStr">
        <is>
          <t>n/a</t>
        </is>
      </c>
    </row>
    <row r="205">
      <c r="A205" t="inlineStr">
        <is>
          <t>197609802446</t>
        </is>
      </c>
      <c r="C205" t="inlineStr">
        <is>
          <t>197609802446</t>
        </is>
      </c>
      <c r="D205" t="inlineStr">
        <is>
          <t>adidas Vl Court 3.0 Womens Sneakers</t>
        </is>
      </c>
      <c r="E205" t="inlineStr">
        <is>
          <t>n/a</t>
        </is>
      </c>
    </row>
    <row r="206">
      <c r="A206" t="inlineStr">
        <is>
          <t>197609802460</t>
        </is>
      </c>
      <c r="C206" t="inlineStr">
        <is>
          <t>197609802460</t>
        </is>
      </c>
      <c r="D206" t="inlineStr">
        <is>
          <t>adidas Vl Court 3.0 Womens Sneakers</t>
        </is>
      </c>
      <c r="E206" t="inlineStr">
        <is>
          <t>n/a</t>
        </is>
      </c>
    </row>
    <row r="207">
      <c r="A207" t="inlineStr">
        <is>
          <t>197609802378</t>
        </is>
      </c>
      <c r="C207" t="inlineStr">
        <is>
          <t>197609802378</t>
        </is>
      </c>
      <c r="D207" t="inlineStr">
        <is>
          <t>adidas Vl Court 3.0 Womens Sneakers</t>
        </is>
      </c>
      <c r="E207" t="inlineStr">
        <is>
          <t>n/a</t>
        </is>
      </c>
    </row>
    <row r="208">
      <c r="A208" t="inlineStr">
        <is>
          <t>197609802392</t>
        </is>
      </c>
      <c r="C208" t="inlineStr">
        <is>
          <t>197609802392</t>
        </is>
      </c>
      <c r="D208" t="inlineStr">
        <is>
          <t>adidas Vl Court 3.0 Womens Sneakers</t>
        </is>
      </c>
      <c r="E208" t="inlineStr">
        <is>
          <t>n/a</t>
        </is>
      </c>
    </row>
    <row r="209">
      <c r="A209" t="inlineStr">
        <is>
          <t>197609802408</t>
        </is>
      </c>
      <c r="C209" t="inlineStr">
        <is>
          <t>197609802408</t>
        </is>
      </c>
      <c r="D209" t="inlineStr">
        <is>
          <t>adidas Vl Court 3.0 Womens Sneakers</t>
        </is>
      </c>
      <c r="E209" t="inlineStr">
        <is>
          <t>n/a</t>
        </is>
      </c>
    </row>
    <row r="210">
      <c r="A210" t="inlineStr">
        <is>
          <t>197672107226</t>
        </is>
      </c>
      <c r="B210" t="n">
        <v>71.25</v>
      </c>
      <c r="C210" t="inlineStr">
        <is>
          <t>197672107226</t>
        </is>
      </c>
      <c r="D210" t="inlineStr">
        <is>
          <t>PUMA Carina Street Womens Sneakers</t>
        </is>
      </c>
      <c r="E210" t="inlineStr">
        <is>
          <t>n/a</t>
        </is>
      </c>
    </row>
    <row r="211">
      <c r="A211" t="inlineStr">
        <is>
          <t>197672107288</t>
        </is>
      </c>
      <c r="B211" t="n">
        <v>71.25</v>
      </c>
      <c r="C211" t="inlineStr">
        <is>
          <t>197672107288</t>
        </is>
      </c>
      <c r="D211" t="inlineStr">
        <is>
          <t>PUMA Carina Street Womens Sneakers</t>
        </is>
      </c>
      <c r="E211" t="inlineStr">
        <is>
          <t>n/a</t>
        </is>
      </c>
    </row>
    <row r="212">
      <c r="A212" t="inlineStr">
        <is>
          <t>197672107233</t>
        </is>
      </c>
      <c r="B212" t="n">
        <v>71.25</v>
      </c>
      <c r="C212" t="inlineStr">
        <is>
          <t>197672107233</t>
        </is>
      </c>
      <c r="D212" t="inlineStr">
        <is>
          <t>PUMA Carina Street Womens Sneakers</t>
        </is>
      </c>
      <c r="E212" t="inlineStr">
        <is>
          <t>n/a</t>
        </is>
      </c>
    </row>
    <row r="213">
      <c r="A213" t="inlineStr">
        <is>
          <t>197672107295</t>
        </is>
      </c>
      <c r="B213" t="n">
        <v>71.25</v>
      </c>
      <c r="C213" t="inlineStr">
        <is>
          <t>197672107295</t>
        </is>
      </c>
      <c r="D213" t="inlineStr">
        <is>
          <t>PUMA Carina Street Womens Sneakers</t>
        </is>
      </c>
      <c r="E213" t="inlineStr">
        <is>
          <t>n/a</t>
        </is>
      </c>
    </row>
    <row r="214">
      <c r="A214" t="inlineStr">
        <is>
          <t>197672107240</t>
        </is>
      </c>
      <c r="B214" t="n">
        <v>71.25</v>
      </c>
      <c r="C214" t="inlineStr">
        <is>
          <t>197672107240</t>
        </is>
      </c>
      <c r="D214" t="inlineStr">
        <is>
          <t>PUMA Carina Street Womens Sneakers</t>
        </is>
      </c>
      <c r="E214" t="inlineStr">
        <is>
          <t>n/a</t>
        </is>
      </c>
    </row>
    <row r="215">
      <c r="A215" t="inlineStr">
        <is>
          <t>197672107301</t>
        </is>
      </c>
      <c r="B215" t="n">
        <v>71.25</v>
      </c>
      <c r="C215" t="inlineStr">
        <is>
          <t>197672107301</t>
        </is>
      </c>
      <c r="D215" t="inlineStr">
        <is>
          <t>PUMA Carina Street Womens Sneakers</t>
        </is>
      </c>
      <c r="E215" t="inlineStr">
        <is>
          <t>n/a</t>
        </is>
      </c>
    </row>
    <row r="216">
      <c r="A216" t="inlineStr">
        <is>
          <t>197672107257</t>
        </is>
      </c>
      <c r="B216" t="n">
        <v>71.25</v>
      </c>
      <c r="C216" t="inlineStr">
        <is>
          <t>197672107257</t>
        </is>
      </c>
      <c r="D216" t="inlineStr">
        <is>
          <t>PUMA Carina Street Womens Sneakers</t>
        </is>
      </c>
      <c r="E216" t="inlineStr">
        <is>
          <t>n/a</t>
        </is>
      </c>
    </row>
    <row r="217">
      <c r="A217" t="inlineStr">
        <is>
          <t>197672107318</t>
        </is>
      </c>
      <c r="B217" t="n">
        <v>71.25</v>
      </c>
      <c r="C217" t="inlineStr">
        <is>
          <t>197672107318</t>
        </is>
      </c>
      <c r="D217" t="inlineStr">
        <is>
          <t>PUMA Carina Street Womens Sneakers</t>
        </is>
      </c>
      <c r="E217" t="inlineStr">
        <is>
          <t>n/a</t>
        </is>
      </c>
    </row>
    <row r="218">
      <c r="A218" t="inlineStr">
        <is>
          <t>197672107264</t>
        </is>
      </c>
      <c r="B218" t="n">
        <v>71.25</v>
      </c>
      <c r="C218" t="inlineStr">
        <is>
          <t>197672107264</t>
        </is>
      </c>
      <c r="D218" t="inlineStr">
        <is>
          <t>PUMA Carina Street Womens Sneakers</t>
        </is>
      </c>
      <c r="E218" t="inlineStr">
        <is>
          <t>n/a</t>
        </is>
      </c>
    </row>
    <row r="219">
      <c r="A219" t="inlineStr">
        <is>
          <t>197672107325</t>
        </is>
      </c>
      <c r="B219" t="n">
        <v>71.25</v>
      </c>
      <c r="C219" t="inlineStr">
        <is>
          <t>197672107325</t>
        </is>
      </c>
      <c r="D219" t="inlineStr">
        <is>
          <t>PUMA Carina Street Womens Sneakers</t>
        </is>
      </c>
      <c r="E219" t="inlineStr">
        <is>
          <t>n/a</t>
        </is>
      </c>
    </row>
    <row r="220">
      <c r="A220" t="inlineStr">
        <is>
          <t>197672107332</t>
        </is>
      </c>
      <c r="B220" t="n">
        <v>71.25</v>
      </c>
      <c r="C220" t="inlineStr">
        <is>
          <t>197672107332</t>
        </is>
      </c>
      <c r="D220" t="inlineStr">
        <is>
          <t>PUMA Carina Street Womens Sneakers</t>
        </is>
      </c>
      <c r="E220" t="inlineStr">
        <is>
          <t>n/a</t>
        </is>
      </c>
    </row>
    <row r="221">
      <c r="A221" t="inlineStr">
        <is>
          <t>197672544984</t>
        </is>
      </c>
      <c r="B221" t="n">
        <v>66.5</v>
      </c>
      <c r="C221" t="inlineStr">
        <is>
          <t>197672544984</t>
        </is>
      </c>
      <c r="D221" t="inlineStr">
        <is>
          <t>New!PUMA Club Ii Era Metallic Womens Sneakers</t>
        </is>
      </c>
      <c r="E221" t="inlineStr">
        <is>
          <t>n/a</t>
        </is>
      </c>
    </row>
    <row r="222">
      <c r="A222" t="inlineStr">
        <is>
          <t>197672545042</t>
        </is>
      </c>
      <c r="B222" t="n">
        <v>66.5</v>
      </c>
      <c r="C222" t="inlineStr">
        <is>
          <t>197672545042</t>
        </is>
      </c>
      <c r="D222" t="inlineStr">
        <is>
          <t>New!PUMA Club Ii Era Metallic Womens Sneakers</t>
        </is>
      </c>
      <c r="E222" t="inlineStr">
        <is>
          <t>n/a</t>
        </is>
      </c>
    </row>
    <row r="223">
      <c r="A223" t="inlineStr">
        <is>
          <t>197672544991</t>
        </is>
      </c>
      <c r="B223" t="n">
        <v>66.5</v>
      </c>
      <c r="C223" t="inlineStr">
        <is>
          <t>197672544991</t>
        </is>
      </c>
      <c r="D223" t="inlineStr">
        <is>
          <t>New!PUMA Club Ii Era Metallic Womens Sneakers</t>
        </is>
      </c>
      <c r="E223" t="inlineStr">
        <is>
          <t>n/a</t>
        </is>
      </c>
    </row>
    <row r="224">
      <c r="A224" t="inlineStr">
        <is>
          <t>197672545059</t>
        </is>
      </c>
      <c r="B224" t="n">
        <v>66.5</v>
      </c>
      <c r="C224" t="inlineStr">
        <is>
          <t>197672545059</t>
        </is>
      </c>
      <c r="D224" t="inlineStr">
        <is>
          <t>New!PUMA Club Ii Era Metallic Womens Sneakers</t>
        </is>
      </c>
      <c r="E224" t="inlineStr">
        <is>
          <t>n/a</t>
        </is>
      </c>
    </row>
    <row r="225">
      <c r="A225" t="inlineStr">
        <is>
          <t>197672545004</t>
        </is>
      </c>
      <c r="B225" t="n">
        <v>66.5</v>
      </c>
      <c r="C225" t="inlineStr">
        <is>
          <t>197672545004</t>
        </is>
      </c>
      <c r="D225" t="inlineStr">
        <is>
          <t>New!PUMA Club Ii Era Metallic Womens Sneakers</t>
        </is>
      </c>
      <c r="E225" t="inlineStr">
        <is>
          <t>n/a</t>
        </is>
      </c>
    </row>
    <row r="226">
      <c r="A226" t="inlineStr">
        <is>
          <t>197672545066</t>
        </is>
      </c>
      <c r="B226" t="n">
        <v>66.5</v>
      </c>
      <c r="C226" t="inlineStr">
        <is>
          <t>197672545066</t>
        </is>
      </c>
      <c r="D226" t="inlineStr">
        <is>
          <t>New!PUMA Club Ii Era Metallic Womens Sneakers</t>
        </is>
      </c>
      <c r="E226" t="inlineStr">
        <is>
          <t>n/a</t>
        </is>
      </c>
    </row>
    <row r="227">
      <c r="A227" t="inlineStr">
        <is>
          <t>197672545011</t>
        </is>
      </c>
      <c r="B227" t="n">
        <v>66.5</v>
      </c>
      <c r="C227" t="inlineStr">
        <is>
          <t>197672545011</t>
        </is>
      </c>
      <c r="D227" t="inlineStr">
        <is>
          <t>New!PUMA Club Ii Era Metallic Womens Sneakers</t>
        </is>
      </c>
      <c r="E227" t="inlineStr">
        <is>
          <t>n/a</t>
        </is>
      </c>
    </row>
    <row r="228">
      <c r="A228" t="inlineStr">
        <is>
          <t>197672545073</t>
        </is>
      </c>
      <c r="B228" t="n">
        <v>66.5</v>
      </c>
      <c r="C228" t="inlineStr">
        <is>
          <t>197672545073</t>
        </is>
      </c>
      <c r="D228" t="inlineStr">
        <is>
          <t>New!PUMA Club Ii Era Metallic Womens Sneakers</t>
        </is>
      </c>
      <c r="E228" t="inlineStr">
        <is>
          <t>n/a</t>
        </is>
      </c>
    </row>
    <row r="229">
      <c r="A229" t="inlineStr">
        <is>
          <t>197672545028</t>
        </is>
      </c>
      <c r="B229" t="n">
        <v>66.5</v>
      </c>
      <c r="C229" t="inlineStr">
        <is>
          <t>197672545028</t>
        </is>
      </c>
      <c r="D229" t="inlineStr">
        <is>
          <t>New!PUMA Club Ii Era Metallic Womens Sneakers</t>
        </is>
      </c>
      <c r="E229" t="inlineStr">
        <is>
          <t>n/a</t>
        </is>
      </c>
    </row>
    <row r="230">
      <c r="A230" t="inlineStr">
        <is>
          <t>197672545080</t>
        </is>
      </c>
      <c r="B230" t="n">
        <v>66.5</v>
      </c>
      <c r="C230" t="inlineStr">
        <is>
          <t>197672545080</t>
        </is>
      </c>
      <c r="D230" t="inlineStr">
        <is>
          <t>New!PUMA Club Ii Era Metallic Womens Sneakers</t>
        </is>
      </c>
      <c r="E230" t="inlineStr">
        <is>
          <t>n/a</t>
        </is>
      </c>
    </row>
    <row r="231">
      <c r="A231" t="inlineStr">
        <is>
          <t>197672545097</t>
        </is>
      </c>
      <c r="B231" t="n">
        <v>66.5</v>
      </c>
      <c r="C231" t="inlineStr">
        <is>
          <t>197672545097</t>
        </is>
      </c>
      <c r="D231" t="inlineStr">
        <is>
          <t>New!PUMA Club Ii Era Metallic Womens Sneakers</t>
        </is>
      </c>
      <c r="E231" t="inlineStr">
        <is>
          <t>n/a</t>
        </is>
      </c>
    </row>
    <row r="232">
      <c r="A232" t="inlineStr">
        <is>
          <t>197672050935</t>
        </is>
      </c>
      <c r="B232" t="n">
        <v>66.5</v>
      </c>
      <c r="C232" t="inlineStr">
        <is>
          <t>197672050935</t>
        </is>
      </c>
      <c r="D232" t="inlineStr">
        <is>
          <t>PUMA Rebound Layup Sl Womens Basketball Shoes</t>
        </is>
      </c>
      <c r="E232" t="inlineStr">
        <is>
          <t>n/a</t>
        </is>
      </c>
    </row>
    <row r="233">
      <c r="A233" t="inlineStr">
        <is>
          <t>197672050997</t>
        </is>
      </c>
      <c r="B233" t="n">
        <v>66.5</v>
      </c>
      <c r="C233" t="inlineStr">
        <is>
          <t>197672050997</t>
        </is>
      </c>
      <c r="D233" t="inlineStr">
        <is>
          <t>PUMA Rebound Layup Sl Womens Basketball Shoes</t>
        </is>
      </c>
      <c r="E233" t="inlineStr">
        <is>
          <t>n/a</t>
        </is>
      </c>
    </row>
    <row r="234">
      <c r="A234" t="inlineStr">
        <is>
          <t>197672050942</t>
        </is>
      </c>
      <c r="B234" t="n">
        <v>66.5</v>
      </c>
      <c r="C234" t="inlineStr">
        <is>
          <t>197672050942</t>
        </is>
      </c>
      <c r="D234" t="inlineStr">
        <is>
          <t>PUMA Rebound Layup Sl Womens Basketball Shoes</t>
        </is>
      </c>
      <c r="E234" t="inlineStr">
        <is>
          <t>n/a</t>
        </is>
      </c>
    </row>
    <row r="235">
      <c r="A235" t="inlineStr">
        <is>
          <t>197672051000</t>
        </is>
      </c>
      <c r="B235" t="n">
        <v>66.5</v>
      </c>
      <c r="C235" t="inlineStr">
        <is>
          <t>197672051000</t>
        </is>
      </c>
      <c r="D235" t="inlineStr">
        <is>
          <t>PUMA Rebound Layup Sl Womens Basketball Shoes</t>
        </is>
      </c>
      <c r="E235" t="inlineStr">
        <is>
          <t>n/a</t>
        </is>
      </c>
    </row>
    <row r="236">
      <c r="A236" t="inlineStr">
        <is>
          <t>197672050959</t>
        </is>
      </c>
      <c r="B236" t="n">
        <v>66.5</v>
      </c>
      <c r="C236" t="inlineStr">
        <is>
          <t>197672050959</t>
        </is>
      </c>
      <c r="D236" t="inlineStr">
        <is>
          <t>PUMA Rebound Layup Sl Womens Basketball Shoes</t>
        </is>
      </c>
      <c r="E236" t="inlineStr">
        <is>
          <t>n/a</t>
        </is>
      </c>
    </row>
    <row r="237">
      <c r="A237" t="inlineStr">
        <is>
          <t>197672051017</t>
        </is>
      </c>
      <c r="B237" t="n">
        <v>66.5</v>
      </c>
      <c r="C237" t="inlineStr">
        <is>
          <t>197672051017</t>
        </is>
      </c>
      <c r="D237" t="inlineStr">
        <is>
          <t>PUMA Rebound Layup Sl Womens Basketball Shoes</t>
        </is>
      </c>
      <c r="E237" t="inlineStr">
        <is>
          <t>n/a</t>
        </is>
      </c>
    </row>
    <row r="238">
      <c r="A238" t="inlineStr">
        <is>
          <t>197672050966</t>
        </is>
      </c>
      <c r="B238" t="n">
        <v>66.5</v>
      </c>
      <c r="C238" t="inlineStr">
        <is>
          <t>197672050966</t>
        </is>
      </c>
      <c r="D238" t="inlineStr">
        <is>
          <t>PUMA Rebound Layup Sl Womens Basketball Shoes</t>
        </is>
      </c>
      <c r="E238" t="inlineStr">
        <is>
          <t>n/a</t>
        </is>
      </c>
    </row>
    <row r="239">
      <c r="A239" t="inlineStr">
        <is>
          <t>197672051024</t>
        </is>
      </c>
      <c r="B239" t="n">
        <v>66.5</v>
      </c>
      <c r="C239" t="inlineStr">
        <is>
          <t>197672051024</t>
        </is>
      </c>
      <c r="D239" t="inlineStr">
        <is>
          <t>PUMA Rebound Layup Sl Womens Basketball Shoes</t>
        </is>
      </c>
      <c r="E239" t="inlineStr">
        <is>
          <t>n/a</t>
        </is>
      </c>
    </row>
    <row r="240">
      <c r="A240" t="inlineStr">
        <is>
          <t>197672050973</t>
        </is>
      </c>
      <c r="B240" t="n">
        <v>66.5</v>
      </c>
      <c r="C240" t="inlineStr">
        <is>
          <t>197672050973</t>
        </is>
      </c>
      <c r="D240" t="inlineStr">
        <is>
          <t>PUMA Rebound Layup Sl Womens Basketball Shoes</t>
        </is>
      </c>
      <c r="E240" t="inlineStr">
        <is>
          <t>n/a</t>
        </is>
      </c>
    </row>
    <row r="241">
      <c r="A241" t="inlineStr">
        <is>
          <t>197672051031</t>
        </is>
      </c>
      <c r="B241" t="n">
        <v>66.5</v>
      </c>
      <c r="C241" t="inlineStr">
        <is>
          <t>197672051031</t>
        </is>
      </c>
      <c r="D241" t="inlineStr">
        <is>
          <t>PUMA Rebound Layup Sl Womens Basketball Shoes</t>
        </is>
      </c>
      <c r="E241" t="inlineStr">
        <is>
          <t>n/a</t>
        </is>
      </c>
    </row>
    <row r="242">
      <c r="A242" t="inlineStr">
        <is>
          <t>197672050980</t>
        </is>
      </c>
      <c r="B242" t="n">
        <v>66.5</v>
      </c>
      <c r="C242" t="inlineStr">
        <is>
          <t>197672050980</t>
        </is>
      </c>
      <c r="D242" t="inlineStr">
        <is>
          <t>PUMA Rebound Layup Sl Womens Basketball Shoes</t>
        </is>
      </c>
      <c r="E242" t="inlineStr">
        <is>
          <t>n/a</t>
        </is>
      </c>
    </row>
    <row r="243">
      <c r="A243" t="inlineStr">
        <is>
          <t>197672051048</t>
        </is>
      </c>
      <c r="B243" t="n">
        <v>66.5</v>
      </c>
      <c r="C243" t="inlineStr">
        <is>
          <t>197672051048</t>
        </is>
      </c>
      <c r="D243" t="inlineStr">
        <is>
          <t>PUMA Rebound Layup Sl Womens Basketball Shoes</t>
        </is>
      </c>
      <c r="E243" t="inlineStr">
        <is>
          <t>n/a</t>
        </is>
      </c>
    </row>
    <row r="244">
      <c r="A244" t="inlineStr">
        <is>
          <t>197646177156</t>
        </is>
      </c>
      <c r="B244" t="n">
        <v>66.5</v>
      </c>
      <c r="C244" t="inlineStr">
        <is>
          <t>197646177156</t>
        </is>
      </c>
      <c r="D244" t="inlineStr">
        <is>
          <t>PUMA Club 5v5 Sd Womens Sneakers</t>
        </is>
      </c>
      <c r="E244" t="inlineStr">
        <is>
          <t>n/a</t>
        </is>
      </c>
    </row>
    <row r="245">
      <c r="A245" t="inlineStr">
        <is>
          <t>197646177224</t>
        </is>
      </c>
      <c r="B245" t="n">
        <v>66.5</v>
      </c>
      <c r="C245" t="inlineStr">
        <is>
          <t>197646177224</t>
        </is>
      </c>
      <c r="D245" t="inlineStr">
        <is>
          <t>PUMA Club 5v5 Sd Womens Sneakers</t>
        </is>
      </c>
      <c r="E245" t="inlineStr">
        <is>
          <t>n/a</t>
        </is>
      </c>
    </row>
    <row r="246">
      <c r="A246" t="inlineStr">
        <is>
          <t>197646177248</t>
        </is>
      </c>
      <c r="B246" t="n">
        <v>66.5</v>
      </c>
      <c r="C246" t="inlineStr">
        <is>
          <t>197646177248</t>
        </is>
      </c>
      <c r="D246" t="inlineStr">
        <is>
          <t>PUMA Club 5v5 Sd Womens Sneakers</t>
        </is>
      </c>
      <c r="E246" t="inlineStr">
        <is>
          <t>n/a</t>
        </is>
      </c>
    </row>
    <row r="247">
      <c r="A247" t="inlineStr">
        <is>
          <t>197646177200</t>
        </is>
      </c>
      <c r="B247" t="n">
        <v>66.5</v>
      </c>
      <c r="C247" t="inlineStr">
        <is>
          <t>197646177200</t>
        </is>
      </c>
      <c r="D247" t="inlineStr">
        <is>
          <t>PUMA Club 5v5 Sd Womens Sneakers</t>
        </is>
      </c>
      <c r="E247" t="inlineStr">
        <is>
          <t>n/a</t>
        </is>
      </c>
    </row>
    <row r="248">
      <c r="A248" t="inlineStr">
        <is>
          <t>197646177170</t>
        </is>
      </c>
      <c r="B248" t="n">
        <v>66.5</v>
      </c>
      <c r="C248" t="inlineStr">
        <is>
          <t>197646177170</t>
        </is>
      </c>
      <c r="D248" t="inlineStr">
        <is>
          <t>PUMA Club 5v5 Sd Womens Sneakers</t>
        </is>
      </c>
      <c r="E248" t="inlineStr">
        <is>
          <t>n/a</t>
        </is>
      </c>
    </row>
    <row r="249">
      <c r="A249" t="inlineStr">
        <is>
          <t>197646177255</t>
        </is>
      </c>
      <c r="B249" t="n">
        <v>66.5</v>
      </c>
      <c r="C249" t="inlineStr">
        <is>
          <t>197646177255</t>
        </is>
      </c>
      <c r="D249" t="inlineStr">
        <is>
          <t>PUMA Club 5v5 Sd Womens Sneakers</t>
        </is>
      </c>
      <c r="E249" t="inlineStr">
        <is>
          <t>n/a</t>
        </is>
      </c>
    </row>
    <row r="250">
      <c r="A250" t="inlineStr">
        <is>
          <t>197646177231</t>
        </is>
      </c>
      <c r="B250" t="n">
        <v>66.5</v>
      </c>
      <c r="C250" t="inlineStr">
        <is>
          <t>197646177231</t>
        </is>
      </c>
      <c r="D250" t="inlineStr">
        <is>
          <t>PUMA Club 5v5 Sd Womens Sneakers</t>
        </is>
      </c>
      <c r="E250" t="inlineStr">
        <is>
          <t>n/a</t>
        </is>
      </c>
    </row>
    <row r="251">
      <c r="A251" t="inlineStr">
        <is>
          <t>197646177149</t>
        </is>
      </c>
      <c r="B251" t="n">
        <v>66.5</v>
      </c>
      <c r="C251" t="inlineStr">
        <is>
          <t>197646177149</t>
        </is>
      </c>
      <c r="D251" t="inlineStr">
        <is>
          <t>PUMA Club 5v5 Sd Womens Sneakers</t>
        </is>
      </c>
      <c r="E251" t="inlineStr">
        <is>
          <t>n/a</t>
        </is>
      </c>
    </row>
    <row r="252">
      <c r="A252" t="inlineStr">
        <is>
          <t>197646177163</t>
        </is>
      </c>
      <c r="B252" t="n">
        <v>66.5</v>
      </c>
      <c r="C252" t="inlineStr">
        <is>
          <t>197646177163</t>
        </is>
      </c>
      <c r="D252" t="inlineStr">
        <is>
          <t>PUMA Club 5v5 Sd Womens Sneakers</t>
        </is>
      </c>
      <c r="E252" t="inlineStr">
        <is>
          <t>n/a</t>
        </is>
      </c>
    </row>
    <row r="253">
      <c r="A253" t="inlineStr">
        <is>
          <t>197646177187</t>
        </is>
      </c>
      <c r="B253" t="n">
        <v>66.5</v>
      </c>
      <c r="C253" t="inlineStr">
        <is>
          <t>197646177187</t>
        </is>
      </c>
      <c r="D253" t="inlineStr">
        <is>
          <t>PUMA Club 5v5 Sd Womens Sneakers</t>
        </is>
      </c>
      <c r="E253" t="inlineStr">
        <is>
          <t>n/a</t>
        </is>
      </c>
    </row>
    <row r="254">
      <c r="A254" t="inlineStr">
        <is>
          <t>197646177194</t>
        </is>
      </c>
      <c r="B254" t="n">
        <v>66.5</v>
      </c>
      <c r="C254" t="inlineStr">
        <is>
          <t>197646177194</t>
        </is>
      </c>
      <c r="D254" t="inlineStr">
        <is>
          <t>PUMA Club 5v5 Sd Womens Sneakers</t>
        </is>
      </c>
      <c r="E254" t="inlineStr">
        <is>
          <t>n/a</t>
        </is>
      </c>
    </row>
    <row r="255">
      <c r="A255" t="inlineStr">
        <is>
          <t>197670553834</t>
        </is>
      </c>
      <c r="C255" t="inlineStr">
        <is>
          <t>197670553834</t>
        </is>
      </c>
      <c r="D255" t="inlineStr">
        <is>
          <t>PUMA Karmen Ii Idol Sd Womens Sneakers</t>
        </is>
      </c>
      <c r="E255" t="inlineStr">
        <is>
          <t>n/a</t>
        </is>
      </c>
    </row>
    <row r="256">
      <c r="A256" t="inlineStr">
        <is>
          <t>197670553841</t>
        </is>
      </c>
      <c r="C256" t="inlineStr">
        <is>
          <t>197670553841</t>
        </is>
      </c>
      <c r="D256" t="inlineStr">
        <is>
          <t>PUMA Karmen Ii Idol Sd Womens Sneakers</t>
        </is>
      </c>
      <c r="E256" t="inlineStr">
        <is>
          <t>n/a</t>
        </is>
      </c>
    </row>
    <row r="257">
      <c r="A257" t="inlineStr">
        <is>
          <t>197670553858</t>
        </is>
      </c>
      <c r="C257" t="inlineStr">
        <is>
          <t>197670553858</t>
        </is>
      </c>
      <c r="D257" t="inlineStr">
        <is>
          <t>PUMA Karmen Ii Idol Sd Womens Sneakers</t>
        </is>
      </c>
      <c r="E257" t="inlineStr">
        <is>
          <t>n/a</t>
        </is>
      </c>
    </row>
    <row r="258">
      <c r="A258" t="inlineStr">
        <is>
          <t>197670553865</t>
        </is>
      </c>
      <c r="C258" t="inlineStr">
        <is>
          <t>197670553865</t>
        </is>
      </c>
      <c r="D258" t="inlineStr">
        <is>
          <t>PUMA Karmen Ii Idol Sd Womens Sneakers</t>
        </is>
      </c>
      <c r="E258" t="inlineStr">
        <is>
          <t>n/a</t>
        </is>
      </c>
    </row>
    <row r="259">
      <c r="A259" t="inlineStr">
        <is>
          <t>197670553872</t>
        </is>
      </c>
      <c r="C259" t="inlineStr">
        <is>
          <t>197670553872</t>
        </is>
      </c>
      <c r="D259" t="inlineStr">
        <is>
          <t>PUMA Karmen Ii Idol Sd Womens Sneakers</t>
        </is>
      </c>
      <c r="E259" t="inlineStr">
        <is>
          <t>n/a</t>
        </is>
      </c>
    </row>
    <row r="260">
      <c r="A260" t="inlineStr">
        <is>
          <t>197670553889</t>
        </is>
      </c>
      <c r="C260" t="inlineStr">
        <is>
          <t>197670553889</t>
        </is>
      </c>
      <c r="D260" t="inlineStr">
        <is>
          <t>PUMA Karmen Ii Idol Sd Womens Sneakers</t>
        </is>
      </c>
      <c r="E260" t="inlineStr">
        <is>
          <t>n/a</t>
        </is>
      </c>
    </row>
    <row r="261">
      <c r="A261" t="inlineStr">
        <is>
          <t>197670553896</t>
        </is>
      </c>
      <c r="C261" t="inlineStr">
        <is>
          <t>197670553896</t>
        </is>
      </c>
      <c r="D261" t="inlineStr">
        <is>
          <t>PUMA Karmen Ii Idol Sd Womens Sneakers</t>
        </is>
      </c>
      <c r="E261" t="inlineStr">
        <is>
          <t>n/a</t>
        </is>
      </c>
    </row>
    <row r="262">
      <c r="A262" t="inlineStr">
        <is>
          <t>197670553919</t>
        </is>
      </c>
      <c r="C262" t="inlineStr">
        <is>
          <t>197670553919</t>
        </is>
      </c>
      <c r="D262" t="inlineStr">
        <is>
          <t>PUMA Karmen Ii Idol Sd Womens Sneakers</t>
        </is>
      </c>
      <c r="E262" t="inlineStr">
        <is>
          <t>n/a</t>
        </is>
      </c>
    </row>
    <row r="263">
      <c r="A263" t="inlineStr">
        <is>
          <t>197670553933</t>
        </is>
      </c>
      <c r="C263" t="inlineStr">
        <is>
          <t>197670553933</t>
        </is>
      </c>
      <c r="D263" t="inlineStr">
        <is>
          <t>PUMA Karmen Ii Idol Sd Womens Sneakers</t>
        </is>
      </c>
      <c r="E263" t="inlineStr">
        <is>
          <t>n/a</t>
        </is>
      </c>
    </row>
    <row r="264">
      <c r="A264" t="inlineStr">
        <is>
          <t>197670553957</t>
        </is>
      </c>
      <c r="C264" t="inlineStr">
        <is>
          <t>197670553957</t>
        </is>
      </c>
      <c r="D264" t="inlineStr">
        <is>
          <t>PUMA Karmen Ii Idol Sd Womens Sneakers</t>
        </is>
      </c>
      <c r="E264" t="inlineStr">
        <is>
          <t>n/a</t>
        </is>
      </c>
    </row>
    <row r="265">
      <c r="A265" t="inlineStr">
        <is>
          <t>197670553995</t>
        </is>
      </c>
      <c r="C265" t="inlineStr">
        <is>
          <t>197670553995</t>
        </is>
      </c>
      <c r="D265" t="inlineStr">
        <is>
          <t>PUMA Karmen Ii Idol Sd Womens Sneakers</t>
        </is>
      </c>
      <c r="E265" t="inlineStr">
        <is>
          <t>n/a</t>
        </is>
      </c>
    </row>
    <row r="266">
      <c r="A266" t="inlineStr">
        <is>
          <t>197672009711</t>
        </is>
      </c>
      <c r="C266" t="inlineStr">
        <is>
          <t>197672009711</t>
        </is>
      </c>
      <c r="D266" t="inlineStr">
        <is>
          <t>PUMA Karmen Ii Idol Sd Womens Sneakers</t>
        </is>
      </c>
      <c r="E266" t="inlineStr">
        <is>
          <t>n/a</t>
        </is>
      </c>
    </row>
    <row r="267">
      <c r="A267" t="inlineStr">
        <is>
          <t>197672009780</t>
        </is>
      </c>
      <c r="C267" t="inlineStr">
        <is>
          <t>197672009780</t>
        </is>
      </c>
      <c r="D267" t="inlineStr">
        <is>
          <t>PUMA Karmen Ii Idol Sd Womens Sneakers</t>
        </is>
      </c>
      <c r="E267" t="inlineStr">
        <is>
          <t>n/a</t>
        </is>
      </c>
    </row>
    <row r="268">
      <c r="A268" t="inlineStr">
        <is>
          <t>197672009728</t>
        </is>
      </c>
      <c r="C268" t="inlineStr">
        <is>
          <t>197672009728</t>
        </is>
      </c>
      <c r="D268" t="inlineStr">
        <is>
          <t>PUMA Karmen Ii Idol Sd Womens Sneakers</t>
        </is>
      </c>
      <c r="E268" t="inlineStr">
        <is>
          <t>n/a</t>
        </is>
      </c>
    </row>
    <row r="269">
      <c r="A269" t="inlineStr">
        <is>
          <t>197672009797</t>
        </is>
      </c>
      <c r="C269" t="inlineStr">
        <is>
          <t>197672009797</t>
        </is>
      </c>
      <c r="D269" t="inlineStr">
        <is>
          <t>PUMA Karmen Ii Idol Sd Womens Sneakers</t>
        </is>
      </c>
      <c r="E269" t="inlineStr">
        <is>
          <t>n/a</t>
        </is>
      </c>
    </row>
    <row r="270">
      <c r="A270" t="inlineStr">
        <is>
          <t>197672009735</t>
        </is>
      </c>
      <c r="C270" t="inlineStr">
        <is>
          <t>197672009735</t>
        </is>
      </c>
      <c r="D270" t="inlineStr">
        <is>
          <t>PUMA Karmen Ii Idol Sd Womens Sneakers</t>
        </is>
      </c>
      <c r="E270" t="inlineStr">
        <is>
          <t>n/a</t>
        </is>
      </c>
    </row>
    <row r="271">
      <c r="A271" t="inlineStr">
        <is>
          <t>197672009803</t>
        </is>
      </c>
      <c r="C271" t="inlineStr">
        <is>
          <t>197672009803</t>
        </is>
      </c>
      <c r="D271" t="inlineStr">
        <is>
          <t>PUMA Karmen Ii Idol Sd Womens Sneakers</t>
        </is>
      </c>
      <c r="E271" t="inlineStr">
        <is>
          <t>n/a</t>
        </is>
      </c>
    </row>
    <row r="272">
      <c r="A272" t="inlineStr">
        <is>
          <t>197672009742</t>
        </is>
      </c>
      <c r="C272" t="inlineStr">
        <is>
          <t>197672009742</t>
        </is>
      </c>
      <c r="D272" t="inlineStr">
        <is>
          <t>PUMA Karmen Ii Idol Sd Womens Sneakers</t>
        </is>
      </c>
      <c r="E272" t="inlineStr">
        <is>
          <t>n/a</t>
        </is>
      </c>
    </row>
    <row r="273">
      <c r="A273" t="inlineStr">
        <is>
          <t>197672009810</t>
        </is>
      </c>
      <c r="C273" t="inlineStr">
        <is>
          <t>197672009810</t>
        </is>
      </c>
      <c r="D273" t="inlineStr">
        <is>
          <t>PUMA Karmen Ii Idol Sd Womens Sneakers</t>
        </is>
      </c>
      <c r="E273" t="inlineStr">
        <is>
          <t>n/a</t>
        </is>
      </c>
    </row>
    <row r="274">
      <c r="A274" t="inlineStr">
        <is>
          <t>197672009759</t>
        </is>
      </c>
      <c r="C274" t="inlineStr">
        <is>
          <t>197672009759</t>
        </is>
      </c>
      <c r="D274" t="inlineStr">
        <is>
          <t>PUMA Karmen Ii Idol Sd Womens Sneakers</t>
        </is>
      </c>
      <c r="E274" t="inlineStr">
        <is>
          <t>n/a</t>
        </is>
      </c>
    </row>
    <row r="275">
      <c r="A275" t="inlineStr">
        <is>
          <t>197672009827</t>
        </is>
      </c>
      <c r="C275" t="inlineStr">
        <is>
          <t>197672009827</t>
        </is>
      </c>
      <c r="D275" t="inlineStr">
        <is>
          <t>PUMA Karmen Ii Idol Sd Womens Sneakers</t>
        </is>
      </c>
      <c r="E275" t="inlineStr">
        <is>
          <t>n/a</t>
        </is>
      </c>
    </row>
    <row r="276">
      <c r="A276" t="inlineStr">
        <is>
          <t>197672009834</t>
        </is>
      </c>
      <c r="C276" t="inlineStr">
        <is>
          <t>197672009834</t>
        </is>
      </c>
      <c r="D276" t="inlineStr">
        <is>
          <t>PUMA Karmen Ii Idol Sd Womens Sneakers</t>
        </is>
      </c>
      <c r="E276" t="inlineStr">
        <is>
          <t>n/a</t>
        </is>
      </c>
    </row>
    <row r="277">
      <c r="A277" t="inlineStr">
        <is>
          <t>197672049908</t>
        </is>
      </c>
      <c r="C277" t="inlineStr">
        <is>
          <t>197672049908</t>
        </is>
      </c>
      <c r="D277" t="inlineStr">
        <is>
          <t>PUMA Rebound Layup Sl Womens Basketball Shoes</t>
        </is>
      </c>
      <c r="E277" t="inlineStr">
        <is>
          <t>n/a</t>
        </is>
      </c>
    </row>
    <row r="278">
      <c r="A278" t="inlineStr">
        <is>
          <t>197672049960</t>
        </is>
      </c>
      <c r="C278" t="inlineStr">
        <is>
          <t>197672049960</t>
        </is>
      </c>
      <c r="D278" t="inlineStr">
        <is>
          <t>PUMA Rebound Layup Sl Womens Basketball Shoes</t>
        </is>
      </c>
      <c r="E278" t="inlineStr">
        <is>
          <t>n/a</t>
        </is>
      </c>
    </row>
    <row r="279">
      <c r="A279" t="inlineStr">
        <is>
          <t>197672049915</t>
        </is>
      </c>
      <c r="C279" t="inlineStr">
        <is>
          <t>197672049915</t>
        </is>
      </c>
      <c r="D279" t="inlineStr">
        <is>
          <t>PUMA Rebound Layup Sl Womens Basketball Shoes</t>
        </is>
      </c>
      <c r="E279" t="inlineStr">
        <is>
          <t>n/a</t>
        </is>
      </c>
    </row>
    <row r="280">
      <c r="A280" t="inlineStr">
        <is>
          <t>197672049977</t>
        </is>
      </c>
      <c r="C280" t="inlineStr">
        <is>
          <t>197672049977</t>
        </is>
      </c>
      <c r="D280" t="inlineStr">
        <is>
          <t>PUMA Rebound Layup Sl Womens Basketball Shoes</t>
        </is>
      </c>
      <c r="E280" t="inlineStr">
        <is>
          <t>n/a</t>
        </is>
      </c>
    </row>
    <row r="281">
      <c r="A281" t="inlineStr">
        <is>
          <t>197672049922</t>
        </is>
      </c>
      <c r="C281" t="inlineStr">
        <is>
          <t>197672049922</t>
        </is>
      </c>
      <c r="D281" t="inlineStr">
        <is>
          <t>PUMA Rebound Layup Sl Womens Basketball Shoes</t>
        </is>
      </c>
      <c r="E281" t="inlineStr">
        <is>
          <t>n/a</t>
        </is>
      </c>
    </row>
    <row r="282">
      <c r="A282" t="inlineStr">
        <is>
          <t>197672049984</t>
        </is>
      </c>
      <c r="C282" t="inlineStr">
        <is>
          <t>197672049984</t>
        </is>
      </c>
      <c r="D282" t="inlineStr">
        <is>
          <t>PUMA Rebound Layup Sl Womens Basketball Shoes</t>
        </is>
      </c>
      <c r="E282" t="inlineStr">
        <is>
          <t>n/a</t>
        </is>
      </c>
    </row>
    <row r="283">
      <c r="A283" t="inlineStr">
        <is>
          <t>197672049939</t>
        </is>
      </c>
      <c r="C283" t="inlineStr">
        <is>
          <t>197672049939</t>
        </is>
      </c>
      <c r="D283" t="inlineStr">
        <is>
          <t>PUMA Rebound Layup Sl Womens Basketball Shoes</t>
        </is>
      </c>
      <c r="E283" t="inlineStr">
        <is>
          <t>n/a</t>
        </is>
      </c>
    </row>
    <row r="284">
      <c r="A284" t="inlineStr">
        <is>
          <t>197672049991</t>
        </is>
      </c>
      <c r="C284" t="inlineStr">
        <is>
          <t>197672049991</t>
        </is>
      </c>
      <c r="D284" t="inlineStr">
        <is>
          <t>PUMA Rebound Layup Sl Womens Basketball Shoes</t>
        </is>
      </c>
      <c r="E284" t="inlineStr">
        <is>
          <t>n/a</t>
        </is>
      </c>
    </row>
    <row r="285">
      <c r="A285" t="inlineStr">
        <is>
          <t>197672049946</t>
        </is>
      </c>
      <c r="C285" t="inlineStr">
        <is>
          <t>197672049946</t>
        </is>
      </c>
      <c r="D285" t="inlineStr">
        <is>
          <t>PUMA Rebound Layup Sl Womens Basketball Shoes</t>
        </is>
      </c>
      <c r="E285" t="inlineStr">
        <is>
          <t>n/a</t>
        </is>
      </c>
    </row>
    <row r="286">
      <c r="A286" t="inlineStr">
        <is>
          <t>197672050003</t>
        </is>
      </c>
      <c r="C286" t="inlineStr">
        <is>
          <t>197672050003</t>
        </is>
      </c>
      <c r="D286" t="inlineStr">
        <is>
          <t>PUMA Rebound Layup Sl Womens Basketball Shoes</t>
        </is>
      </c>
      <c r="E286" t="inlineStr">
        <is>
          <t>n/a</t>
        </is>
      </c>
    </row>
    <row r="287">
      <c r="A287" t="inlineStr">
        <is>
          <t>197672050010</t>
        </is>
      </c>
      <c r="C287" t="inlineStr">
        <is>
          <t>197672050010</t>
        </is>
      </c>
      <c r="D287" t="inlineStr">
        <is>
          <t>PUMA Rebound Layup Sl Womens Basketball Shoes</t>
        </is>
      </c>
      <c r="E287" t="inlineStr">
        <is>
          <t>n/a</t>
        </is>
      </c>
    </row>
    <row r="288">
      <c r="A288" t="inlineStr">
        <is>
          <t>197672019000</t>
        </is>
      </c>
      <c r="B288" t="n">
        <v>66.5</v>
      </c>
      <c r="C288" t="inlineStr">
        <is>
          <t>197672019000</t>
        </is>
      </c>
      <c r="D288" t="inlineStr">
        <is>
          <t>PUMA Club Pearl Womens Sneakers</t>
        </is>
      </c>
      <c r="E288" t="inlineStr">
        <is>
          <t>n/a</t>
        </is>
      </c>
    </row>
    <row r="289">
      <c r="A289" t="inlineStr">
        <is>
          <t>197672019062</t>
        </is>
      </c>
      <c r="B289" t="n">
        <v>66.5</v>
      </c>
      <c r="C289" t="inlineStr">
        <is>
          <t>197672019062</t>
        </is>
      </c>
      <c r="D289" t="inlineStr">
        <is>
          <t>PUMA Club Pearl Womens Sneakers</t>
        </is>
      </c>
      <c r="E289" t="inlineStr">
        <is>
          <t>n/a</t>
        </is>
      </c>
    </row>
    <row r="290">
      <c r="A290" t="inlineStr">
        <is>
          <t>197672019017</t>
        </is>
      </c>
      <c r="B290" t="n">
        <v>66.5</v>
      </c>
      <c r="C290" t="inlineStr">
        <is>
          <t>197672019017</t>
        </is>
      </c>
      <c r="D290" t="inlineStr">
        <is>
          <t>PUMA Club Pearl Womens Sneakers</t>
        </is>
      </c>
      <c r="E290" t="inlineStr">
        <is>
          <t>n/a</t>
        </is>
      </c>
    </row>
    <row r="291">
      <c r="A291" t="inlineStr">
        <is>
          <t>197672019079</t>
        </is>
      </c>
      <c r="B291" t="n">
        <v>66.5</v>
      </c>
      <c r="C291" t="inlineStr">
        <is>
          <t>197672019079</t>
        </is>
      </c>
      <c r="D291" t="inlineStr">
        <is>
          <t>PUMA Club Pearl Womens Sneakers</t>
        </is>
      </c>
      <c r="E291" t="inlineStr">
        <is>
          <t>n/a</t>
        </is>
      </c>
    </row>
    <row r="292">
      <c r="A292" t="inlineStr">
        <is>
          <t>197672019024</t>
        </is>
      </c>
      <c r="B292" t="n">
        <v>66.5</v>
      </c>
      <c r="C292" t="inlineStr">
        <is>
          <t>197672019024</t>
        </is>
      </c>
      <c r="D292" t="inlineStr">
        <is>
          <t>PUMA Club Pearl Womens Sneakers</t>
        </is>
      </c>
      <c r="E292" t="inlineStr">
        <is>
          <t>n/a</t>
        </is>
      </c>
    </row>
    <row r="293">
      <c r="A293" t="inlineStr">
        <is>
          <t>197672019086</t>
        </is>
      </c>
      <c r="B293" t="n">
        <v>66.5</v>
      </c>
      <c r="C293" t="inlineStr">
        <is>
          <t>197672019086</t>
        </is>
      </c>
      <c r="D293" t="inlineStr">
        <is>
          <t>PUMA Club Pearl Womens Sneakers</t>
        </is>
      </c>
      <c r="E293" t="inlineStr">
        <is>
          <t>n/a</t>
        </is>
      </c>
    </row>
    <row r="294">
      <c r="A294" t="inlineStr">
        <is>
          <t>197672019031</t>
        </is>
      </c>
      <c r="B294" t="n">
        <v>66.5</v>
      </c>
      <c r="C294" t="inlineStr">
        <is>
          <t>197672019031</t>
        </is>
      </c>
      <c r="D294" t="inlineStr">
        <is>
          <t>PUMA Club Pearl Womens Sneakers</t>
        </is>
      </c>
      <c r="E294" t="inlineStr">
        <is>
          <t>n/a</t>
        </is>
      </c>
    </row>
    <row r="295">
      <c r="A295" t="inlineStr">
        <is>
          <t>197672019093</t>
        </is>
      </c>
      <c r="B295" t="n">
        <v>66.5</v>
      </c>
      <c r="C295" t="inlineStr">
        <is>
          <t>197672019093</t>
        </is>
      </c>
      <c r="D295" t="inlineStr">
        <is>
          <t>PUMA Club Pearl Womens Sneakers</t>
        </is>
      </c>
      <c r="E295" t="inlineStr">
        <is>
          <t>n/a</t>
        </is>
      </c>
    </row>
    <row r="296">
      <c r="A296" t="inlineStr">
        <is>
          <t>197672019048</t>
        </is>
      </c>
      <c r="B296" t="n">
        <v>66.5</v>
      </c>
      <c r="C296" t="inlineStr">
        <is>
          <t>197672019048</t>
        </is>
      </c>
      <c r="D296" t="inlineStr">
        <is>
          <t>PUMA Club Pearl Womens Sneakers</t>
        </is>
      </c>
      <c r="E296" t="inlineStr">
        <is>
          <t>n/a</t>
        </is>
      </c>
    </row>
    <row r="297">
      <c r="A297" t="inlineStr">
        <is>
          <t>197672019109</t>
        </is>
      </c>
      <c r="B297" t="n">
        <v>66.5</v>
      </c>
      <c r="C297" t="inlineStr">
        <is>
          <t>197672019109</t>
        </is>
      </c>
      <c r="D297" t="inlineStr">
        <is>
          <t>PUMA Club Pearl Womens Sneakers</t>
        </is>
      </c>
      <c r="E297" t="inlineStr">
        <is>
          <t>n/a</t>
        </is>
      </c>
    </row>
    <row r="298">
      <c r="A298" t="inlineStr">
        <is>
          <t>197672019116</t>
        </is>
      </c>
      <c r="B298" t="n">
        <v>66.5</v>
      </c>
      <c r="C298" t="inlineStr">
        <is>
          <t>197672019116</t>
        </is>
      </c>
      <c r="D298" t="inlineStr">
        <is>
          <t>PUMA Club Pearl Womens Sneakers</t>
        </is>
      </c>
      <c r="E298" t="inlineStr">
        <is>
          <t>n/a</t>
        </is>
      </c>
    </row>
    <row r="299">
      <c r="A299" t="inlineStr">
        <is>
          <t>197613957149</t>
        </is>
      </c>
      <c r="C299" t="inlineStr">
        <is>
          <t>197613957149</t>
        </is>
      </c>
      <c r="D299" t="inlineStr">
        <is>
          <t>New!adidas Vl Court 3.0 Womens Sneakers</t>
        </is>
      </c>
      <c r="E299" t="inlineStr">
        <is>
          <t>n/a</t>
        </is>
      </c>
    </row>
    <row r="300">
      <c r="A300" t="inlineStr">
        <is>
          <t>197613957163</t>
        </is>
      </c>
      <c r="C300" t="inlineStr">
        <is>
          <t>197613957163</t>
        </is>
      </c>
      <c r="D300" t="inlineStr">
        <is>
          <t>New!adidas Vl Court 3.0 Womens Sneakers</t>
        </is>
      </c>
      <c r="E300" t="inlineStr">
        <is>
          <t>n/a</t>
        </is>
      </c>
    </row>
    <row r="301">
      <c r="A301" t="inlineStr">
        <is>
          <t>197613957101</t>
        </is>
      </c>
      <c r="C301" t="inlineStr">
        <is>
          <t>197613957101</t>
        </is>
      </c>
      <c r="D301" t="inlineStr">
        <is>
          <t>New!adidas Vl Court 3.0 Womens Sneakers</t>
        </is>
      </c>
      <c r="E301" t="inlineStr">
        <is>
          <t>n/a</t>
        </is>
      </c>
    </row>
    <row r="302">
      <c r="A302" t="inlineStr">
        <is>
          <t>197613957132</t>
        </is>
      </c>
      <c r="C302" t="inlineStr">
        <is>
          <t>197613957132</t>
        </is>
      </c>
      <c r="D302" t="inlineStr">
        <is>
          <t>New!adidas Vl Court 3.0 Womens Sneakers</t>
        </is>
      </c>
      <c r="E302" t="inlineStr">
        <is>
          <t>n/a</t>
        </is>
      </c>
    </row>
    <row r="303">
      <c r="A303" t="inlineStr">
        <is>
          <t>197613957200</t>
        </is>
      </c>
      <c r="C303" t="inlineStr">
        <is>
          <t>197613957200</t>
        </is>
      </c>
      <c r="D303" t="inlineStr">
        <is>
          <t>New!adidas Vl Court 3.0 Womens Sneakers</t>
        </is>
      </c>
      <c r="E303" t="inlineStr">
        <is>
          <t>n/a</t>
        </is>
      </c>
    </row>
    <row r="304">
      <c r="A304" t="inlineStr">
        <is>
          <t>197613957187</t>
        </is>
      </c>
      <c r="C304" t="inlineStr">
        <is>
          <t>197613957187</t>
        </is>
      </c>
      <c r="D304" t="inlineStr">
        <is>
          <t>New!adidas Vl Court 3.0 Womens Sneakers</t>
        </is>
      </c>
      <c r="E304" t="inlineStr">
        <is>
          <t>n/a</t>
        </is>
      </c>
    </row>
    <row r="305">
      <c r="A305" t="inlineStr">
        <is>
          <t>197613957118</t>
        </is>
      </c>
      <c r="C305" t="inlineStr">
        <is>
          <t>197613957118</t>
        </is>
      </c>
      <c r="D305" t="inlineStr">
        <is>
          <t>New!adidas Vl Court 3.0 Womens Sneakers</t>
        </is>
      </c>
      <c r="E305" t="inlineStr">
        <is>
          <t>n/a</t>
        </is>
      </c>
    </row>
    <row r="306">
      <c r="A306" t="inlineStr">
        <is>
          <t>197613957125</t>
        </is>
      </c>
      <c r="C306" t="inlineStr">
        <is>
          <t>197613957125</t>
        </is>
      </c>
      <c r="D306" t="inlineStr">
        <is>
          <t>New!adidas Vl Court 3.0 Womens Sneakers</t>
        </is>
      </c>
      <c r="E306" t="inlineStr">
        <is>
          <t>n/a</t>
        </is>
      </c>
    </row>
    <row r="307">
      <c r="A307" t="inlineStr">
        <is>
          <t>197613957194</t>
        </is>
      </c>
      <c r="C307" t="inlineStr">
        <is>
          <t>197613957194</t>
        </is>
      </c>
      <c r="D307" t="inlineStr">
        <is>
          <t>New!adidas Vl Court 3.0 Womens Sneakers</t>
        </is>
      </c>
      <c r="E307" t="inlineStr">
        <is>
          <t>n/a</t>
        </is>
      </c>
    </row>
    <row r="308">
      <c r="A308" t="inlineStr">
        <is>
          <t>197613957217</t>
        </is>
      </c>
      <c r="C308" t="inlineStr">
        <is>
          <t>197613957217</t>
        </is>
      </c>
      <c r="D308" t="inlineStr">
        <is>
          <t>New!adidas Vl Court 3.0 Womens Sneakers</t>
        </is>
      </c>
      <c r="E308" t="inlineStr">
        <is>
          <t>n/a</t>
        </is>
      </c>
    </row>
    <row r="309">
      <c r="A309" t="inlineStr">
        <is>
          <t>197613957170</t>
        </is>
      </c>
      <c r="C309" t="inlineStr">
        <is>
          <t>197613957170</t>
        </is>
      </c>
      <c r="D309" t="inlineStr">
        <is>
          <t>New!adidas Vl Court 3.0 Womens Sneakers</t>
        </is>
      </c>
      <c r="E309" t="inlineStr">
        <is>
          <t>n/a</t>
        </is>
      </c>
    </row>
    <row r="310">
      <c r="A310" t="inlineStr">
        <is>
          <t>197613957095</t>
        </is>
      </c>
      <c r="C310" t="inlineStr">
        <is>
          <t>197613957095</t>
        </is>
      </c>
      <c r="D310" t="inlineStr">
        <is>
          <t>New!adidas Vl Court 3.0 Womens Sneakers</t>
        </is>
      </c>
      <c r="E310" t="inlineStr">
        <is>
          <t>n/a</t>
        </is>
      </c>
    </row>
    <row r="311">
      <c r="A311" t="inlineStr">
        <is>
          <t>195552638518</t>
        </is>
      </c>
      <c r="B311" t="n">
        <v>42.7405</v>
      </c>
      <c r="C311" t="inlineStr">
        <is>
          <t>195552638518</t>
        </is>
      </c>
      <c r="D311" t="inlineStr">
        <is>
          <t>New!PUMA Carina Street Womens Sneakers</t>
        </is>
      </c>
      <c r="E311" t="inlineStr">
        <is>
          <t>n/a</t>
        </is>
      </c>
    </row>
    <row r="312">
      <c r="A312" t="inlineStr">
        <is>
          <t>195552638556</t>
        </is>
      </c>
      <c r="B312" t="n">
        <v>42.7405</v>
      </c>
      <c r="C312" t="inlineStr">
        <is>
          <t>195552638556</t>
        </is>
      </c>
      <c r="D312" t="inlineStr">
        <is>
          <t>New!PUMA Carina Street Womens Sneakers</t>
        </is>
      </c>
      <c r="E312" t="inlineStr">
        <is>
          <t>n/a</t>
        </is>
      </c>
    </row>
    <row r="313">
      <c r="A313" t="inlineStr">
        <is>
          <t>195552638594</t>
        </is>
      </c>
      <c r="B313" t="n">
        <v>42.7405</v>
      </c>
      <c r="C313" t="inlineStr">
        <is>
          <t>195552638594</t>
        </is>
      </c>
      <c r="D313" t="inlineStr">
        <is>
          <t>New!PUMA Carina Street Womens Sneakers</t>
        </is>
      </c>
      <c r="E313" t="inlineStr">
        <is>
          <t>n/a</t>
        </is>
      </c>
    </row>
    <row r="314">
      <c r="A314" t="inlineStr">
        <is>
          <t>195552638525</t>
        </is>
      </c>
      <c r="B314" t="n">
        <v>42.7405</v>
      </c>
      <c r="C314" t="inlineStr">
        <is>
          <t>195552638525</t>
        </is>
      </c>
      <c r="D314" t="inlineStr">
        <is>
          <t>New!PUMA Carina Street Womens Sneakers</t>
        </is>
      </c>
      <c r="E314" t="inlineStr">
        <is>
          <t>n/a</t>
        </is>
      </c>
    </row>
    <row r="315">
      <c r="A315" t="inlineStr">
        <is>
          <t>195552638600</t>
        </is>
      </c>
      <c r="B315" t="n">
        <v>42.7405</v>
      </c>
      <c r="C315" t="inlineStr">
        <is>
          <t>195552638600</t>
        </is>
      </c>
      <c r="D315" t="inlineStr">
        <is>
          <t>New!PUMA Carina Street Womens Sneakers</t>
        </is>
      </c>
      <c r="E315" t="inlineStr">
        <is>
          <t>n/a</t>
        </is>
      </c>
    </row>
    <row r="316">
      <c r="A316" t="inlineStr">
        <is>
          <t>195552638587</t>
        </is>
      </c>
      <c r="B316" t="n">
        <v>42.7405</v>
      </c>
      <c r="C316" t="inlineStr">
        <is>
          <t>195552638587</t>
        </is>
      </c>
      <c r="D316" t="inlineStr">
        <is>
          <t>New!PUMA Carina Street Womens Sneakers</t>
        </is>
      </c>
      <c r="E316" t="inlineStr">
        <is>
          <t>n/a</t>
        </is>
      </c>
    </row>
    <row r="317">
      <c r="A317" t="inlineStr">
        <is>
          <t>195552638563</t>
        </is>
      </c>
      <c r="B317" t="n">
        <v>42.7405</v>
      </c>
      <c r="C317" t="inlineStr">
        <is>
          <t>195552638563</t>
        </is>
      </c>
      <c r="D317" t="inlineStr">
        <is>
          <t>New!PUMA Carina Street Womens Sneakers</t>
        </is>
      </c>
      <c r="E317" t="inlineStr">
        <is>
          <t>n/a</t>
        </is>
      </c>
    </row>
    <row r="318">
      <c r="A318" t="inlineStr">
        <is>
          <t>195552638501</t>
        </is>
      </c>
      <c r="B318" t="n">
        <v>42.7405</v>
      </c>
      <c r="C318" t="inlineStr">
        <is>
          <t>195552638501</t>
        </is>
      </c>
      <c r="D318" t="inlineStr">
        <is>
          <t>New!PUMA Carina Street Womens Sneakers</t>
        </is>
      </c>
      <c r="E318" t="inlineStr">
        <is>
          <t>n/a</t>
        </is>
      </c>
    </row>
    <row r="319">
      <c r="A319" t="inlineStr">
        <is>
          <t>195552638570</t>
        </is>
      </c>
      <c r="B319" t="n">
        <v>42.7405</v>
      </c>
      <c r="C319" t="inlineStr">
        <is>
          <t>195552638570</t>
        </is>
      </c>
      <c r="D319" t="inlineStr">
        <is>
          <t>New!PUMA Carina Street Womens Sneakers</t>
        </is>
      </c>
      <c r="E319" t="inlineStr">
        <is>
          <t>n/a</t>
        </is>
      </c>
    </row>
    <row r="320">
      <c r="A320" t="inlineStr">
        <is>
          <t>195552638617</t>
        </is>
      </c>
      <c r="B320" t="n">
        <v>42.7405</v>
      </c>
      <c r="C320" t="inlineStr">
        <is>
          <t>195552638617</t>
        </is>
      </c>
      <c r="D320" t="inlineStr">
        <is>
          <t>New!PUMA Carina Street Womens Sneakers</t>
        </is>
      </c>
      <c r="E320" t="inlineStr">
        <is>
          <t>n/a</t>
        </is>
      </c>
    </row>
    <row r="321">
      <c r="A321" t="inlineStr">
        <is>
          <t>195552638532</t>
        </is>
      </c>
      <c r="B321" t="n">
        <v>42.7405</v>
      </c>
      <c r="C321" t="inlineStr">
        <is>
          <t>195552638532</t>
        </is>
      </c>
      <c r="D321" t="inlineStr">
        <is>
          <t>New!PUMA Carina Street Womens Sneakers</t>
        </is>
      </c>
      <c r="E321" t="inlineStr">
        <is>
          <t>n/a</t>
        </is>
      </c>
    </row>
    <row r="322">
      <c r="A322" t="inlineStr">
        <is>
          <t>197674053668</t>
        </is>
      </c>
      <c r="B322" t="n">
        <v>71.25</v>
      </c>
      <c r="C322" t="inlineStr">
        <is>
          <t>197674053668</t>
        </is>
      </c>
      <c r="D322" t="inlineStr">
        <is>
          <t>New!PUMA Softride Enzo 5 Womens Running Shoes</t>
        </is>
      </c>
      <c r="E322" t="inlineStr">
        <is>
          <t>n/a</t>
        </is>
      </c>
    </row>
    <row r="323">
      <c r="A323" t="inlineStr">
        <is>
          <t>197674053729</t>
        </is>
      </c>
      <c r="B323" t="n">
        <v>71.25</v>
      </c>
      <c r="C323" t="inlineStr">
        <is>
          <t>197674053729</t>
        </is>
      </c>
      <c r="D323" t="inlineStr">
        <is>
          <t>New!PUMA Softride Enzo 5 Womens Running Shoes</t>
        </is>
      </c>
      <c r="E323" t="inlineStr">
        <is>
          <t>n/a</t>
        </is>
      </c>
    </row>
    <row r="324">
      <c r="A324" t="inlineStr">
        <is>
          <t>197674053675</t>
        </is>
      </c>
      <c r="B324" t="n">
        <v>71.25</v>
      </c>
      <c r="C324" t="inlineStr">
        <is>
          <t>197674053675</t>
        </is>
      </c>
      <c r="D324" t="inlineStr">
        <is>
          <t>New!PUMA Softride Enzo 5 Womens Running Shoes</t>
        </is>
      </c>
      <c r="E324" t="inlineStr">
        <is>
          <t>n/a</t>
        </is>
      </c>
    </row>
    <row r="325">
      <c r="A325" t="inlineStr">
        <is>
          <t>197674053736</t>
        </is>
      </c>
      <c r="B325" t="n">
        <v>71.25</v>
      </c>
      <c r="C325" t="inlineStr">
        <is>
          <t>197674053736</t>
        </is>
      </c>
      <c r="D325" t="inlineStr">
        <is>
          <t>New!PUMA Softride Enzo 5 Womens Running Shoes</t>
        </is>
      </c>
      <c r="E325" t="inlineStr">
        <is>
          <t>n/a</t>
        </is>
      </c>
    </row>
    <row r="326">
      <c r="A326" t="inlineStr">
        <is>
          <t>197674053682</t>
        </is>
      </c>
      <c r="B326" t="n">
        <v>71.25</v>
      </c>
      <c r="C326" t="inlineStr">
        <is>
          <t>197674053682</t>
        </is>
      </c>
      <c r="D326" t="inlineStr">
        <is>
          <t>New!PUMA Softride Enzo 5 Womens Running Shoes</t>
        </is>
      </c>
      <c r="E326" t="inlineStr">
        <is>
          <t>n/a</t>
        </is>
      </c>
    </row>
    <row r="327">
      <c r="A327" t="inlineStr">
        <is>
          <t>197674053743</t>
        </is>
      </c>
      <c r="B327" t="n">
        <v>71.25</v>
      </c>
      <c r="C327" t="inlineStr">
        <is>
          <t>197674053743</t>
        </is>
      </c>
      <c r="D327" t="inlineStr">
        <is>
          <t>New!PUMA Softride Enzo 5 Womens Running Shoes</t>
        </is>
      </c>
      <c r="E327" t="inlineStr">
        <is>
          <t>n/a</t>
        </is>
      </c>
    </row>
    <row r="328">
      <c r="A328" t="inlineStr">
        <is>
          <t>197674053699</t>
        </is>
      </c>
      <c r="B328" t="n">
        <v>71.25</v>
      </c>
      <c r="C328" t="inlineStr">
        <is>
          <t>197674053699</t>
        </is>
      </c>
      <c r="D328" t="inlineStr">
        <is>
          <t>New!PUMA Softride Enzo 5 Womens Running Shoes</t>
        </is>
      </c>
      <c r="E328" t="inlineStr">
        <is>
          <t>n/a</t>
        </is>
      </c>
    </row>
    <row r="329">
      <c r="A329" t="inlineStr">
        <is>
          <t>197674053750</t>
        </is>
      </c>
      <c r="B329" t="n">
        <v>71.25</v>
      </c>
      <c r="C329" t="inlineStr">
        <is>
          <t>197674053750</t>
        </is>
      </c>
      <c r="D329" t="inlineStr">
        <is>
          <t>New!PUMA Softride Enzo 5 Womens Running Shoes</t>
        </is>
      </c>
      <c r="E329" t="inlineStr">
        <is>
          <t>n/a</t>
        </is>
      </c>
    </row>
    <row r="330">
      <c r="A330" t="inlineStr">
        <is>
          <t>197674053705</t>
        </is>
      </c>
      <c r="B330" t="n">
        <v>71.25</v>
      </c>
      <c r="C330" t="inlineStr">
        <is>
          <t>197674053705</t>
        </is>
      </c>
      <c r="D330" t="inlineStr">
        <is>
          <t>New!PUMA Softride Enzo 5 Womens Running Shoes</t>
        </is>
      </c>
      <c r="E330" t="inlineStr">
        <is>
          <t>n/a</t>
        </is>
      </c>
    </row>
    <row r="331">
      <c r="A331" t="inlineStr">
        <is>
          <t>197674053767</t>
        </is>
      </c>
      <c r="B331" t="n">
        <v>71.25</v>
      </c>
      <c r="C331" t="inlineStr">
        <is>
          <t>197674053767</t>
        </is>
      </c>
      <c r="D331" t="inlineStr">
        <is>
          <t>New!PUMA Softride Enzo 5 Womens Running Shoes</t>
        </is>
      </c>
      <c r="E331" t="inlineStr">
        <is>
          <t>n/a</t>
        </is>
      </c>
    </row>
    <row r="332">
      <c r="A332" t="inlineStr">
        <is>
          <t>197674053774</t>
        </is>
      </c>
      <c r="B332" t="n">
        <v>71.25</v>
      </c>
      <c r="C332" t="inlineStr">
        <is>
          <t>197674053774</t>
        </is>
      </c>
      <c r="D332" t="inlineStr">
        <is>
          <t>New!PUMA Softride Enzo 5 Womens Running Shoes</t>
        </is>
      </c>
      <c r="E332" t="inlineStr">
        <is>
          <t>n/a</t>
        </is>
      </c>
    </row>
    <row r="333">
      <c r="A333" t="inlineStr">
        <is>
          <t>197674025900</t>
        </is>
      </c>
      <c r="B333" t="n">
        <v>71.25</v>
      </c>
      <c r="C333" t="inlineStr">
        <is>
          <t>197674025900</t>
        </is>
      </c>
      <c r="D333" t="inlineStr">
        <is>
          <t>New!PUMA Softride Enzo 5 Womens Running Shoes</t>
        </is>
      </c>
      <c r="E333" t="inlineStr">
        <is>
          <t>n/a</t>
        </is>
      </c>
    </row>
    <row r="334">
      <c r="A334" t="inlineStr">
        <is>
          <t>197674025962</t>
        </is>
      </c>
      <c r="B334" t="n">
        <v>71.25</v>
      </c>
      <c r="C334" t="inlineStr">
        <is>
          <t>197674025962</t>
        </is>
      </c>
      <c r="D334" t="inlineStr">
        <is>
          <t>New!PUMA Softride Enzo 5 Womens Running Shoes</t>
        </is>
      </c>
      <c r="E334" t="inlineStr">
        <is>
          <t>n/a</t>
        </is>
      </c>
    </row>
    <row r="335">
      <c r="A335" t="inlineStr">
        <is>
          <t>197674025917</t>
        </is>
      </c>
      <c r="B335" t="n">
        <v>71.25</v>
      </c>
      <c r="C335" t="inlineStr">
        <is>
          <t>197674025917</t>
        </is>
      </c>
      <c r="D335" t="inlineStr">
        <is>
          <t>New!PUMA Softride Enzo 5 Womens Running Shoes</t>
        </is>
      </c>
      <c r="E335" t="inlineStr">
        <is>
          <t>n/a</t>
        </is>
      </c>
    </row>
    <row r="336">
      <c r="A336" t="inlineStr">
        <is>
          <t>197674025979</t>
        </is>
      </c>
      <c r="B336" t="n">
        <v>71.25</v>
      </c>
      <c r="C336" t="inlineStr">
        <is>
          <t>197674025979</t>
        </is>
      </c>
      <c r="D336" t="inlineStr">
        <is>
          <t>New!PUMA Softride Enzo 5 Womens Running Shoes</t>
        </is>
      </c>
      <c r="E336" t="inlineStr">
        <is>
          <t>n/a</t>
        </is>
      </c>
    </row>
    <row r="337">
      <c r="A337" t="inlineStr">
        <is>
          <t>197674025924</t>
        </is>
      </c>
      <c r="B337" t="n">
        <v>71.25</v>
      </c>
      <c r="C337" t="inlineStr">
        <is>
          <t>197674025924</t>
        </is>
      </c>
      <c r="D337" t="inlineStr">
        <is>
          <t>New!PUMA Softride Enzo 5 Womens Running Shoes</t>
        </is>
      </c>
      <c r="E337" t="inlineStr">
        <is>
          <t>n/a</t>
        </is>
      </c>
    </row>
    <row r="338">
      <c r="A338" t="inlineStr">
        <is>
          <t>197674025986</t>
        </is>
      </c>
      <c r="B338" t="n">
        <v>71.25</v>
      </c>
      <c r="C338" t="inlineStr">
        <is>
          <t>197674025986</t>
        </is>
      </c>
      <c r="D338" t="inlineStr">
        <is>
          <t>New!PUMA Softride Enzo 5 Womens Running Shoes</t>
        </is>
      </c>
      <c r="E338" t="inlineStr">
        <is>
          <t>n/a</t>
        </is>
      </c>
    </row>
    <row r="339">
      <c r="A339" t="inlineStr">
        <is>
          <t>197674025931</t>
        </is>
      </c>
      <c r="B339" t="n">
        <v>71.25</v>
      </c>
      <c r="C339" t="inlineStr">
        <is>
          <t>197674025931</t>
        </is>
      </c>
      <c r="D339" t="inlineStr">
        <is>
          <t>New!PUMA Softride Enzo 5 Womens Running Shoes</t>
        </is>
      </c>
      <c r="E339" t="inlineStr">
        <is>
          <t>n/a</t>
        </is>
      </c>
    </row>
    <row r="340">
      <c r="A340" t="inlineStr">
        <is>
          <t>197674025993</t>
        </is>
      </c>
      <c r="B340" t="n">
        <v>71.25</v>
      </c>
      <c r="C340" t="inlineStr">
        <is>
          <t>197674025993</t>
        </is>
      </c>
      <c r="D340" t="inlineStr">
        <is>
          <t>New!PUMA Softride Enzo 5 Womens Running Shoes</t>
        </is>
      </c>
      <c r="E340" t="inlineStr">
        <is>
          <t>n/a</t>
        </is>
      </c>
    </row>
    <row r="341">
      <c r="A341" t="inlineStr">
        <is>
          <t>197674025948</t>
        </is>
      </c>
      <c r="B341" t="n">
        <v>71.25</v>
      </c>
      <c r="C341" t="inlineStr">
        <is>
          <t>197674025948</t>
        </is>
      </c>
      <c r="D341" t="inlineStr">
        <is>
          <t>New!PUMA Softride Enzo 5 Womens Running Shoes</t>
        </is>
      </c>
      <c r="E341" t="inlineStr">
        <is>
          <t>n/a</t>
        </is>
      </c>
    </row>
    <row r="342">
      <c r="A342" t="inlineStr">
        <is>
          <t>197674026006</t>
        </is>
      </c>
      <c r="B342" t="n">
        <v>71.25</v>
      </c>
      <c r="C342" t="inlineStr">
        <is>
          <t>197674026006</t>
        </is>
      </c>
      <c r="D342" t="inlineStr">
        <is>
          <t>New!PUMA Softride Enzo 5 Womens Running Shoes</t>
        </is>
      </c>
      <c r="E342" t="inlineStr">
        <is>
          <t>n/a</t>
        </is>
      </c>
    </row>
    <row r="343">
      <c r="A343" t="inlineStr">
        <is>
          <t>197674026013</t>
        </is>
      </c>
      <c r="B343" t="n">
        <v>71.25</v>
      </c>
      <c r="C343" t="inlineStr">
        <is>
          <t>197674026013</t>
        </is>
      </c>
      <c r="D343" t="inlineStr">
        <is>
          <t>New!PUMA Softride Enzo 5 Womens Running Shoes</t>
        </is>
      </c>
      <c r="E343" t="inlineStr">
        <is>
          <t>n/a</t>
        </is>
      </c>
    </row>
    <row r="344">
      <c r="A344" t="inlineStr">
        <is>
          <t>197672686783</t>
        </is>
      </c>
      <c r="B344" t="n">
        <v>66.5</v>
      </c>
      <c r="C344" t="inlineStr">
        <is>
          <t>197672686783</t>
        </is>
      </c>
      <c r="D344" t="inlineStr">
        <is>
          <t>New!PUMA Rebound Layup Stone Womens Basketball Shoes</t>
        </is>
      </c>
      <c r="E344" t="inlineStr">
        <is>
          <t>n/a</t>
        </is>
      </c>
    </row>
    <row r="345">
      <c r="A345" t="inlineStr">
        <is>
          <t>197672686844</t>
        </is>
      </c>
      <c r="B345" t="n">
        <v>66.5</v>
      </c>
      <c r="C345" t="inlineStr">
        <is>
          <t>197672686844</t>
        </is>
      </c>
      <c r="D345" t="inlineStr">
        <is>
          <t>New!PUMA Rebound Layup Stone Womens Basketball Shoes</t>
        </is>
      </c>
      <c r="E345" t="inlineStr">
        <is>
          <t>n/a</t>
        </is>
      </c>
    </row>
    <row r="346">
      <c r="A346" t="inlineStr">
        <is>
          <t>197672686790</t>
        </is>
      </c>
      <c r="B346" t="n">
        <v>66.5</v>
      </c>
      <c r="C346" t="inlineStr">
        <is>
          <t>197672686790</t>
        </is>
      </c>
      <c r="D346" t="inlineStr">
        <is>
          <t>New!PUMA Rebound Layup Stone Womens Basketball Shoes</t>
        </is>
      </c>
      <c r="E346" t="inlineStr">
        <is>
          <t>n/a</t>
        </is>
      </c>
    </row>
    <row r="347">
      <c r="A347" t="inlineStr">
        <is>
          <t>197672686851</t>
        </is>
      </c>
      <c r="B347" t="n">
        <v>66.5</v>
      </c>
      <c r="C347" t="inlineStr">
        <is>
          <t>197672686851</t>
        </is>
      </c>
      <c r="D347" t="inlineStr">
        <is>
          <t>New!PUMA Rebound Layup Stone Womens Basketball Shoes</t>
        </is>
      </c>
      <c r="E347" t="inlineStr">
        <is>
          <t>n/a</t>
        </is>
      </c>
    </row>
    <row r="348">
      <c r="A348" t="inlineStr">
        <is>
          <t>197672686806</t>
        </is>
      </c>
      <c r="B348" t="n">
        <v>66.5</v>
      </c>
      <c r="C348" t="inlineStr">
        <is>
          <t>197672686806</t>
        </is>
      </c>
      <c r="D348" t="inlineStr">
        <is>
          <t>New!PUMA Rebound Layup Stone Womens Basketball Shoes</t>
        </is>
      </c>
      <c r="E348" t="inlineStr">
        <is>
          <t>n/a</t>
        </is>
      </c>
    </row>
    <row r="349">
      <c r="A349" t="inlineStr">
        <is>
          <t>197672686868</t>
        </is>
      </c>
      <c r="B349" t="n">
        <v>66.5</v>
      </c>
      <c r="C349" t="inlineStr">
        <is>
          <t>197672686868</t>
        </is>
      </c>
      <c r="D349" t="inlineStr">
        <is>
          <t>New!PUMA Rebound Layup Stone Womens Basketball Shoes</t>
        </is>
      </c>
      <c r="E349" t="inlineStr">
        <is>
          <t>n/a</t>
        </is>
      </c>
    </row>
    <row r="350">
      <c r="A350" t="inlineStr">
        <is>
          <t>197672686813</t>
        </is>
      </c>
      <c r="B350" t="n">
        <v>66.5</v>
      </c>
      <c r="C350" t="inlineStr">
        <is>
          <t>197672686813</t>
        </is>
      </c>
      <c r="D350" t="inlineStr">
        <is>
          <t>New!PUMA Rebound Layup Stone Womens Basketball Shoes</t>
        </is>
      </c>
      <c r="E350" t="inlineStr">
        <is>
          <t>n/a</t>
        </is>
      </c>
    </row>
    <row r="351">
      <c r="A351" t="inlineStr">
        <is>
          <t>197672686875</t>
        </is>
      </c>
      <c r="B351" t="n">
        <v>66.5</v>
      </c>
      <c r="C351" t="inlineStr">
        <is>
          <t>197672686875</t>
        </is>
      </c>
      <c r="D351" t="inlineStr">
        <is>
          <t>New!PUMA Rebound Layup Stone Womens Basketball Shoes</t>
        </is>
      </c>
      <c r="E351" t="inlineStr">
        <is>
          <t>n/a</t>
        </is>
      </c>
    </row>
    <row r="352">
      <c r="A352" t="inlineStr">
        <is>
          <t>197672686820</t>
        </is>
      </c>
      <c r="B352" t="n">
        <v>66.5</v>
      </c>
      <c r="C352" t="inlineStr">
        <is>
          <t>197672686820</t>
        </is>
      </c>
      <c r="D352" t="inlineStr">
        <is>
          <t>New!PUMA Rebound Layup Stone Womens Basketball Shoes</t>
        </is>
      </c>
      <c r="E352" t="inlineStr">
        <is>
          <t>n/a</t>
        </is>
      </c>
    </row>
    <row r="353">
      <c r="A353" t="inlineStr">
        <is>
          <t>197672686882</t>
        </is>
      </c>
      <c r="B353" t="n">
        <v>66.5</v>
      </c>
      <c r="C353" t="inlineStr">
        <is>
          <t>197672686882</t>
        </is>
      </c>
      <c r="D353" t="inlineStr">
        <is>
          <t>New!PUMA Rebound Layup Stone Womens Basketball Shoes</t>
        </is>
      </c>
      <c r="E353" t="inlineStr">
        <is>
          <t>n/a</t>
        </is>
      </c>
    </row>
    <row r="354">
      <c r="A354" t="inlineStr">
        <is>
          <t>197672686899</t>
        </is>
      </c>
      <c r="B354" t="n">
        <v>66.5</v>
      </c>
      <c r="C354" t="inlineStr">
        <is>
          <t>197672686899</t>
        </is>
      </c>
      <c r="D354" t="inlineStr">
        <is>
          <t>New!PUMA Rebound Layup Stone Womens Basketball Shoes</t>
        </is>
      </c>
      <c r="E354" t="inlineStr">
        <is>
          <t>n/a</t>
        </is>
      </c>
    </row>
    <row r="355">
      <c r="A355" t="inlineStr">
        <is>
          <t>197674365402</t>
        </is>
      </c>
      <c r="B355" t="n">
        <v>76</v>
      </c>
      <c r="C355" t="inlineStr">
        <is>
          <t>197674365402</t>
        </is>
      </c>
      <c r="D355" t="inlineStr">
        <is>
          <t>New!PUMA Voltaic Evo Womens Running Shoes</t>
        </is>
      </c>
      <c r="E355" t="inlineStr">
        <is>
          <t>n/a</t>
        </is>
      </c>
    </row>
    <row r="356">
      <c r="A356" t="inlineStr">
        <is>
          <t>197674365464</t>
        </is>
      </c>
      <c r="B356" t="n">
        <v>76</v>
      </c>
      <c r="C356" t="inlineStr">
        <is>
          <t>197674365464</t>
        </is>
      </c>
      <c r="D356" t="inlineStr">
        <is>
          <t>New!PUMA Voltaic Evo Womens Running Shoes</t>
        </is>
      </c>
      <c r="E356" t="inlineStr">
        <is>
          <t>n/a</t>
        </is>
      </c>
    </row>
    <row r="357">
      <c r="A357" t="inlineStr">
        <is>
          <t>197674365419</t>
        </is>
      </c>
      <c r="B357" t="n">
        <v>76</v>
      </c>
      <c r="C357" t="inlineStr">
        <is>
          <t>197674365419</t>
        </is>
      </c>
      <c r="D357" t="inlineStr">
        <is>
          <t>New!PUMA Voltaic Evo Womens Running Shoes</t>
        </is>
      </c>
      <c r="E357" t="inlineStr">
        <is>
          <t>n/a</t>
        </is>
      </c>
    </row>
    <row r="358">
      <c r="A358" t="inlineStr">
        <is>
          <t>197674365471</t>
        </is>
      </c>
      <c r="B358" t="n">
        <v>76</v>
      </c>
      <c r="C358" t="inlineStr">
        <is>
          <t>197674365471</t>
        </is>
      </c>
      <c r="D358" t="inlineStr">
        <is>
          <t>New!PUMA Voltaic Evo Womens Running Shoes</t>
        </is>
      </c>
      <c r="E358" t="inlineStr">
        <is>
          <t>n/a</t>
        </is>
      </c>
    </row>
    <row r="359">
      <c r="A359" t="inlineStr">
        <is>
          <t>197674365426</t>
        </is>
      </c>
      <c r="B359" t="n">
        <v>76</v>
      </c>
      <c r="C359" t="inlineStr">
        <is>
          <t>197674365426</t>
        </is>
      </c>
      <c r="D359" t="inlineStr">
        <is>
          <t>New!PUMA Voltaic Evo Womens Running Shoes</t>
        </is>
      </c>
      <c r="E359" t="inlineStr">
        <is>
          <t>n/a</t>
        </is>
      </c>
    </row>
    <row r="360">
      <c r="A360" t="inlineStr">
        <is>
          <t>197674365488</t>
        </is>
      </c>
      <c r="B360" t="n">
        <v>76</v>
      </c>
      <c r="C360" t="inlineStr">
        <is>
          <t>197674365488</t>
        </is>
      </c>
      <c r="D360" t="inlineStr">
        <is>
          <t>New!PUMA Voltaic Evo Womens Running Shoes</t>
        </is>
      </c>
      <c r="E360" t="inlineStr">
        <is>
          <t>n/a</t>
        </is>
      </c>
    </row>
    <row r="361">
      <c r="A361" t="inlineStr">
        <is>
          <t>197674365433</t>
        </is>
      </c>
      <c r="B361" t="n">
        <v>76</v>
      </c>
      <c r="C361" t="inlineStr">
        <is>
          <t>197674365433</t>
        </is>
      </c>
      <c r="D361" t="inlineStr">
        <is>
          <t>New!PUMA Voltaic Evo Womens Running Shoes</t>
        </is>
      </c>
      <c r="E361" t="inlineStr">
        <is>
          <t>n/a</t>
        </is>
      </c>
    </row>
    <row r="362">
      <c r="A362" t="inlineStr">
        <is>
          <t>197674365495</t>
        </is>
      </c>
      <c r="B362" t="n">
        <v>76</v>
      </c>
      <c r="C362" t="inlineStr">
        <is>
          <t>197674365495</t>
        </is>
      </c>
      <c r="D362" t="inlineStr">
        <is>
          <t>New!PUMA Voltaic Evo Womens Running Shoes</t>
        </is>
      </c>
      <c r="E362" t="inlineStr">
        <is>
          <t>n/a</t>
        </is>
      </c>
    </row>
    <row r="363">
      <c r="A363" t="inlineStr">
        <is>
          <t>197674365440</t>
        </is>
      </c>
      <c r="B363" t="n">
        <v>76</v>
      </c>
      <c r="C363" t="inlineStr">
        <is>
          <t>197674365440</t>
        </is>
      </c>
      <c r="D363" t="inlineStr">
        <is>
          <t>New!PUMA Voltaic Evo Womens Running Shoes</t>
        </is>
      </c>
      <c r="E363" t="inlineStr">
        <is>
          <t>n/a</t>
        </is>
      </c>
    </row>
    <row r="364">
      <c r="A364" t="inlineStr">
        <is>
          <t>197674365501</t>
        </is>
      </c>
      <c r="B364" t="n">
        <v>76</v>
      </c>
      <c r="C364" t="inlineStr">
        <is>
          <t>197674365501</t>
        </is>
      </c>
      <c r="D364" t="inlineStr">
        <is>
          <t>New!PUMA Voltaic Evo Womens Running Shoes</t>
        </is>
      </c>
      <c r="E364" t="inlineStr">
        <is>
          <t>n/a</t>
        </is>
      </c>
    </row>
    <row r="365">
      <c r="A365" t="inlineStr">
        <is>
          <t>197674365518</t>
        </is>
      </c>
      <c r="B365" t="n">
        <v>76</v>
      </c>
      <c r="C365" t="inlineStr">
        <is>
          <t>197674365518</t>
        </is>
      </c>
      <c r="D365" t="inlineStr">
        <is>
          <t>New!PUMA Voltaic Evo Womens Running Shoes</t>
        </is>
      </c>
      <c r="E365" t="inlineStr">
        <is>
          <t>n/a</t>
        </is>
      </c>
    </row>
    <row r="366">
      <c r="A366" t="inlineStr">
        <is>
          <t>196858049268</t>
        </is>
      </c>
      <c r="B366" t="n">
        <v>37.9905</v>
      </c>
      <c r="C366" t="inlineStr">
        <is>
          <t>196858049268</t>
        </is>
      </c>
      <c r="D366" t="inlineStr">
        <is>
          <t>New!PUMA STARLA</t>
        </is>
      </c>
      <c r="E366" t="inlineStr">
        <is>
          <t>n/a</t>
        </is>
      </c>
    </row>
    <row r="367">
      <c r="A367" t="inlineStr">
        <is>
          <t>196858049275</t>
        </is>
      </c>
      <c r="B367" t="n">
        <v>37.9905</v>
      </c>
      <c r="C367" t="inlineStr">
        <is>
          <t>196858049275</t>
        </is>
      </c>
      <c r="D367" t="inlineStr">
        <is>
          <t>New!PUMA STARLA</t>
        </is>
      </c>
      <c r="E367" t="inlineStr">
        <is>
          <t>n/a</t>
        </is>
      </c>
    </row>
    <row r="368">
      <c r="A368" t="inlineStr">
        <is>
          <t>196858049282</t>
        </is>
      </c>
      <c r="B368" t="n">
        <v>37.9905</v>
      </c>
      <c r="C368" t="inlineStr">
        <is>
          <t>196858049282</t>
        </is>
      </c>
      <c r="D368" t="inlineStr">
        <is>
          <t>New!PUMA STARLA</t>
        </is>
      </c>
      <c r="E368" t="inlineStr">
        <is>
          <t>n/a</t>
        </is>
      </c>
    </row>
    <row r="369">
      <c r="A369" t="inlineStr">
        <is>
          <t>196858049299</t>
        </is>
      </c>
      <c r="B369" t="n">
        <v>37.9905</v>
      </c>
      <c r="C369" t="inlineStr">
        <is>
          <t>196858049299</t>
        </is>
      </c>
      <c r="D369" t="inlineStr">
        <is>
          <t>New!PUMA STARLA</t>
        </is>
      </c>
      <c r="E369" t="inlineStr">
        <is>
          <t>n/a</t>
        </is>
      </c>
    </row>
    <row r="370">
      <c r="A370" t="inlineStr">
        <is>
          <t>196858049305</t>
        </is>
      </c>
      <c r="B370" t="n">
        <v>37.9905</v>
      </c>
      <c r="C370" t="inlineStr">
        <is>
          <t>196858049305</t>
        </is>
      </c>
      <c r="D370" t="inlineStr">
        <is>
          <t>New!PUMA STARLA</t>
        </is>
      </c>
      <c r="E370" t="inlineStr">
        <is>
          <t>n/a</t>
        </is>
      </c>
    </row>
    <row r="371">
      <c r="A371" t="inlineStr">
        <is>
          <t>196858049312</t>
        </is>
      </c>
      <c r="B371" t="n">
        <v>37.9905</v>
      </c>
      <c r="C371" t="inlineStr">
        <is>
          <t>196858049312</t>
        </is>
      </c>
      <c r="D371" t="inlineStr">
        <is>
          <t>New!PUMA STARLA</t>
        </is>
      </c>
      <c r="E371" t="inlineStr">
        <is>
          <t>n/a</t>
        </is>
      </c>
    </row>
    <row r="372">
      <c r="A372" t="inlineStr">
        <is>
          <t>196858049329</t>
        </is>
      </c>
      <c r="B372" t="n">
        <v>37.9905</v>
      </c>
      <c r="C372" t="inlineStr">
        <is>
          <t>196858049329</t>
        </is>
      </c>
      <c r="D372" t="inlineStr">
        <is>
          <t>New!PUMA STARLA</t>
        </is>
      </c>
      <c r="E372" t="inlineStr">
        <is>
          <t>n/a</t>
        </is>
      </c>
    </row>
    <row r="373">
      <c r="A373" t="inlineStr">
        <is>
          <t>196858049336</t>
        </is>
      </c>
      <c r="B373" t="n">
        <v>37.9905</v>
      </c>
      <c r="C373" t="inlineStr">
        <is>
          <t>196858049336</t>
        </is>
      </c>
      <c r="D373" t="inlineStr">
        <is>
          <t>New!PUMA STARLA</t>
        </is>
      </c>
      <c r="E373" t="inlineStr">
        <is>
          <t>n/a</t>
        </is>
      </c>
    </row>
    <row r="374">
      <c r="A374" t="inlineStr">
        <is>
          <t>196858049343</t>
        </is>
      </c>
      <c r="B374" t="n">
        <v>37.9905</v>
      </c>
      <c r="C374" t="inlineStr">
        <is>
          <t>196858049343</t>
        </is>
      </c>
      <c r="D374" t="inlineStr">
        <is>
          <t>New!PUMA STARLA</t>
        </is>
      </c>
      <c r="E374" t="inlineStr">
        <is>
          <t>n/a</t>
        </is>
      </c>
    </row>
    <row r="375">
      <c r="A375" t="inlineStr">
        <is>
          <t>196858049350</t>
        </is>
      </c>
      <c r="B375" t="n">
        <v>37.9905</v>
      </c>
      <c r="C375" t="inlineStr">
        <is>
          <t>196858049350</t>
        </is>
      </c>
      <c r="D375" t="inlineStr">
        <is>
          <t>New!PUMA STARLA</t>
        </is>
      </c>
      <c r="E375" t="inlineStr">
        <is>
          <t>n/a</t>
        </is>
      </c>
    </row>
    <row r="376">
      <c r="A376" t="inlineStr">
        <is>
          <t>196858049374</t>
        </is>
      </c>
      <c r="B376" t="n">
        <v>37.9905</v>
      </c>
      <c r="C376" t="inlineStr">
        <is>
          <t>196858049374</t>
        </is>
      </c>
      <c r="D376" t="inlineStr">
        <is>
          <t>New!PUMA STARLA</t>
        </is>
      </c>
      <c r="E376" t="inlineStr">
        <is>
          <t>n/a</t>
        </is>
      </c>
    </row>
    <row r="377">
      <c r="A377" t="inlineStr">
        <is>
          <t>196474626331</t>
        </is>
      </c>
      <c r="C377" t="inlineStr">
        <is>
          <t>196474626331</t>
        </is>
      </c>
      <c r="D377" t="inlineStr">
        <is>
          <t>adidas Vl Court 3.0 Womens Sneakers</t>
        </is>
      </c>
      <c r="E377" t="inlineStr">
        <is>
          <t>n/a</t>
        </is>
      </c>
    </row>
    <row r="378">
      <c r="A378" t="inlineStr">
        <is>
          <t>196474626386</t>
        </is>
      </c>
      <c r="C378" t="inlineStr">
        <is>
          <t>196474626386</t>
        </is>
      </c>
      <c r="D378" t="inlineStr">
        <is>
          <t>adidas Vl Court 3.0 Womens Sneakers</t>
        </is>
      </c>
      <c r="E378" t="inlineStr">
        <is>
          <t>n/a</t>
        </is>
      </c>
    </row>
    <row r="379">
      <c r="A379" t="inlineStr">
        <is>
          <t>196474626348</t>
        </is>
      </c>
      <c r="C379" t="inlineStr">
        <is>
          <t>196474626348</t>
        </is>
      </c>
      <c r="D379" t="inlineStr">
        <is>
          <t>adidas Vl Court 3.0 Womens Sneakers</t>
        </is>
      </c>
      <c r="E379" t="inlineStr">
        <is>
          <t>n/a</t>
        </is>
      </c>
    </row>
    <row r="380">
      <c r="A380" t="inlineStr">
        <is>
          <t>196474626362</t>
        </is>
      </c>
      <c r="C380" t="inlineStr">
        <is>
          <t>196474626362</t>
        </is>
      </c>
      <c r="D380" t="inlineStr">
        <is>
          <t>adidas Vl Court 3.0 Womens Sneakers</t>
        </is>
      </c>
      <c r="E380" t="inlineStr">
        <is>
          <t>n/a</t>
        </is>
      </c>
    </row>
    <row r="381">
      <c r="A381" t="inlineStr">
        <is>
          <t>196474626423</t>
        </is>
      </c>
      <c r="C381" t="inlineStr">
        <is>
          <t>196474626423</t>
        </is>
      </c>
      <c r="D381" t="inlineStr">
        <is>
          <t>adidas Vl Court 3.0 Womens Sneakers</t>
        </is>
      </c>
      <c r="E381" t="inlineStr">
        <is>
          <t>n/a</t>
        </is>
      </c>
    </row>
    <row r="382">
      <c r="A382" t="inlineStr">
        <is>
          <t>196474626430</t>
        </is>
      </c>
      <c r="C382" t="inlineStr">
        <is>
          <t>196474626430</t>
        </is>
      </c>
      <c r="D382" t="inlineStr">
        <is>
          <t>adidas Vl Court 3.0 Womens Sneakers</t>
        </is>
      </c>
      <c r="E382" t="inlineStr">
        <is>
          <t>n/a</t>
        </is>
      </c>
    </row>
    <row r="383">
      <c r="A383" t="inlineStr">
        <is>
          <t>196474626416</t>
        </is>
      </c>
      <c r="C383" t="inlineStr">
        <is>
          <t>196474626416</t>
        </is>
      </c>
      <c r="D383" t="inlineStr">
        <is>
          <t>adidas Vl Court 3.0 Womens Sneakers</t>
        </is>
      </c>
      <c r="E383" t="inlineStr">
        <is>
          <t>n/a</t>
        </is>
      </c>
    </row>
    <row r="384">
      <c r="A384" t="inlineStr">
        <is>
          <t>196474626409</t>
        </is>
      </c>
      <c r="C384" t="inlineStr">
        <is>
          <t>196474626409</t>
        </is>
      </c>
      <c r="D384" t="inlineStr">
        <is>
          <t>adidas Vl Court 3.0 Womens Sneakers</t>
        </is>
      </c>
      <c r="E384" t="inlineStr">
        <is>
          <t>n/a</t>
        </is>
      </c>
    </row>
    <row r="385">
      <c r="A385" t="inlineStr">
        <is>
          <t>196474626355</t>
        </is>
      </c>
      <c r="C385" t="inlineStr">
        <is>
          <t>196474626355</t>
        </is>
      </c>
      <c r="D385" t="inlineStr">
        <is>
          <t>adidas Vl Court 3.0 Womens Sneakers</t>
        </is>
      </c>
      <c r="E385" t="inlineStr">
        <is>
          <t>n/a</t>
        </is>
      </c>
    </row>
    <row r="386">
      <c r="A386" t="inlineStr">
        <is>
          <t>196474626317</t>
        </is>
      </c>
      <c r="C386" t="inlineStr">
        <is>
          <t>196474626317</t>
        </is>
      </c>
      <c r="D386" t="inlineStr">
        <is>
          <t>adidas Vl Court 3.0 Womens Sneakers</t>
        </is>
      </c>
      <c r="E386" t="inlineStr">
        <is>
          <t>n/a</t>
        </is>
      </c>
    </row>
    <row r="387">
      <c r="A387" t="inlineStr">
        <is>
          <t>196474626393</t>
        </is>
      </c>
      <c r="C387" t="inlineStr">
        <is>
          <t>196474626393</t>
        </is>
      </c>
      <c r="D387" t="inlineStr">
        <is>
          <t>adidas Vl Court 3.0 Womens Sneakers</t>
        </is>
      </c>
      <c r="E387" t="inlineStr">
        <is>
          <t>n/a</t>
        </is>
      </c>
    </row>
    <row r="388">
      <c r="A388" t="inlineStr">
        <is>
          <t>196474626324</t>
        </is>
      </c>
      <c r="C388" t="inlineStr">
        <is>
          <t>196474626324</t>
        </is>
      </c>
      <c r="D388" t="inlineStr">
        <is>
          <t>adidas Vl Court 3.0 Womens Sneakers</t>
        </is>
      </c>
      <c r="E388" t="inlineStr">
        <is>
          <t>n/a</t>
        </is>
      </c>
    </row>
    <row r="389">
      <c r="A389" t="inlineStr">
        <is>
          <t>197609901859</t>
        </is>
      </c>
      <c r="C389" t="inlineStr">
        <is>
          <t>197609901859</t>
        </is>
      </c>
      <c r="D389" t="inlineStr">
        <is>
          <t>adidas Vl Court 3.0 Womens Sneakers</t>
        </is>
      </c>
      <c r="E389" t="inlineStr">
        <is>
          <t>n/a</t>
        </is>
      </c>
    </row>
    <row r="390">
      <c r="A390" t="inlineStr">
        <is>
          <t>197609901873</t>
        </is>
      </c>
      <c r="C390" t="inlineStr">
        <is>
          <t>197609901873</t>
        </is>
      </c>
      <c r="D390" t="inlineStr">
        <is>
          <t>adidas Vl Court 3.0 Womens Sneakers</t>
        </is>
      </c>
      <c r="E390" t="inlineStr">
        <is>
          <t>n/a</t>
        </is>
      </c>
    </row>
    <row r="391">
      <c r="A391" t="inlineStr">
        <is>
          <t>197609899583</t>
        </is>
      </c>
      <c r="C391" t="inlineStr">
        <is>
          <t>197609899583</t>
        </is>
      </c>
      <c r="D391" t="inlineStr">
        <is>
          <t>adidas Vl Court 3.0 Womens Sneakers</t>
        </is>
      </c>
      <c r="E391" t="inlineStr">
        <is>
          <t>n/a</t>
        </is>
      </c>
    </row>
    <row r="392">
      <c r="A392" t="inlineStr">
        <is>
          <t>197609899651</t>
        </is>
      </c>
      <c r="C392" t="inlineStr">
        <is>
          <t>197609899651</t>
        </is>
      </c>
      <c r="D392" t="inlineStr">
        <is>
          <t>adidas Vl Court 3.0 Womens Sneakers</t>
        </is>
      </c>
      <c r="E392" t="inlineStr">
        <is>
          <t>n/a</t>
        </is>
      </c>
    </row>
    <row r="393">
      <c r="A393" t="inlineStr">
        <is>
          <t>197609899675</t>
        </is>
      </c>
      <c r="C393" t="inlineStr">
        <is>
          <t>197609899675</t>
        </is>
      </c>
      <c r="D393" t="inlineStr">
        <is>
          <t>adidas Vl Court 3.0 Womens Sneakers</t>
        </is>
      </c>
      <c r="E393" t="inlineStr">
        <is>
          <t>n/a</t>
        </is>
      </c>
    </row>
    <row r="394">
      <c r="A394" t="inlineStr">
        <is>
          <t>197609899620</t>
        </is>
      </c>
      <c r="C394" t="inlineStr">
        <is>
          <t>197609899620</t>
        </is>
      </c>
      <c r="D394" t="inlineStr">
        <is>
          <t>adidas Vl Court 3.0 Womens Sneakers</t>
        </is>
      </c>
      <c r="E394" t="inlineStr">
        <is>
          <t>n/a</t>
        </is>
      </c>
    </row>
    <row r="395">
      <c r="A395" t="inlineStr">
        <is>
          <t>197609899606</t>
        </is>
      </c>
      <c r="C395" t="inlineStr">
        <is>
          <t>197609899606</t>
        </is>
      </c>
      <c r="D395" t="inlineStr">
        <is>
          <t>adidas Vl Court 3.0 Womens Sneakers</t>
        </is>
      </c>
      <c r="E395" t="inlineStr">
        <is>
          <t>n/a</t>
        </is>
      </c>
    </row>
    <row r="396">
      <c r="A396" t="inlineStr">
        <is>
          <t>197609899668</t>
        </is>
      </c>
      <c r="C396" t="inlineStr">
        <is>
          <t>197609899668</t>
        </is>
      </c>
      <c r="D396" t="inlineStr">
        <is>
          <t>adidas Vl Court 3.0 Womens Sneakers</t>
        </is>
      </c>
      <c r="E396" t="inlineStr">
        <is>
          <t>n/a</t>
        </is>
      </c>
    </row>
    <row r="397">
      <c r="A397" t="inlineStr">
        <is>
          <t>197609899590</t>
        </is>
      </c>
      <c r="C397" t="inlineStr">
        <is>
          <t>197609899590</t>
        </is>
      </c>
      <c r="D397" t="inlineStr">
        <is>
          <t>adidas Vl Court 3.0 Womens Sneakers</t>
        </is>
      </c>
      <c r="E397" t="inlineStr">
        <is>
          <t>n/a</t>
        </is>
      </c>
    </row>
    <row r="398">
      <c r="A398" t="inlineStr">
        <is>
          <t>197609899644</t>
        </is>
      </c>
      <c r="C398" t="inlineStr">
        <is>
          <t>197609899644</t>
        </is>
      </c>
      <c r="D398" t="inlineStr">
        <is>
          <t>adidas Vl Court 3.0 Womens Sneakers</t>
        </is>
      </c>
      <c r="E398" t="inlineStr">
        <is>
          <t>n/a</t>
        </is>
      </c>
    </row>
    <row r="399">
      <c r="A399" t="inlineStr">
        <is>
          <t>197609901842</t>
        </is>
      </c>
      <c r="C399" t="inlineStr">
        <is>
          <t>197609901842</t>
        </is>
      </c>
      <c r="D399" t="inlineStr">
        <is>
          <t>adidas Vl Court 3.0 Womens Sneakers</t>
        </is>
      </c>
      <c r="E399" t="inlineStr">
        <is>
          <t>n/a</t>
        </is>
      </c>
    </row>
    <row r="400">
      <c r="A400" t="inlineStr">
        <is>
          <t>197609899613</t>
        </is>
      </c>
      <c r="C400" t="inlineStr">
        <is>
          <t>197609899613</t>
        </is>
      </c>
      <c r="D400" t="inlineStr">
        <is>
          <t>adidas Vl Court 3.0 Womens Sneakers</t>
        </is>
      </c>
      <c r="E400" t="inlineStr">
        <is>
          <t>n/a</t>
        </is>
      </c>
    </row>
    <row r="401">
      <c r="A401" t="inlineStr">
        <is>
          <t>194830675931</t>
        </is>
      </c>
      <c r="B401" t="n">
        <v>28.4905</v>
      </c>
      <c r="C401" t="inlineStr">
        <is>
          <t>194830675931</t>
        </is>
      </c>
      <c r="D401" t="inlineStr">
        <is>
          <t>adidas Womens Lite Racer 3.0 Walking Shoes</t>
        </is>
      </c>
      <c r="E401" t="inlineStr">
        <is>
          <t>n/a</t>
        </is>
      </c>
    </row>
    <row r="402">
      <c r="A402" t="inlineStr">
        <is>
          <t>194830675979</t>
        </is>
      </c>
      <c r="B402" t="n">
        <v>28.4905</v>
      </c>
      <c r="C402" t="inlineStr">
        <is>
          <t>194830675979</t>
        </is>
      </c>
      <c r="D402" t="inlineStr">
        <is>
          <t>adidas Womens Lite Racer 3.0 Walking Shoes</t>
        </is>
      </c>
      <c r="E402" t="inlineStr">
        <is>
          <t>n/a</t>
        </is>
      </c>
    </row>
    <row r="403">
      <c r="A403" t="inlineStr">
        <is>
          <t>194830675924</t>
        </is>
      </c>
      <c r="B403" t="n">
        <v>28.4905</v>
      </c>
      <c r="C403" t="inlineStr">
        <is>
          <t>194830675924</t>
        </is>
      </c>
      <c r="D403" t="inlineStr">
        <is>
          <t>adidas Womens Lite Racer 3.0 Walking Shoes</t>
        </is>
      </c>
      <c r="E403" t="inlineStr">
        <is>
          <t>n/a</t>
        </is>
      </c>
    </row>
    <row r="404">
      <c r="A404" t="inlineStr">
        <is>
          <t>194830676013</t>
        </is>
      </c>
      <c r="B404" t="n">
        <v>28.4905</v>
      </c>
      <c r="C404" t="inlineStr">
        <is>
          <t>194830676013</t>
        </is>
      </c>
      <c r="D404" t="inlineStr">
        <is>
          <t>adidas Womens Lite Racer 3.0 Walking Shoes</t>
        </is>
      </c>
      <c r="E404" t="inlineStr">
        <is>
          <t>n/a</t>
        </is>
      </c>
    </row>
    <row r="405">
      <c r="A405" t="inlineStr">
        <is>
          <t>194830675993</t>
        </is>
      </c>
      <c r="B405" t="n">
        <v>28.4905</v>
      </c>
      <c r="C405" t="inlineStr">
        <is>
          <t>194830675993</t>
        </is>
      </c>
      <c r="D405" t="inlineStr">
        <is>
          <t>adidas Womens Lite Racer 3.0 Walking Shoes</t>
        </is>
      </c>
      <c r="E405" t="inlineStr">
        <is>
          <t>n/a</t>
        </is>
      </c>
    </row>
    <row r="406">
      <c r="A406" t="inlineStr">
        <is>
          <t>194830675948</t>
        </is>
      </c>
      <c r="B406" t="n">
        <v>28.4905</v>
      </c>
      <c r="C406" t="inlineStr">
        <is>
          <t>194830675948</t>
        </is>
      </c>
      <c r="D406" t="inlineStr">
        <is>
          <t>adidas Womens Lite Racer 3.0 Walking Shoes</t>
        </is>
      </c>
      <c r="E406" t="inlineStr">
        <is>
          <t>n/a</t>
        </is>
      </c>
    </row>
    <row r="407">
      <c r="A407" t="inlineStr">
        <is>
          <t>194830675917</t>
        </is>
      </c>
      <c r="B407" t="n">
        <v>28.4905</v>
      </c>
      <c r="C407" t="inlineStr">
        <is>
          <t>194830675917</t>
        </is>
      </c>
      <c r="D407" t="inlineStr">
        <is>
          <t>adidas Womens Lite Racer 3.0 Walking Shoes</t>
        </is>
      </c>
      <c r="E407" t="inlineStr">
        <is>
          <t>n/a</t>
        </is>
      </c>
    </row>
    <row r="408">
      <c r="A408" t="inlineStr">
        <is>
          <t>194830675962</t>
        </is>
      </c>
      <c r="B408" t="n">
        <v>28.4905</v>
      </c>
      <c r="C408" t="inlineStr">
        <is>
          <t>194830675962</t>
        </is>
      </c>
      <c r="D408" t="inlineStr">
        <is>
          <t>adidas Womens Lite Racer 3.0 Walking Shoes</t>
        </is>
      </c>
      <c r="E408" t="inlineStr">
        <is>
          <t>n/a</t>
        </is>
      </c>
    </row>
    <row r="409">
      <c r="A409" t="inlineStr">
        <is>
          <t>194830675986</t>
        </is>
      </c>
      <c r="B409" t="n">
        <v>28.4905</v>
      </c>
      <c r="C409" t="inlineStr">
        <is>
          <t>194830675986</t>
        </is>
      </c>
      <c r="D409" t="inlineStr">
        <is>
          <t>adidas Womens Lite Racer 3.0 Walking Shoes</t>
        </is>
      </c>
      <c r="E409" t="inlineStr">
        <is>
          <t>n/a</t>
        </is>
      </c>
    </row>
    <row r="410">
      <c r="A410" t="inlineStr">
        <is>
          <t>195739844800</t>
        </is>
      </c>
      <c r="C410" t="inlineStr">
        <is>
          <t>195739844800</t>
        </is>
      </c>
      <c r="D410" t="inlineStr">
        <is>
          <t>adidas Grand Court 2.0 Womens Sneakers</t>
        </is>
      </c>
      <c r="E410" t="inlineStr">
        <is>
          <t>n/a</t>
        </is>
      </c>
    </row>
    <row r="411">
      <c r="A411" t="inlineStr">
        <is>
          <t>195739844862</t>
        </is>
      </c>
      <c r="C411" t="inlineStr">
        <is>
          <t>195739844862</t>
        </is>
      </c>
      <c r="D411" t="inlineStr">
        <is>
          <t>adidas Grand Court 2.0 Womens Sneakers</t>
        </is>
      </c>
      <c r="E411" t="inlineStr">
        <is>
          <t>n/a</t>
        </is>
      </c>
    </row>
    <row r="412">
      <c r="A412" t="inlineStr">
        <is>
          <t>195739844824</t>
        </is>
      </c>
      <c r="C412" t="inlineStr">
        <is>
          <t>195739844824</t>
        </is>
      </c>
      <c r="D412" t="inlineStr">
        <is>
          <t>adidas Grand Court 2.0 Womens Sneakers</t>
        </is>
      </c>
      <c r="E412" t="inlineStr">
        <is>
          <t>n/a</t>
        </is>
      </c>
    </row>
    <row r="413">
      <c r="A413" t="inlineStr">
        <is>
          <t>195739844855</t>
        </is>
      </c>
      <c r="C413" t="inlineStr">
        <is>
          <t>195739844855</t>
        </is>
      </c>
      <c r="D413" t="inlineStr">
        <is>
          <t>adidas Grand Court 2.0 Womens Sneakers</t>
        </is>
      </c>
      <c r="E413" t="inlineStr">
        <is>
          <t>n/a</t>
        </is>
      </c>
    </row>
    <row r="414">
      <c r="A414" t="inlineStr">
        <is>
          <t>195739844879</t>
        </is>
      </c>
      <c r="C414" t="inlineStr">
        <is>
          <t>195739844879</t>
        </is>
      </c>
      <c r="D414" t="inlineStr">
        <is>
          <t>adidas Grand Court 2.0 Womens Sneakers</t>
        </is>
      </c>
      <c r="E414" t="inlineStr">
        <is>
          <t>n/a</t>
        </is>
      </c>
    </row>
    <row r="415">
      <c r="A415" t="inlineStr">
        <is>
          <t>195739844916</t>
        </is>
      </c>
      <c r="C415" t="inlineStr">
        <is>
          <t>195739844916</t>
        </is>
      </c>
      <c r="D415" t="inlineStr">
        <is>
          <t>adidas Grand Court 2.0 Womens Sneakers</t>
        </is>
      </c>
      <c r="E415" t="inlineStr">
        <is>
          <t>n/a</t>
        </is>
      </c>
    </row>
    <row r="416">
      <c r="A416" t="inlineStr">
        <is>
          <t>195739844893</t>
        </is>
      </c>
      <c r="C416" t="inlineStr">
        <is>
          <t>195739844893</t>
        </is>
      </c>
      <c r="D416" t="inlineStr">
        <is>
          <t>adidas Grand Court 2.0 Womens Sneakers</t>
        </is>
      </c>
      <c r="E416" t="inlineStr">
        <is>
          <t>n/a</t>
        </is>
      </c>
    </row>
    <row r="417">
      <c r="A417" t="inlineStr">
        <is>
          <t>195739844817</t>
        </is>
      </c>
      <c r="C417" t="inlineStr">
        <is>
          <t>195739844817</t>
        </is>
      </c>
      <c r="D417" t="inlineStr">
        <is>
          <t>adidas Grand Court 2.0 Womens Sneakers</t>
        </is>
      </c>
      <c r="E417" t="inlineStr">
        <is>
          <t>n/a</t>
        </is>
      </c>
    </row>
    <row r="418">
      <c r="A418" t="inlineStr">
        <is>
          <t>195739844886</t>
        </is>
      </c>
      <c r="C418" t="inlineStr">
        <is>
          <t>195739844886</t>
        </is>
      </c>
      <c r="D418" t="inlineStr">
        <is>
          <t>adidas Grand Court 2.0 Womens Sneakers</t>
        </is>
      </c>
      <c r="E418" t="inlineStr">
        <is>
          <t>n/a</t>
        </is>
      </c>
    </row>
    <row r="419">
      <c r="A419" t="inlineStr">
        <is>
          <t>195739844909</t>
        </is>
      </c>
      <c r="C419" t="inlineStr">
        <is>
          <t>195739844909</t>
        </is>
      </c>
      <c r="D419" t="inlineStr">
        <is>
          <t>adidas Grand Court 2.0 Womens Sneakers</t>
        </is>
      </c>
      <c r="E419" t="inlineStr">
        <is>
          <t>n/a</t>
        </is>
      </c>
    </row>
    <row r="420">
      <c r="A420" t="inlineStr">
        <is>
          <t>195739844831</t>
        </is>
      </c>
      <c r="C420" t="inlineStr">
        <is>
          <t>195739844831</t>
        </is>
      </c>
      <c r="D420" t="inlineStr">
        <is>
          <t>adidas Grand Court 2.0 Womens Sneakers</t>
        </is>
      </c>
      <c r="E420" t="inlineStr">
        <is>
          <t>n/a</t>
        </is>
      </c>
    </row>
    <row r="421">
      <c r="A421" t="inlineStr">
        <is>
          <t>195746015439</t>
        </is>
      </c>
      <c r="C421" t="inlineStr">
        <is>
          <t>195746015439</t>
        </is>
      </c>
      <c r="D421" t="inlineStr">
        <is>
          <t>adidas Grand Court 2.0 Womens Sneakers</t>
        </is>
      </c>
      <c r="E421" t="inlineStr">
        <is>
          <t>n/a</t>
        </is>
      </c>
    </row>
    <row r="422">
      <c r="A422" t="inlineStr">
        <is>
          <t>195740024611</t>
        </is>
      </c>
      <c r="C422" t="inlineStr">
        <is>
          <t>195740024611</t>
        </is>
      </c>
      <c r="D422" t="inlineStr">
        <is>
          <t>adidas Grand Court 2.0 Womens Sneakers</t>
        </is>
      </c>
      <c r="E422" t="inlineStr">
        <is>
          <t>n/a</t>
        </is>
      </c>
    </row>
    <row r="423">
      <c r="A423" t="inlineStr">
        <is>
          <t>195740020941</t>
        </is>
      </c>
      <c r="C423" t="inlineStr">
        <is>
          <t>195740020941</t>
        </is>
      </c>
      <c r="D423" t="inlineStr">
        <is>
          <t>adidas Grand Court 2.0 Womens Sneakers</t>
        </is>
      </c>
      <c r="E423" t="inlineStr">
        <is>
          <t>n/a</t>
        </is>
      </c>
    </row>
    <row r="424">
      <c r="A424" t="inlineStr">
        <is>
          <t>195740020989</t>
        </is>
      </c>
      <c r="C424" t="inlineStr">
        <is>
          <t>195740020989</t>
        </is>
      </c>
      <c r="D424" t="inlineStr">
        <is>
          <t>adidas Grand Court 2.0 Womens Sneakers</t>
        </is>
      </c>
      <c r="E424" t="inlineStr">
        <is>
          <t>n/a</t>
        </is>
      </c>
    </row>
    <row r="425">
      <c r="A425" t="inlineStr">
        <is>
          <t>195740020958</t>
        </is>
      </c>
      <c r="C425" t="inlineStr">
        <is>
          <t>195740020958</t>
        </is>
      </c>
      <c r="D425" t="inlineStr">
        <is>
          <t>adidas Grand Court 2.0 Womens Sneakers</t>
        </is>
      </c>
      <c r="E425" t="inlineStr">
        <is>
          <t>n/a</t>
        </is>
      </c>
    </row>
    <row r="426">
      <c r="A426" t="inlineStr">
        <is>
          <t>195740024635</t>
        </is>
      </c>
      <c r="C426" t="inlineStr">
        <is>
          <t>195740024635</t>
        </is>
      </c>
      <c r="D426" t="inlineStr">
        <is>
          <t>adidas Grand Court 2.0 Womens Sneakers</t>
        </is>
      </c>
      <c r="E426" t="inlineStr">
        <is>
          <t>n/a</t>
        </is>
      </c>
    </row>
    <row r="427">
      <c r="A427" t="inlineStr">
        <is>
          <t>195740024642</t>
        </is>
      </c>
      <c r="C427" t="inlineStr">
        <is>
          <t>195740024642</t>
        </is>
      </c>
      <c r="D427" t="inlineStr">
        <is>
          <t>adidas Grand Court 2.0 Womens Sneakers</t>
        </is>
      </c>
      <c r="E427" t="inlineStr">
        <is>
          <t>n/a</t>
        </is>
      </c>
    </row>
    <row r="428">
      <c r="A428" t="inlineStr">
        <is>
          <t>195740024604</t>
        </is>
      </c>
      <c r="C428" t="inlineStr">
        <is>
          <t>195740024604</t>
        </is>
      </c>
      <c r="D428" t="inlineStr">
        <is>
          <t>adidas Grand Court 2.0 Womens Sneakers</t>
        </is>
      </c>
      <c r="E428" t="inlineStr">
        <is>
          <t>n/a</t>
        </is>
      </c>
    </row>
    <row r="429">
      <c r="A429" t="inlineStr">
        <is>
          <t>195740024659</t>
        </is>
      </c>
      <c r="C429" t="inlineStr">
        <is>
          <t>195740024659</t>
        </is>
      </c>
      <c r="D429" t="inlineStr">
        <is>
          <t>adidas Grand Court 2.0 Womens Sneakers</t>
        </is>
      </c>
      <c r="E429" t="inlineStr">
        <is>
          <t>n/a</t>
        </is>
      </c>
    </row>
    <row r="430">
      <c r="A430" t="inlineStr">
        <is>
          <t>195740024628</t>
        </is>
      </c>
      <c r="C430" t="inlineStr">
        <is>
          <t>195740024628</t>
        </is>
      </c>
      <c r="D430" t="inlineStr">
        <is>
          <t>adidas Grand Court 2.0 Womens Sneakers</t>
        </is>
      </c>
      <c r="E430" t="inlineStr">
        <is>
          <t>n/a</t>
        </is>
      </c>
    </row>
    <row r="431">
      <c r="A431" t="inlineStr">
        <is>
          <t>195740020972</t>
        </is>
      </c>
      <c r="C431" t="inlineStr">
        <is>
          <t>195740020972</t>
        </is>
      </c>
      <c r="D431" t="inlineStr">
        <is>
          <t>adidas Grand Court 2.0 Womens Sneakers</t>
        </is>
      </c>
      <c r="E431" t="inlineStr">
        <is>
          <t>n/a</t>
        </is>
      </c>
    </row>
    <row r="432">
      <c r="A432" t="inlineStr">
        <is>
          <t>195740020965</t>
        </is>
      </c>
      <c r="C432" t="inlineStr">
        <is>
          <t>195740020965</t>
        </is>
      </c>
      <c r="D432" t="inlineStr">
        <is>
          <t>adidas Grand Court 2.0 Womens Sneakers</t>
        </is>
      </c>
      <c r="E432" t="inlineStr">
        <is>
          <t>n/a</t>
        </is>
      </c>
    </row>
    <row r="433">
      <c r="A433" t="inlineStr">
        <is>
          <t>195746012971</t>
        </is>
      </c>
      <c r="C433" t="inlineStr">
        <is>
          <t>195746012971</t>
        </is>
      </c>
      <c r="D433" t="inlineStr">
        <is>
          <t>adidas Grand Court 2.0 Womens Sneakers</t>
        </is>
      </c>
      <c r="E433" t="inlineStr">
        <is>
          <t>n/a</t>
        </is>
      </c>
    </row>
    <row r="434">
      <c r="A434" t="inlineStr">
        <is>
          <t>196464736101</t>
        </is>
      </c>
      <c r="C434" t="inlineStr">
        <is>
          <t>196464736101</t>
        </is>
      </c>
      <c r="D434" t="inlineStr">
        <is>
          <t>adidas Grand Court 2.0 Womens Sneakers</t>
        </is>
      </c>
      <c r="E434" t="inlineStr">
        <is>
          <t>n/a</t>
        </is>
      </c>
    </row>
    <row r="435">
      <c r="A435" t="inlineStr">
        <is>
          <t>196464736149</t>
        </is>
      </c>
      <c r="C435" t="inlineStr">
        <is>
          <t>196464736149</t>
        </is>
      </c>
      <c r="D435" t="inlineStr">
        <is>
          <t>adidas Grand Court 2.0 Womens Sneakers</t>
        </is>
      </c>
      <c r="E435" t="inlineStr">
        <is>
          <t>n/a</t>
        </is>
      </c>
    </row>
    <row r="436">
      <c r="A436" t="inlineStr">
        <is>
          <t>196464738334</t>
        </is>
      </c>
      <c r="C436" t="inlineStr">
        <is>
          <t>196464738334</t>
        </is>
      </c>
      <c r="D436" t="inlineStr">
        <is>
          <t>adidas Grand Court 2.0 Womens Sneakers</t>
        </is>
      </c>
      <c r="E436" t="inlineStr">
        <is>
          <t>n/a</t>
        </is>
      </c>
    </row>
    <row r="437">
      <c r="A437" t="inlineStr">
        <is>
          <t>196464736095</t>
        </is>
      </c>
      <c r="C437" t="inlineStr">
        <is>
          <t>196464736095</t>
        </is>
      </c>
      <c r="D437" t="inlineStr">
        <is>
          <t>adidas Grand Court 2.0 Womens Sneakers</t>
        </is>
      </c>
      <c r="E437" t="inlineStr">
        <is>
          <t>n/a</t>
        </is>
      </c>
    </row>
    <row r="438">
      <c r="A438" t="inlineStr">
        <is>
          <t>196464736132</t>
        </is>
      </c>
      <c r="C438" t="inlineStr">
        <is>
          <t>196464736132</t>
        </is>
      </c>
      <c r="D438" t="inlineStr">
        <is>
          <t>adidas Grand Court 2.0 Womens Sneakers</t>
        </is>
      </c>
      <c r="E438" t="inlineStr">
        <is>
          <t>n/a</t>
        </is>
      </c>
    </row>
    <row r="439">
      <c r="A439" t="inlineStr">
        <is>
          <t>196464736088</t>
        </is>
      </c>
      <c r="C439" t="inlineStr">
        <is>
          <t>196464736088</t>
        </is>
      </c>
      <c r="D439" t="inlineStr">
        <is>
          <t>adidas Grand Court 2.0 Womens Sneakers</t>
        </is>
      </c>
      <c r="E439" t="inlineStr">
        <is>
          <t>n/a</t>
        </is>
      </c>
    </row>
    <row r="440">
      <c r="A440" t="inlineStr">
        <is>
          <t>196464736125</t>
        </is>
      </c>
      <c r="C440" t="inlineStr">
        <is>
          <t>196464736125</t>
        </is>
      </c>
      <c r="D440" t="inlineStr">
        <is>
          <t>adidas Grand Court 2.0 Womens Sneakers</t>
        </is>
      </c>
      <c r="E440" t="inlineStr">
        <is>
          <t>n/a</t>
        </is>
      </c>
    </row>
    <row r="441">
      <c r="A441" t="inlineStr">
        <is>
          <t>196464736163</t>
        </is>
      </c>
      <c r="C441" t="inlineStr">
        <is>
          <t>196464736163</t>
        </is>
      </c>
      <c r="D441" t="inlineStr">
        <is>
          <t>adidas Grand Court 2.0 Womens Sneakers</t>
        </is>
      </c>
      <c r="E441" t="inlineStr">
        <is>
          <t>n/a</t>
        </is>
      </c>
    </row>
    <row r="442">
      <c r="A442" t="inlineStr">
        <is>
          <t>196464736156</t>
        </is>
      </c>
      <c r="C442" t="inlineStr">
        <is>
          <t>196464736156</t>
        </is>
      </c>
      <c r="D442" t="inlineStr">
        <is>
          <t>adidas Grand Court 2.0 Womens Sneakers</t>
        </is>
      </c>
      <c r="E442" t="inlineStr">
        <is>
          <t>n/a</t>
        </is>
      </c>
    </row>
    <row r="443">
      <c r="A443" t="inlineStr">
        <is>
          <t>196464738372</t>
        </is>
      </c>
      <c r="C443" t="inlineStr">
        <is>
          <t>196464738372</t>
        </is>
      </c>
      <c r="D443" t="inlineStr">
        <is>
          <t>adidas Grand Court 2.0 Womens Sneakers</t>
        </is>
      </c>
      <c r="E443" t="inlineStr">
        <is>
          <t>n/a</t>
        </is>
      </c>
    </row>
    <row r="444">
      <c r="A444" t="inlineStr">
        <is>
          <t>196464738358</t>
        </is>
      </c>
      <c r="C444" t="inlineStr">
        <is>
          <t>196464738358</t>
        </is>
      </c>
      <c r="D444" t="inlineStr">
        <is>
          <t>adidas Grand Court 2.0 Womens Sneakers</t>
        </is>
      </c>
      <c r="E444" t="inlineStr">
        <is>
          <t>n/a</t>
        </is>
      </c>
    </row>
    <row r="445">
      <c r="A445" t="inlineStr">
        <is>
          <t>196464738365</t>
        </is>
      </c>
      <c r="C445" t="inlineStr">
        <is>
          <t>196464738365</t>
        </is>
      </c>
      <c r="D445" t="inlineStr">
        <is>
          <t>adidas Grand Court 2.0 Womens Sneakers</t>
        </is>
      </c>
      <c r="E445" t="inlineStr">
        <is>
          <t>n/a</t>
        </is>
      </c>
    </row>
    <row r="446">
      <c r="A446" t="inlineStr">
        <is>
          <t>195098412931</t>
        </is>
      </c>
      <c r="B446" t="n">
        <v>61.75</v>
      </c>
      <c r="C446" t="inlineStr">
        <is>
          <t>195098412931</t>
        </is>
      </c>
      <c r="D446" t="inlineStr">
        <is>
          <t>PUMA Star Vital Womens Running Shoes</t>
        </is>
      </c>
      <c r="E446" t="inlineStr">
        <is>
          <t>n/a</t>
        </is>
      </c>
    </row>
    <row r="447">
      <c r="A447" t="inlineStr">
        <is>
          <t>195098412948</t>
        </is>
      </c>
      <c r="B447" t="n">
        <v>61.75</v>
      </c>
      <c r="C447" t="inlineStr">
        <is>
          <t>195098412948</t>
        </is>
      </c>
      <c r="D447" t="inlineStr">
        <is>
          <t>PUMA Star Vital Womens Running Shoes</t>
        </is>
      </c>
      <c r="E447" t="inlineStr">
        <is>
          <t>n/a</t>
        </is>
      </c>
    </row>
    <row r="448">
      <c r="A448" t="inlineStr">
        <is>
          <t>195098412955</t>
        </is>
      </c>
      <c r="B448" t="n">
        <v>61.75</v>
      </c>
      <c r="C448" t="inlineStr">
        <is>
          <t>195098412955</t>
        </is>
      </c>
      <c r="D448" t="inlineStr">
        <is>
          <t>PUMA Star Vital Womens Running Shoes</t>
        </is>
      </c>
      <c r="E448" t="inlineStr">
        <is>
          <t>n/a</t>
        </is>
      </c>
    </row>
    <row r="449">
      <c r="A449" t="inlineStr">
        <is>
          <t>195098412962</t>
        </is>
      </c>
      <c r="B449" t="n">
        <v>61.75</v>
      </c>
      <c r="C449" t="inlineStr">
        <is>
          <t>195098412962</t>
        </is>
      </c>
      <c r="D449" t="inlineStr">
        <is>
          <t>PUMA Star Vital Womens Running Shoes</t>
        </is>
      </c>
      <c r="E449" t="inlineStr">
        <is>
          <t>n/a</t>
        </is>
      </c>
    </row>
    <row r="450">
      <c r="A450" t="inlineStr">
        <is>
          <t>195098412979</t>
        </is>
      </c>
      <c r="B450" t="n">
        <v>61.75</v>
      </c>
      <c r="C450" t="inlineStr">
        <is>
          <t>195098412979</t>
        </is>
      </c>
      <c r="D450" t="inlineStr">
        <is>
          <t>PUMA Star Vital Womens Running Shoes</t>
        </is>
      </c>
      <c r="E450" t="inlineStr">
        <is>
          <t>n/a</t>
        </is>
      </c>
    </row>
    <row r="451">
      <c r="A451" t="inlineStr">
        <is>
          <t>195098412986</t>
        </is>
      </c>
      <c r="B451" t="n">
        <v>61.75</v>
      </c>
      <c r="C451" t="inlineStr">
        <is>
          <t>195098412986</t>
        </is>
      </c>
      <c r="D451" t="inlineStr">
        <is>
          <t>PUMA Star Vital Womens Running Shoes</t>
        </is>
      </c>
      <c r="E451" t="inlineStr">
        <is>
          <t>n/a</t>
        </is>
      </c>
    </row>
    <row r="452">
      <c r="A452" t="inlineStr">
        <is>
          <t>195098412993</t>
        </is>
      </c>
      <c r="B452" t="n">
        <v>61.75</v>
      </c>
      <c r="C452" t="inlineStr">
        <is>
          <t>195098412993</t>
        </is>
      </c>
      <c r="D452" t="inlineStr">
        <is>
          <t>PUMA Star Vital Womens Running Shoes</t>
        </is>
      </c>
      <c r="E452" t="inlineStr">
        <is>
          <t>n/a</t>
        </is>
      </c>
    </row>
    <row r="453">
      <c r="A453" t="inlineStr">
        <is>
          <t>195098413006</t>
        </is>
      </c>
      <c r="B453" t="n">
        <v>61.75</v>
      </c>
      <c r="C453" t="inlineStr">
        <is>
          <t>195098413006</t>
        </is>
      </c>
      <c r="D453" t="inlineStr">
        <is>
          <t>PUMA Star Vital Womens Running Shoes</t>
        </is>
      </c>
      <c r="E453" t="inlineStr">
        <is>
          <t>n/a</t>
        </is>
      </c>
    </row>
    <row r="454">
      <c r="A454" t="inlineStr">
        <is>
          <t>195098413013</t>
        </is>
      </c>
      <c r="B454" t="n">
        <v>61.75</v>
      </c>
      <c r="C454" t="inlineStr">
        <is>
          <t>195098413013</t>
        </is>
      </c>
      <c r="D454" t="inlineStr">
        <is>
          <t>PUMA Star Vital Womens Running Shoes</t>
        </is>
      </c>
      <c r="E454" t="inlineStr">
        <is>
          <t>n/a</t>
        </is>
      </c>
    </row>
    <row r="455">
      <c r="A455" t="inlineStr">
        <is>
          <t>195098413020</t>
        </is>
      </c>
      <c r="B455" t="n">
        <v>61.75</v>
      </c>
      <c r="C455" t="inlineStr">
        <is>
          <t>195098413020</t>
        </is>
      </c>
      <c r="D455" t="inlineStr">
        <is>
          <t>PUMA Star Vital Womens Running Shoes</t>
        </is>
      </c>
      <c r="E455" t="inlineStr">
        <is>
          <t>n/a</t>
        </is>
      </c>
    </row>
    <row r="456">
      <c r="A456" t="inlineStr">
        <is>
          <t>195098413044</t>
        </is>
      </c>
      <c r="B456" t="n">
        <v>61.75</v>
      </c>
      <c r="C456" t="inlineStr">
        <is>
          <t>195098413044</t>
        </is>
      </c>
      <c r="D456" t="inlineStr">
        <is>
          <t>PUMA Star Vital Womens Running Shoes</t>
        </is>
      </c>
      <c r="E456" t="inlineStr">
        <is>
          <t>n/a</t>
        </is>
      </c>
    </row>
    <row r="457">
      <c r="A457" t="inlineStr">
        <is>
          <t>197609835178</t>
        </is>
      </c>
      <c r="C457" t="inlineStr">
        <is>
          <t>197609835178</t>
        </is>
      </c>
      <c r="D457" t="inlineStr">
        <is>
          <t>adidas Run 72 Womens Sneakers</t>
        </is>
      </c>
      <c r="E457" t="inlineStr">
        <is>
          <t>n/a</t>
        </is>
      </c>
    </row>
    <row r="458">
      <c r="A458" t="inlineStr">
        <is>
          <t>197609835130</t>
        </is>
      </c>
      <c r="C458" t="inlineStr">
        <is>
          <t>197609835130</t>
        </is>
      </c>
      <c r="D458" t="inlineStr">
        <is>
          <t>adidas Run 72 Womens Sneakers</t>
        </is>
      </c>
      <c r="E458" t="inlineStr">
        <is>
          <t>n/a</t>
        </is>
      </c>
    </row>
    <row r="459">
      <c r="A459" t="inlineStr">
        <is>
          <t>197609835192</t>
        </is>
      </c>
      <c r="C459" t="inlineStr">
        <is>
          <t>197609835192</t>
        </is>
      </c>
      <c r="D459" t="inlineStr">
        <is>
          <t>adidas Run 72 Womens Sneakers</t>
        </is>
      </c>
      <c r="E459" t="inlineStr">
        <is>
          <t>n/a</t>
        </is>
      </c>
    </row>
    <row r="460">
      <c r="A460" t="inlineStr">
        <is>
          <t>197609835215</t>
        </is>
      </c>
      <c r="C460" t="inlineStr">
        <is>
          <t>197609835215</t>
        </is>
      </c>
      <c r="D460" t="inlineStr">
        <is>
          <t>adidas Run 72 Womens Sneakers</t>
        </is>
      </c>
      <c r="E460" t="inlineStr">
        <is>
          <t>n/a</t>
        </is>
      </c>
    </row>
    <row r="461">
      <c r="A461" t="inlineStr">
        <is>
          <t>197609835208</t>
        </is>
      </c>
      <c r="C461" t="inlineStr">
        <is>
          <t>197609835208</t>
        </is>
      </c>
      <c r="D461" t="inlineStr">
        <is>
          <t>adidas Run 72 Womens Sneakers</t>
        </is>
      </c>
      <c r="E461" t="inlineStr">
        <is>
          <t>n/a</t>
        </is>
      </c>
    </row>
    <row r="462">
      <c r="A462" t="inlineStr">
        <is>
          <t>197609835154</t>
        </is>
      </c>
      <c r="C462" t="inlineStr">
        <is>
          <t>197609835154</t>
        </is>
      </c>
      <c r="D462" t="inlineStr">
        <is>
          <t>adidas Run 72 Womens Sneakers</t>
        </is>
      </c>
      <c r="E462" t="inlineStr">
        <is>
          <t>n/a</t>
        </is>
      </c>
    </row>
    <row r="463">
      <c r="A463" t="inlineStr">
        <is>
          <t>197609835222</t>
        </is>
      </c>
      <c r="C463" t="inlineStr">
        <is>
          <t>197609835222</t>
        </is>
      </c>
      <c r="D463" t="inlineStr">
        <is>
          <t>adidas Run 72 Womens Sneakers</t>
        </is>
      </c>
      <c r="E463" t="inlineStr">
        <is>
          <t>n/a</t>
        </is>
      </c>
    </row>
    <row r="464">
      <c r="A464" t="inlineStr">
        <is>
          <t>197609835185</t>
        </is>
      </c>
      <c r="C464" t="inlineStr">
        <is>
          <t>197609835185</t>
        </is>
      </c>
      <c r="D464" t="inlineStr">
        <is>
          <t>adidas Run 72 Womens Sneakers</t>
        </is>
      </c>
      <c r="E464" t="inlineStr">
        <is>
          <t>n/a</t>
        </is>
      </c>
    </row>
    <row r="465">
      <c r="A465" t="inlineStr">
        <is>
          <t>197609835239</t>
        </is>
      </c>
      <c r="C465" t="inlineStr">
        <is>
          <t>197609835239</t>
        </is>
      </c>
      <c r="D465" t="inlineStr">
        <is>
          <t>adidas Run 72 Womens Sneakers</t>
        </is>
      </c>
      <c r="E465" t="inlineStr">
        <is>
          <t>n/a</t>
        </is>
      </c>
    </row>
    <row r="466">
      <c r="A466" t="inlineStr">
        <is>
          <t>197609835123</t>
        </is>
      </c>
      <c r="C466" t="inlineStr">
        <is>
          <t>197609835123</t>
        </is>
      </c>
      <c r="D466" t="inlineStr">
        <is>
          <t>adidas Run 72 Womens Sneakers</t>
        </is>
      </c>
      <c r="E466" t="inlineStr">
        <is>
          <t>n/a</t>
        </is>
      </c>
    </row>
    <row r="467">
      <c r="A467" t="inlineStr">
        <is>
          <t>197609835246</t>
        </is>
      </c>
      <c r="C467" t="inlineStr">
        <is>
          <t>197609835246</t>
        </is>
      </c>
      <c r="D467" t="inlineStr">
        <is>
          <t>adidas Run 72 Womens Sneakers</t>
        </is>
      </c>
      <c r="E467" t="inlineStr">
        <is>
          <t>n/a</t>
        </is>
      </c>
    </row>
    <row r="468">
      <c r="A468" t="inlineStr">
        <is>
          <t>197609835147</t>
        </is>
      </c>
      <c r="C468" t="inlineStr">
        <is>
          <t>197609835147</t>
        </is>
      </c>
      <c r="D468" t="inlineStr">
        <is>
          <t>adidas Run 72 Womens Sneakers</t>
        </is>
      </c>
      <c r="E468" t="inlineStr">
        <is>
          <t>n/a</t>
        </is>
      </c>
    </row>
    <row r="469">
      <c r="A469" t="inlineStr">
        <is>
          <t>197609835321</t>
        </is>
      </c>
      <c r="C469" t="inlineStr">
        <is>
          <t>197609835321</t>
        </is>
      </c>
      <c r="D469" t="inlineStr">
        <is>
          <t>adidas Run 72 Womens Sneakers</t>
        </is>
      </c>
      <c r="E469" t="inlineStr">
        <is>
          <t>n/a</t>
        </is>
      </c>
    </row>
    <row r="470">
      <c r="A470" t="inlineStr">
        <is>
          <t>197609835307</t>
        </is>
      </c>
      <c r="C470" t="inlineStr">
        <is>
          <t>197609835307</t>
        </is>
      </c>
      <c r="D470" t="inlineStr">
        <is>
          <t>adidas Run 72 Womens Sneakers</t>
        </is>
      </c>
      <c r="E470" t="inlineStr">
        <is>
          <t>n/a</t>
        </is>
      </c>
    </row>
    <row r="471">
      <c r="A471" t="inlineStr">
        <is>
          <t>197609835253</t>
        </is>
      </c>
      <c r="C471" t="inlineStr">
        <is>
          <t>197609835253</t>
        </is>
      </c>
      <c r="D471" t="inlineStr">
        <is>
          <t>adidas Run 72 Womens Sneakers</t>
        </is>
      </c>
      <c r="E471" t="inlineStr">
        <is>
          <t>n/a</t>
        </is>
      </c>
    </row>
    <row r="472">
      <c r="A472" t="inlineStr">
        <is>
          <t>197609835338</t>
        </is>
      </c>
      <c r="C472" t="inlineStr">
        <is>
          <t>197609835338</t>
        </is>
      </c>
      <c r="D472" t="inlineStr">
        <is>
          <t>adidas Run 72 Womens Sneakers</t>
        </is>
      </c>
      <c r="E472" t="inlineStr">
        <is>
          <t>n/a</t>
        </is>
      </c>
    </row>
    <row r="473">
      <c r="A473" t="inlineStr">
        <is>
          <t>197609835284</t>
        </is>
      </c>
      <c r="C473" t="inlineStr">
        <is>
          <t>197609835284</t>
        </is>
      </c>
      <c r="D473" t="inlineStr">
        <is>
          <t>adidas Run 72 Womens Sneakers</t>
        </is>
      </c>
      <c r="E473" t="inlineStr">
        <is>
          <t>n/a</t>
        </is>
      </c>
    </row>
    <row r="474">
      <c r="A474" t="inlineStr">
        <is>
          <t>197609835260</t>
        </is>
      </c>
      <c r="C474" t="inlineStr">
        <is>
          <t>197609835260</t>
        </is>
      </c>
      <c r="D474" t="inlineStr">
        <is>
          <t>adidas Run 72 Womens Sneakers</t>
        </is>
      </c>
      <c r="E474" t="inlineStr">
        <is>
          <t>n/a</t>
        </is>
      </c>
    </row>
    <row r="475">
      <c r="A475" t="inlineStr">
        <is>
          <t>197609838995</t>
        </is>
      </c>
      <c r="C475" t="inlineStr">
        <is>
          <t>197609838995</t>
        </is>
      </c>
      <c r="D475" t="inlineStr">
        <is>
          <t>adidas Run 72 Womens Sneakers</t>
        </is>
      </c>
      <c r="E475" t="inlineStr">
        <is>
          <t>n/a</t>
        </is>
      </c>
    </row>
    <row r="476">
      <c r="A476" t="inlineStr">
        <is>
          <t>197609838964</t>
        </is>
      </c>
      <c r="C476" t="inlineStr">
        <is>
          <t>197609838964</t>
        </is>
      </c>
      <c r="D476" t="inlineStr">
        <is>
          <t>adidas Run 72 Womens Sneakers</t>
        </is>
      </c>
      <c r="E476" t="inlineStr">
        <is>
          <t>n/a</t>
        </is>
      </c>
    </row>
    <row r="477">
      <c r="A477" t="inlineStr">
        <is>
          <t>197609835314</t>
        </is>
      </c>
      <c r="C477" t="inlineStr">
        <is>
          <t>197609835314</t>
        </is>
      </c>
      <c r="D477" t="inlineStr">
        <is>
          <t>adidas Run 72 Womens Sneakers</t>
        </is>
      </c>
      <c r="E477" t="inlineStr">
        <is>
          <t>n/a</t>
        </is>
      </c>
    </row>
    <row r="478">
      <c r="A478" t="inlineStr">
        <is>
          <t>197609835277</t>
        </is>
      </c>
      <c r="C478" t="inlineStr">
        <is>
          <t>197609835277</t>
        </is>
      </c>
      <c r="D478" t="inlineStr">
        <is>
          <t>adidas Run 72 Womens Sneakers</t>
        </is>
      </c>
      <c r="E478" t="inlineStr">
        <is>
          <t>n/a</t>
        </is>
      </c>
    </row>
    <row r="479">
      <c r="A479" t="inlineStr">
        <is>
          <t>197609835291</t>
        </is>
      </c>
      <c r="C479" t="inlineStr">
        <is>
          <t>197609835291</t>
        </is>
      </c>
      <c r="D479" t="inlineStr">
        <is>
          <t>adidas Run 72 Womens Sneakers</t>
        </is>
      </c>
      <c r="E479" t="inlineStr">
        <is>
          <t>n/a</t>
        </is>
      </c>
    </row>
    <row r="480">
      <c r="A480" t="inlineStr">
        <is>
          <t>197609835352</t>
        </is>
      </c>
      <c r="C480" t="inlineStr">
        <is>
          <t>197609835352</t>
        </is>
      </c>
      <c r="D480" t="inlineStr">
        <is>
          <t>adidas Run 72 Womens Sneakers</t>
        </is>
      </c>
      <c r="E480" t="inlineStr">
        <is>
          <t>n/a</t>
        </is>
      </c>
    </row>
    <row r="481">
      <c r="A481" t="inlineStr">
        <is>
          <t>197609922205</t>
        </is>
      </c>
      <c r="C481" t="inlineStr">
        <is>
          <t>197609922205</t>
        </is>
      </c>
      <c r="D481" t="inlineStr">
        <is>
          <t>adidas Run 72 Womens Sneakers</t>
        </is>
      </c>
      <c r="E481" t="inlineStr">
        <is>
          <t>n/a</t>
        </is>
      </c>
    </row>
    <row r="482">
      <c r="A482" t="inlineStr">
        <is>
          <t>197609922267</t>
        </is>
      </c>
      <c r="C482" t="inlineStr">
        <is>
          <t>197609922267</t>
        </is>
      </c>
      <c r="D482" t="inlineStr">
        <is>
          <t>adidas Run 72 Womens Sneakers</t>
        </is>
      </c>
      <c r="E482" t="inlineStr">
        <is>
          <t>n/a</t>
        </is>
      </c>
    </row>
    <row r="483">
      <c r="A483" t="inlineStr">
        <is>
          <t>197609922281</t>
        </is>
      </c>
      <c r="C483" t="inlineStr">
        <is>
          <t>197609922281</t>
        </is>
      </c>
      <c r="D483" t="inlineStr">
        <is>
          <t>adidas Run 72 Womens Sneakers</t>
        </is>
      </c>
      <c r="E483" t="inlineStr">
        <is>
          <t>n/a</t>
        </is>
      </c>
    </row>
    <row r="484">
      <c r="A484" t="inlineStr">
        <is>
          <t>197609922298</t>
        </is>
      </c>
      <c r="C484" t="inlineStr">
        <is>
          <t>197609922298</t>
        </is>
      </c>
      <c r="D484" t="inlineStr">
        <is>
          <t>adidas Run 72 Womens Sneakers</t>
        </is>
      </c>
      <c r="E484" t="inlineStr">
        <is>
          <t>n/a</t>
        </is>
      </c>
    </row>
    <row r="485">
      <c r="A485" t="inlineStr">
        <is>
          <t>197609997807</t>
        </is>
      </c>
      <c r="C485" t="inlineStr">
        <is>
          <t>197609997807</t>
        </is>
      </c>
      <c r="D485" t="inlineStr">
        <is>
          <t>adidas Run 72 Womens Sneakers</t>
        </is>
      </c>
      <c r="E485" t="inlineStr">
        <is>
          <t>n/a</t>
        </is>
      </c>
    </row>
    <row r="486">
      <c r="A486" t="inlineStr">
        <is>
          <t>197609922212</t>
        </is>
      </c>
      <c r="C486" t="inlineStr">
        <is>
          <t>197609922212</t>
        </is>
      </c>
      <c r="D486" t="inlineStr">
        <is>
          <t>adidas Run 72 Womens Sneakers</t>
        </is>
      </c>
      <c r="E486" t="inlineStr">
        <is>
          <t>n/a</t>
        </is>
      </c>
    </row>
    <row r="487">
      <c r="A487" t="inlineStr">
        <is>
          <t>197609922243</t>
        </is>
      </c>
      <c r="C487" t="inlineStr">
        <is>
          <t>197609922243</t>
        </is>
      </c>
      <c r="D487" t="inlineStr">
        <is>
          <t>adidas Run 72 Womens Sneakers</t>
        </is>
      </c>
      <c r="E487" t="inlineStr">
        <is>
          <t>n/a</t>
        </is>
      </c>
    </row>
    <row r="488">
      <c r="A488" t="inlineStr">
        <is>
          <t>197609922229</t>
        </is>
      </c>
      <c r="C488" t="inlineStr">
        <is>
          <t>197609922229</t>
        </is>
      </c>
      <c r="D488" t="inlineStr">
        <is>
          <t>adidas Run 72 Womens Sneakers</t>
        </is>
      </c>
      <c r="E488" t="inlineStr">
        <is>
          <t>n/a</t>
        </is>
      </c>
    </row>
    <row r="489">
      <c r="A489" t="inlineStr">
        <is>
          <t>197609922304</t>
        </is>
      </c>
      <c r="C489" t="inlineStr">
        <is>
          <t>197609922304</t>
        </is>
      </c>
      <c r="D489" t="inlineStr">
        <is>
          <t>adidas Run 72 Womens Sneakers</t>
        </is>
      </c>
      <c r="E489" t="inlineStr">
        <is>
          <t>n/a</t>
        </is>
      </c>
    </row>
    <row r="490">
      <c r="A490" t="inlineStr">
        <is>
          <t>197609997791</t>
        </is>
      </c>
      <c r="C490" t="inlineStr">
        <is>
          <t>197609997791</t>
        </is>
      </c>
      <c r="D490" t="inlineStr">
        <is>
          <t>adidas Run 72 Womens Sneakers</t>
        </is>
      </c>
      <c r="E490" t="inlineStr">
        <is>
          <t>n/a</t>
        </is>
      </c>
    </row>
    <row r="491">
      <c r="A491" t="inlineStr">
        <is>
          <t>197609922274</t>
        </is>
      </c>
      <c r="C491" t="inlineStr">
        <is>
          <t>197609922274</t>
        </is>
      </c>
      <c r="D491" t="inlineStr">
        <is>
          <t>adidas Run 72 Womens Sneakers</t>
        </is>
      </c>
      <c r="E491" t="inlineStr">
        <is>
          <t>n/a</t>
        </is>
      </c>
    </row>
    <row r="492">
      <c r="A492" t="inlineStr">
        <is>
          <t>197609922250</t>
        </is>
      </c>
      <c r="C492" t="inlineStr">
        <is>
          <t>197609922250</t>
        </is>
      </c>
      <c r="D492" t="inlineStr">
        <is>
          <t>adidas Run 72 Womens Sneakers</t>
        </is>
      </c>
      <c r="E492" t="inlineStr">
        <is>
          <t>n/a</t>
        </is>
      </c>
    </row>
    <row r="493">
      <c r="A493" t="inlineStr">
        <is>
          <t>196465788673</t>
        </is>
      </c>
      <c r="B493" t="n">
        <v>37.9905</v>
      </c>
      <c r="C493" t="inlineStr">
        <is>
          <t>196465788673</t>
        </is>
      </c>
      <c r="D493" t="inlineStr">
        <is>
          <t>adidas Duramo Sl Womens Sneakers Wide Width</t>
        </is>
      </c>
      <c r="E493" t="inlineStr">
        <is>
          <t>n/a</t>
        </is>
      </c>
    </row>
    <row r="494">
      <c r="A494" t="inlineStr">
        <is>
          <t>196465788680</t>
        </is>
      </c>
      <c r="B494" t="n">
        <v>37.9905</v>
      </c>
      <c r="C494" t="inlineStr">
        <is>
          <t>196465788680</t>
        </is>
      </c>
      <c r="D494" t="inlineStr">
        <is>
          <t>adidas Duramo Sl Womens Sneakers Wide Width</t>
        </is>
      </c>
      <c r="E494" t="inlineStr">
        <is>
          <t>n/a</t>
        </is>
      </c>
    </row>
    <row r="495">
      <c r="A495" t="inlineStr">
        <is>
          <t>196465788802</t>
        </is>
      </c>
      <c r="B495" t="n">
        <v>37.9905</v>
      </c>
      <c r="C495" t="inlineStr">
        <is>
          <t>196465788802</t>
        </is>
      </c>
      <c r="D495" t="inlineStr">
        <is>
          <t>adidas Duramo Sl Womens Sneakers Wide Width</t>
        </is>
      </c>
      <c r="E495" t="inlineStr">
        <is>
          <t>n/a</t>
        </is>
      </c>
    </row>
    <row r="496">
      <c r="A496" t="inlineStr">
        <is>
          <t>196465788758</t>
        </is>
      </c>
      <c r="B496" t="n">
        <v>37.9905</v>
      </c>
      <c r="C496" t="inlineStr">
        <is>
          <t>196465788758</t>
        </is>
      </c>
      <c r="D496" t="inlineStr">
        <is>
          <t>adidas Duramo Sl Womens Sneakers Wide Width</t>
        </is>
      </c>
      <c r="E496" t="inlineStr">
        <is>
          <t>n/a</t>
        </is>
      </c>
    </row>
    <row r="497">
      <c r="A497" t="inlineStr">
        <is>
          <t>196465788635</t>
        </is>
      </c>
      <c r="B497" t="n">
        <v>37.9905</v>
      </c>
      <c r="C497" t="inlineStr">
        <is>
          <t>196465788635</t>
        </is>
      </c>
      <c r="D497" t="inlineStr">
        <is>
          <t>adidas Duramo Sl Womens Sneakers Wide Width</t>
        </is>
      </c>
      <c r="E497" t="inlineStr">
        <is>
          <t>n/a</t>
        </is>
      </c>
    </row>
    <row r="498">
      <c r="A498" t="inlineStr">
        <is>
          <t>196465788789</t>
        </is>
      </c>
      <c r="B498" t="n">
        <v>37.9905</v>
      </c>
      <c r="C498" t="inlineStr">
        <is>
          <t>196465788789</t>
        </is>
      </c>
      <c r="D498" t="inlineStr">
        <is>
          <t>adidas Duramo Sl Womens Sneakers Wide Width</t>
        </is>
      </c>
      <c r="E498" t="inlineStr">
        <is>
          <t>n/a</t>
        </is>
      </c>
    </row>
    <row r="499">
      <c r="A499" t="inlineStr">
        <is>
          <t>196465788710</t>
        </is>
      </c>
      <c r="B499" t="n">
        <v>37.9905</v>
      </c>
      <c r="C499" t="inlineStr">
        <is>
          <t>196465788710</t>
        </is>
      </c>
      <c r="D499" t="inlineStr">
        <is>
          <t>adidas Duramo Sl Womens Sneakers Wide Width</t>
        </is>
      </c>
      <c r="E499" t="inlineStr">
        <is>
          <t>n/a</t>
        </is>
      </c>
    </row>
    <row r="500">
      <c r="A500" t="inlineStr">
        <is>
          <t>196465788840</t>
        </is>
      </c>
      <c r="B500" t="n">
        <v>37.9905</v>
      </c>
      <c r="C500" t="inlineStr">
        <is>
          <t>196465788840</t>
        </is>
      </c>
      <c r="D500" t="inlineStr">
        <is>
          <t>adidas Duramo Sl Womens Sneakers Wide Width</t>
        </is>
      </c>
      <c r="E500" t="inlineStr">
        <is>
          <t>n/a</t>
        </is>
      </c>
    </row>
    <row r="501">
      <c r="A501" t="inlineStr">
        <is>
          <t>196465788703</t>
        </is>
      </c>
      <c r="B501" t="n">
        <v>37.9905</v>
      </c>
      <c r="C501" t="inlineStr">
        <is>
          <t>196465788703</t>
        </is>
      </c>
      <c r="D501" t="inlineStr">
        <is>
          <t>adidas Duramo Sl Womens Sneakers Wide Width</t>
        </is>
      </c>
      <c r="E501" t="inlineStr">
        <is>
          <t>n/a</t>
        </is>
      </c>
    </row>
    <row r="502">
      <c r="A502" t="inlineStr">
        <is>
          <t>196465788659</t>
        </is>
      </c>
      <c r="B502" t="n">
        <v>37.9905</v>
      </c>
      <c r="C502" t="inlineStr">
        <is>
          <t>196465788659</t>
        </is>
      </c>
      <c r="D502" t="inlineStr">
        <is>
          <t>adidas Duramo Sl Womens Sneakers Wide Width</t>
        </is>
      </c>
      <c r="E502" t="inlineStr">
        <is>
          <t>n/a</t>
        </is>
      </c>
    </row>
    <row r="503">
      <c r="A503" t="inlineStr">
        <is>
          <t>196465788741</t>
        </is>
      </c>
      <c r="B503" t="n">
        <v>37.9905</v>
      </c>
      <c r="C503" t="inlineStr">
        <is>
          <t>196465788741</t>
        </is>
      </c>
      <c r="D503" t="inlineStr">
        <is>
          <t>adidas Duramo Sl Womens Sneakers Wide Width</t>
        </is>
      </c>
      <c r="E503" t="inlineStr">
        <is>
          <t>n/a</t>
        </is>
      </c>
    </row>
    <row r="504">
      <c r="A504" t="inlineStr">
        <is>
          <t>196465788666</t>
        </is>
      </c>
      <c r="B504" t="n">
        <v>37.9905</v>
      </c>
      <c r="C504" t="inlineStr">
        <is>
          <t>196465788666</t>
        </is>
      </c>
      <c r="D504" t="inlineStr">
        <is>
          <t>adidas Duramo Sl Womens Sneakers Wide Width</t>
        </is>
      </c>
      <c r="E504" t="inlineStr">
        <is>
          <t>n/a</t>
        </is>
      </c>
    </row>
    <row r="505">
      <c r="A505" t="inlineStr">
        <is>
          <t>196477626154</t>
        </is>
      </c>
      <c r="B505" t="n">
        <v>56.9905</v>
      </c>
      <c r="C505" t="inlineStr">
        <is>
          <t>196477626154</t>
        </is>
      </c>
      <c r="D505" t="inlineStr">
        <is>
          <t>adidas Breaknet Sleek Suede Womens Sneakers</t>
        </is>
      </c>
      <c r="E505" t="inlineStr">
        <is>
          <t>n/a</t>
        </is>
      </c>
    </row>
    <row r="506">
      <c r="A506" t="inlineStr">
        <is>
          <t>196477626130</t>
        </is>
      </c>
      <c r="B506" t="n">
        <v>56.9905</v>
      </c>
      <c r="C506" t="inlineStr">
        <is>
          <t>196477626130</t>
        </is>
      </c>
      <c r="D506" t="inlineStr">
        <is>
          <t>adidas Breaknet Sleek Suede Womens Sneakers</t>
        </is>
      </c>
      <c r="E506" t="inlineStr">
        <is>
          <t>n/a</t>
        </is>
      </c>
    </row>
    <row r="507">
      <c r="A507" t="inlineStr">
        <is>
          <t>196477626147</t>
        </is>
      </c>
      <c r="B507" t="n">
        <v>56.9905</v>
      </c>
      <c r="C507" t="inlineStr">
        <is>
          <t>196477626147</t>
        </is>
      </c>
      <c r="D507" t="inlineStr">
        <is>
          <t>adidas Breaknet Sleek Suede Womens Sneakers</t>
        </is>
      </c>
      <c r="E507" t="inlineStr">
        <is>
          <t>n/a</t>
        </is>
      </c>
    </row>
    <row r="508">
      <c r="A508" t="inlineStr">
        <is>
          <t>196477626161</t>
        </is>
      </c>
      <c r="B508" t="n">
        <v>56.9905</v>
      </c>
      <c r="C508" t="inlineStr">
        <is>
          <t>196477626161</t>
        </is>
      </c>
      <c r="D508" t="inlineStr">
        <is>
          <t>adidas Breaknet Sleek Suede Womens Sneakers</t>
        </is>
      </c>
      <c r="E508" t="inlineStr">
        <is>
          <t>n/a</t>
        </is>
      </c>
    </row>
    <row r="509">
      <c r="A509" t="inlineStr">
        <is>
          <t>196477626192</t>
        </is>
      </c>
      <c r="B509" t="n">
        <v>56.9905</v>
      </c>
      <c r="C509" t="inlineStr">
        <is>
          <t>196477626192</t>
        </is>
      </c>
      <c r="D509" t="inlineStr">
        <is>
          <t>adidas Breaknet Sleek Suede Womens Sneakers</t>
        </is>
      </c>
      <c r="E509" t="inlineStr">
        <is>
          <t>n/a</t>
        </is>
      </c>
    </row>
    <row r="510">
      <c r="A510" t="inlineStr">
        <is>
          <t>196477626178</t>
        </is>
      </c>
      <c r="B510" t="n">
        <v>56.9905</v>
      </c>
      <c r="C510" t="inlineStr">
        <is>
          <t>196477626178</t>
        </is>
      </c>
      <c r="D510" t="inlineStr">
        <is>
          <t>adidas Breaknet Sleek Suede Womens Sneakers</t>
        </is>
      </c>
      <c r="E510" t="inlineStr">
        <is>
          <t>n/a</t>
        </is>
      </c>
    </row>
    <row r="511">
      <c r="A511" t="inlineStr">
        <is>
          <t>196477626185</t>
        </is>
      </c>
      <c r="B511" t="n">
        <v>56.9905</v>
      </c>
      <c r="C511" t="inlineStr">
        <is>
          <t>196477626185</t>
        </is>
      </c>
      <c r="D511" t="inlineStr">
        <is>
          <t>adidas Breaknet Sleek Suede Womens Sneakers</t>
        </is>
      </c>
      <c r="E511" t="inlineStr">
        <is>
          <t>n/a</t>
        </is>
      </c>
    </row>
    <row r="512">
      <c r="A512" t="inlineStr">
        <is>
          <t>196477626239</t>
        </is>
      </c>
      <c r="B512" t="n">
        <v>56.9905</v>
      </c>
      <c r="C512" t="inlineStr">
        <is>
          <t>196477626239</t>
        </is>
      </c>
      <c r="D512" t="inlineStr">
        <is>
          <t>adidas Breaknet Sleek Suede Womens Sneakers</t>
        </is>
      </c>
      <c r="E512" t="inlineStr">
        <is>
          <t>n/a</t>
        </is>
      </c>
    </row>
    <row r="513">
      <c r="A513" t="inlineStr">
        <is>
          <t>196477626215</t>
        </is>
      </c>
      <c r="B513" t="n">
        <v>56.9905</v>
      </c>
      <c r="C513" t="inlineStr">
        <is>
          <t>196477626215</t>
        </is>
      </c>
      <c r="D513" t="inlineStr">
        <is>
          <t>adidas Breaknet Sleek Suede Womens Sneakers</t>
        </is>
      </c>
      <c r="E513" t="inlineStr">
        <is>
          <t>n/a</t>
        </is>
      </c>
    </row>
    <row r="514">
      <c r="A514" t="inlineStr">
        <is>
          <t>196477626208</t>
        </is>
      </c>
      <c r="B514" t="n">
        <v>56.9905</v>
      </c>
      <c r="C514" t="inlineStr">
        <is>
          <t>196477626208</t>
        </is>
      </c>
      <c r="D514" t="inlineStr">
        <is>
          <t>adidas Breaknet Sleek Suede Womens Sneakers</t>
        </is>
      </c>
      <c r="E514" t="inlineStr">
        <is>
          <t>n/a</t>
        </is>
      </c>
    </row>
    <row r="515">
      <c r="A515" t="inlineStr">
        <is>
          <t>196477626222</t>
        </is>
      </c>
      <c r="B515" t="n">
        <v>56.9905</v>
      </c>
      <c r="C515" t="inlineStr">
        <is>
          <t>196477626222</t>
        </is>
      </c>
      <c r="D515" t="inlineStr">
        <is>
          <t>adidas Breaknet Sleek Suede Womens Sneakers</t>
        </is>
      </c>
      <c r="E515" t="inlineStr">
        <is>
          <t>n/a</t>
        </is>
      </c>
    </row>
    <row r="516">
      <c r="A516" t="inlineStr">
        <is>
          <t>196477626123</t>
        </is>
      </c>
      <c r="B516" t="n">
        <v>56.9905</v>
      </c>
      <c r="C516" t="inlineStr">
        <is>
          <t>196477626123</t>
        </is>
      </c>
      <c r="D516" t="inlineStr">
        <is>
          <t>adidas Breaknet Sleek Suede Womens Sneakers</t>
        </is>
      </c>
      <c r="E516" t="inlineStr">
        <is>
          <t>n/a</t>
        </is>
      </c>
    </row>
    <row r="517">
      <c r="A517" t="inlineStr">
        <is>
          <t>196477610672</t>
        </is>
      </c>
      <c r="B517" t="n">
        <v>56.9905</v>
      </c>
      <c r="C517" t="inlineStr">
        <is>
          <t>196477610672</t>
        </is>
      </c>
      <c r="D517" t="inlineStr">
        <is>
          <t>adidas Breaknet Sleek Suede Womens Sneakers</t>
        </is>
      </c>
      <c r="E517" t="inlineStr">
        <is>
          <t>n/a</t>
        </is>
      </c>
    </row>
    <row r="518">
      <c r="A518" t="inlineStr">
        <is>
          <t>196477610733</t>
        </is>
      </c>
      <c r="B518" t="n">
        <v>56.9905</v>
      </c>
      <c r="C518" t="inlineStr">
        <is>
          <t>196477610733</t>
        </is>
      </c>
      <c r="D518" t="inlineStr">
        <is>
          <t>adidas Breaknet Sleek Suede Womens Sneakers</t>
        </is>
      </c>
      <c r="E518" t="inlineStr">
        <is>
          <t>n/a</t>
        </is>
      </c>
    </row>
    <row r="519">
      <c r="A519" t="inlineStr">
        <is>
          <t>196477610757</t>
        </is>
      </c>
      <c r="B519" t="n">
        <v>56.9905</v>
      </c>
      <c r="C519" t="inlineStr">
        <is>
          <t>196477610757</t>
        </is>
      </c>
      <c r="D519" t="inlineStr">
        <is>
          <t>adidas Breaknet Sleek Suede Womens Sneakers</t>
        </is>
      </c>
      <c r="E519" t="inlineStr">
        <is>
          <t>n/a</t>
        </is>
      </c>
    </row>
    <row r="520">
      <c r="A520" t="inlineStr">
        <is>
          <t>196477610665</t>
        </is>
      </c>
      <c r="B520" t="n">
        <v>56.9905</v>
      </c>
      <c r="C520" t="inlineStr">
        <is>
          <t>196477610665</t>
        </is>
      </c>
      <c r="D520" t="inlineStr">
        <is>
          <t>adidas Breaknet Sleek Suede Womens Sneakers</t>
        </is>
      </c>
      <c r="E520" t="inlineStr">
        <is>
          <t>n/a</t>
        </is>
      </c>
    </row>
    <row r="521">
      <c r="A521" t="inlineStr">
        <is>
          <t>196477610740</t>
        </is>
      </c>
      <c r="B521" t="n">
        <v>56.9905</v>
      </c>
      <c r="C521" t="inlineStr">
        <is>
          <t>196477610740</t>
        </is>
      </c>
      <c r="D521" t="inlineStr">
        <is>
          <t>adidas Breaknet Sleek Suede Womens Sneakers</t>
        </is>
      </c>
      <c r="E521" t="inlineStr">
        <is>
          <t>n/a</t>
        </is>
      </c>
    </row>
    <row r="522">
      <c r="A522" t="inlineStr">
        <is>
          <t>196477607047</t>
        </is>
      </c>
      <c r="B522" t="n">
        <v>56.9905</v>
      </c>
      <c r="C522" t="inlineStr">
        <is>
          <t>196477607047</t>
        </is>
      </c>
      <c r="D522" t="inlineStr">
        <is>
          <t>adidas Breaknet Sleek Suede Womens Sneakers</t>
        </is>
      </c>
      <c r="E522" t="inlineStr">
        <is>
          <t>n/a</t>
        </is>
      </c>
    </row>
    <row r="523">
      <c r="A523" t="inlineStr">
        <is>
          <t>196477610726</t>
        </is>
      </c>
      <c r="B523" t="n">
        <v>56.9905</v>
      </c>
      <c r="C523" t="inlineStr">
        <is>
          <t>196477610726</t>
        </is>
      </c>
      <c r="D523" t="inlineStr">
        <is>
          <t>adidas Breaknet Sleek Suede Womens Sneakers</t>
        </is>
      </c>
      <c r="E523" t="inlineStr">
        <is>
          <t>n/a</t>
        </is>
      </c>
    </row>
    <row r="524">
      <c r="A524" t="inlineStr">
        <is>
          <t>196477610719</t>
        </is>
      </c>
      <c r="B524" t="n">
        <v>56.9905</v>
      </c>
      <c r="C524" t="inlineStr">
        <is>
          <t>196477610719</t>
        </is>
      </c>
      <c r="D524" t="inlineStr">
        <is>
          <t>adidas Breaknet Sleek Suede Womens Sneakers</t>
        </is>
      </c>
      <c r="E524" t="inlineStr">
        <is>
          <t>n/a</t>
        </is>
      </c>
    </row>
    <row r="525">
      <c r="A525" t="inlineStr">
        <is>
          <t>196477607054</t>
        </is>
      </c>
      <c r="B525" t="n">
        <v>56.9905</v>
      </c>
      <c r="C525" t="inlineStr">
        <is>
          <t>196477607054</t>
        </is>
      </c>
      <c r="D525" t="inlineStr">
        <is>
          <t>adidas Breaknet Sleek Suede Womens Sneakers</t>
        </is>
      </c>
      <c r="E525" t="inlineStr">
        <is>
          <t>n/a</t>
        </is>
      </c>
    </row>
    <row r="526">
      <c r="A526" t="inlineStr">
        <is>
          <t>196477610702</t>
        </is>
      </c>
      <c r="B526" t="n">
        <v>56.9905</v>
      </c>
      <c r="C526" t="inlineStr">
        <is>
          <t>196477610702</t>
        </is>
      </c>
      <c r="D526" t="inlineStr">
        <is>
          <t>adidas Breaknet Sleek Suede Womens Sneakers</t>
        </is>
      </c>
      <c r="E526" t="inlineStr">
        <is>
          <t>n/a</t>
        </is>
      </c>
    </row>
    <row r="527">
      <c r="A527" t="inlineStr">
        <is>
          <t>196477610689</t>
        </is>
      </c>
      <c r="B527" t="n">
        <v>56.9905</v>
      </c>
      <c r="C527" t="inlineStr">
        <is>
          <t>196477610689</t>
        </is>
      </c>
      <c r="D527" t="inlineStr">
        <is>
          <t>adidas Breaknet Sleek Suede Womens Sneakers</t>
        </is>
      </c>
      <c r="E527" t="inlineStr">
        <is>
          <t>n/a</t>
        </is>
      </c>
    </row>
    <row r="528">
      <c r="A528" t="inlineStr">
        <is>
          <t>196477610696</t>
        </is>
      </c>
      <c r="B528" t="n">
        <v>56.9905</v>
      </c>
      <c r="C528" t="inlineStr">
        <is>
          <t>196477610696</t>
        </is>
      </c>
      <c r="D528" t="inlineStr">
        <is>
          <t>adidas Breaknet Sleek Suede Womens Sneakers</t>
        </is>
      </c>
      <c r="E528" t="inlineStr">
        <is>
          <t>n/a</t>
        </is>
      </c>
    </row>
    <row r="529">
      <c r="A529" t="inlineStr">
        <is>
          <t>197607762728</t>
        </is>
      </c>
      <c r="B529" t="n">
        <v>56.9905</v>
      </c>
      <c r="C529" t="inlineStr">
        <is>
          <t>197607762728</t>
        </is>
      </c>
      <c r="D529" t="inlineStr">
        <is>
          <t>adidas Ultimashow 2.0 Womens Sneakers</t>
        </is>
      </c>
      <c r="E529" t="inlineStr">
        <is>
          <t>n/a</t>
        </is>
      </c>
    </row>
    <row r="530">
      <c r="A530" t="inlineStr">
        <is>
          <t>197607762797</t>
        </is>
      </c>
      <c r="B530" t="n">
        <v>56.9905</v>
      </c>
      <c r="C530" t="inlineStr">
        <is>
          <t>197607762797</t>
        </is>
      </c>
      <c r="D530" t="inlineStr">
        <is>
          <t>adidas Ultimashow 2.0 Womens Sneakers</t>
        </is>
      </c>
      <c r="E530" t="inlineStr">
        <is>
          <t>n/a</t>
        </is>
      </c>
    </row>
    <row r="531">
      <c r="A531" t="inlineStr">
        <is>
          <t>197607762773</t>
        </is>
      </c>
      <c r="B531" t="n">
        <v>56.9905</v>
      </c>
      <c r="C531" t="inlineStr">
        <is>
          <t>197607762773</t>
        </is>
      </c>
      <c r="D531" t="inlineStr">
        <is>
          <t>adidas Ultimashow 2.0 Womens Sneakers</t>
        </is>
      </c>
      <c r="E531" t="inlineStr">
        <is>
          <t>n/a</t>
        </is>
      </c>
    </row>
    <row r="532">
      <c r="A532" t="inlineStr">
        <is>
          <t>197607762810</t>
        </is>
      </c>
      <c r="B532" t="n">
        <v>56.9905</v>
      </c>
      <c r="C532" t="inlineStr">
        <is>
          <t>197607762810</t>
        </is>
      </c>
      <c r="D532" t="inlineStr">
        <is>
          <t>adidas Ultimashow 2.0 Womens Sneakers</t>
        </is>
      </c>
      <c r="E532" t="inlineStr">
        <is>
          <t>n/a</t>
        </is>
      </c>
    </row>
    <row r="533">
      <c r="A533" t="inlineStr">
        <is>
          <t>197607762711</t>
        </is>
      </c>
      <c r="B533" t="n">
        <v>56.9905</v>
      </c>
      <c r="C533" t="inlineStr">
        <is>
          <t>197607762711</t>
        </is>
      </c>
      <c r="D533" t="inlineStr">
        <is>
          <t>adidas Ultimashow 2.0 Womens Sneakers</t>
        </is>
      </c>
      <c r="E533" t="inlineStr">
        <is>
          <t>n/a</t>
        </is>
      </c>
    </row>
    <row r="534">
      <c r="A534" t="inlineStr">
        <is>
          <t>197607762780</t>
        </is>
      </c>
      <c r="B534" t="n">
        <v>56.9905</v>
      </c>
      <c r="C534" t="inlineStr">
        <is>
          <t>197607762780</t>
        </is>
      </c>
      <c r="D534" t="inlineStr">
        <is>
          <t>adidas Ultimashow 2.0 Womens Sneakers</t>
        </is>
      </c>
      <c r="E534" t="inlineStr">
        <is>
          <t>n/a</t>
        </is>
      </c>
    </row>
    <row r="535">
      <c r="A535" t="inlineStr">
        <is>
          <t>197607762803</t>
        </is>
      </c>
      <c r="B535" t="n">
        <v>56.9905</v>
      </c>
      <c r="C535" t="inlineStr">
        <is>
          <t>197607762803</t>
        </is>
      </c>
      <c r="D535" t="inlineStr">
        <is>
          <t>adidas Ultimashow 2.0 Womens Sneakers</t>
        </is>
      </c>
      <c r="E535" t="inlineStr">
        <is>
          <t>n/a</t>
        </is>
      </c>
    </row>
    <row r="536">
      <c r="A536" t="inlineStr">
        <is>
          <t>197607762698</t>
        </is>
      </c>
      <c r="B536" t="n">
        <v>56.9905</v>
      </c>
      <c r="C536" t="inlineStr">
        <is>
          <t>197607762698</t>
        </is>
      </c>
      <c r="D536" t="inlineStr">
        <is>
          <t>adidas Ultimashow 2.0 Womens Sneakers</t>
        </is>
      </c>
      <c r="E536" t="inlineStr">
        <is>
          <t>n/a</t>
        </is>
      </c>
    </row>
    <row r="537">
      <c r="A537" t="inlineStr">
        <is>
          <t>197607762735</t>
        </is>
      </c>
      <c r="B537" t="n">
        <v>56.9905</v>
      </c>
      <c r="C537" t="inlineStr">
        <is>
          <t>197607762735</t>
        </is>
      </c>
      <c r="D537" t="inlineStr">
        <is>
          <t>adidas Ultimashow 2.0 Womens Sneakers</t>
        </is>
      </c>
      <c r="E537" t="inlineStr">
        <is>
          <t>n/a</t>
        </is>
      </c>
    </row>
    <row r="538">
      <c r="A538" t="inlineStr">
        <is>
          <t>197607762759</t>
        </is>
      </c>
      <c r="B538" t="n">
        <v>56.9905</v>
      </c>
      <c r="C538" t="inlineStr">
        <is>
          <t>197607762759</t>
        </is>
      </c>
      <c r="D538" t="inlineStr">
        <is>
          <t>adidas Ultimashow 2.0 Womens Sneakers</t>
        </is>
      </c>
      <c r="E538" t="inlineStr">
        <is>
          <t>n/a</t>
        </is>
      </c>
    </row>
    <row r="539">
      <c r="A539" t="inlineStr">
        <is>
          <t>197607762742</t>
        </is>
      </c>
      <c r="B539" t="n">
        <v>56.9905</v>
      </c>
      <c r="C539" t="inlineStr">
        <is>
          <t>197607762742</t>
        </is>
      </c>
      <c r="D539" t="inlineStr">
        <is>
          <t>adidas Ultimashow 2.0 Womens Sneakers</t>
        </is>
      </c>
      <c r="E539" t="inlineStr">
        <is>
          <t>n/a</t>
        </is>
      </c>
    </row>
    <row r="540">
      <c r="A540" t="inlineStr">
        <is>
          <t>197607762704</t>
        </is>
      </c>
      <c r="B540" t="n">
        <v>56.9905</v>
      </c>
      <c r="C540" t="inlineStr">
        <is>
          <t>197607762704</t>
        </is>
      </c>
      <c r="D540" t="inlineStr">
        <is>
          <t>adidas Ultimashow 2.0 Womens Sneakers</t>
        </is>
      </c>
      <c r="E540" t="inlineStr">
        <is>
          <t>n/a</t>
        </is>
      </c>
    </row>
    <row r="541">
      <c r="A541" t="inlineStr">
        <is>
          <t>197607926076</t>
        </is>
      </c>
      <c r="B541" t="n">
        <v>56.9905</v>
      </c>
      <c r="C541" t="inlineStr">
        <is>
          <t>197607926076</t>
        </is>
      </c>
      <c r="D541" t="inlineStr">
        <is>
          <t>adidas Ultimashow 2.0 Womens Sneakers</t>
        </is>
      </c>
      <c r="E541" t="inlineStr">
        <is>
          <t>n/a</t>
        </is>
      </c>
    </row>
    <row r="542">
      <c r="A542" t="inlineStr">
        <is>
          <t>197607922399</t>
        </is>
      </c>
      <c r="B542" t="n">
        <v>56.9905</v>
      </c>
      <c r="C542" t="inlineStr">
        <is>
          <t>197607922399</t>
        </is>
      </c>
      <c r="D542" t="inlineStr">
        <is>
          <t>adidas Ultimashow 2.0 Womens Sneakers</t>
        </is>
      </c>
      <c r="E542" t="inlineStr">
        <is>
          <t>n/a</t>
        </is>
      </c>
    </row>
    <row r="543">
      <c r="A543" t="inlineStr">
        <is>
          <t>197607926069</t>
        </is>
      </c>
      <c r="B543" t="n">
        <v>56.9905</v>
      </c>
      <c r="C543" t="inlineStr">
        <is>
          <t>197607926069</t>
        </is>
      </c>
      <c r="D543" t="inlineStr">
        <is>
          <t>adidas Ultimashow 2.0 Womens Sneakers</t>
        </is>
      </c>
      <c r="E543" t="inlineStr">
        <is>
          <t>n/a</t>
        </is>
      </c>
    </row>
    <row r="544">
      <c r="A544" t="inlineStr">
        <is>
          <t>197607922368</t>
        </is>
      </c>
      <c r="B544" t="n">
        <v>56.9905</v>
      </c>
      <c r="C544" t="inlineStr">
        <is>
          <t>197607922368</t>
        </is>
      </c>
      <c r="D544" t="inlineStr">
        <is>
          <t>adidas Ultimashow 2.0 Womens Sneakers</t>
        </is>
      </c>
      <c r="E544" t="inlineStr">
        <is>
          <t>n/a</t>
        </is>
      </c>
    </row>
    <row r="545">
      <c r="A545" t="inlineStr">
        <is>
          <t>197607922351</t>
        </is>
      </c>
      <c r="B545" t="n">
        <v>56.9905</v>
      </c>
      <c r="C545" t="inlineStr">
        <is>
          <t>197607922351</t>
        </is>
      </c>
      <c r="D545" t="inlineStr">
        <is>
          <t>adidas Ultimashow 2.0 Womens Sneakers</t>
        </is>
      </c>
      <c r="E545" t="inlineStr">
        <is>
          <t>n/a</t>
        </is>
      </c>
    </row>
    <row r="546">
      <c r="A546" t="inlineStr">
        <is>
          <t>197607922436</t>
        </is>
      </c>
      <c r="B546" t="n">
        <v>56.9905</v>
      </c>
      <c r="C546" t="inlineStr">
        <is>
          <t>197607922436</t>
        </is>
      </c>
      <c r="D546" t="inlineStr">
        <is>
          <t>adidas Ultimashow 2.0 Womens Sneakers</t>
        </is>
      </c>
      <c r="E546" t="inlineStr">
        <is>
          <t>n/a</t>
        </is>
      </c>
    </row>
    <row r="547">
      <c r="A547" t="inlineStr">
        <is>
          <t>197607922375</t>
        </is>
      </c>
      <c r="B547" t="n">
        <v>56.9905</v>
      </c>
      <c r="C547" t="inlineStr">
        <is>
          <t>197607922375</t>
        </is>
      </c>
      <c r="D547" t="inlineStr">
        <is>
          <t>adidas Ultimashow 2.0 Womens Sneakers</t>
        </is>
      </c>
      <c r="E547" t="inlineStr">
        <is>
          <t>n/a</t>
        </is>
      </c>
    </row>
    <row r="548">
      <c r="A548" t="inlineStr">
        <is>
          <t>197607922412</t>
        </is>
      </c>
      <c r="B548" t="n">
        <v>56.9905</v>
      </c>
      <c r="C548" t="inlineStr">
        <is>
          <t>197607922412</t>
        </is>
      </c>
      <c r="D548" t="inlineStr">
        <is>
          <t>adidas Ultimashow 2.0 Womens Sneakers</t>
        </is>
      </c>
      <c r="E548" t="inlineStr">
        <is>
          <t>n/a</t>
        </is>
      </c>
    </row>
    <row r="549">
      <c r="A549" t="inlineStr">
        <is>
          <t>197607922405</t>
        </is>
      </c>
      <c r="B549" t="n">
        <v>56.9905</v>
      </c>
      <c r="C549" t="inlineStr">
        <is>
          <t>197607922405</t>
        </is>
      </c>
      <c r="D549" t="inlineStr">
        <is>
          <t>adidas Ultimashow 2.0 Womens Sneakers</t>
        </is>
      </c>
      <c r="E549" t="inlineStr">
        <is>
          <t>n/a</t>
        </is>
      </c>
    </row>
    <row r="550">
      <c r="A550" t="inlineStr">
        <is>
          <t>197607922382</t>
        </is>
      </c>
      <c r="B550" t="n">
        <v>56.9905</v>
      </c>
      <c r="C550" t="inlineStr">
        <is>
          <t>197607922382</t>
        </is>
      </c>
      <c r="D550" t="inlineStr">
        <is>
          <t>adidas Ultimashow 2.0 Womens Sneakers</t>
        </is>
      </c>
      <c r="E550" t="inlineStr">
        <is>
          <t>n/a</t>
        </is>
      </c>
    </row>
    <row r="551">
      <c r="A551" t="inlineStr">
        <is>
          <t>197607922429</t>
        </is>
      </c>
      <c r="B551" t="n">
        <v>56.9905</v>
      </c>
      <c r="C551" t="inlineStr">
        <is>
          <t>197607922429</t>
        </is>
      </c>
      <c r="D551" t="inlineStr">
        <is>
          <t>adidas Ultimashow 2.0 Womens Sneakers</t>
        </is>
      </c>
      <c r="E551" t="inlineStr">
        <is>
          <t>n/a</t>
        </is>
      </c>
    </row>
    <row r="552">
      <c r="A552" t="inlineStr">
        <is>
          <t>197607922450</t>
        </is>
      </c>
      <c r="B552" t="n">
        <v>56.9905</v>
      </c>
      <c r="C552" t="inlineStr">
        <is>
          <t>197607922450</t>
        </is>
      </c>
      <c r="D552" t="inlineStr">
        <is>
          <t>adidas Ultimashow 2.0 Womens Sneakers</t>
        </is>
      </c>
      <c r="E552" t="inlineStr">
        <is>
          <t>n/a</t>
        </is>
      </c>
    </row>
    <row r="553">
      <c r="A553" t="inlineStr">
        <is>
          <t>197670757317</t>
        </is>
      </c>
      <c r="B553" t="n">
        <v>66.5</v>
      </c>
      <c r="C553" t="inlineStr">
        <is>
          <t>197670757317</t>
        </is>
      </c>
      <c r="D553" t="inlineStr">
        <is>
          <t>PUMA Carina 2.0 Sd Womens Sneakers</t>
        </is>
      </c>
      <c r="E553" t="inlineStr">
        <is>
          <t>n/a</t>
        </is>
      </c>
    </row>
    <row r="554">
      <c r="A554" t="inlineStr">
        <is>
          <t>197670757324</t>
        </is>
      </c>
      <c r="B554" t="n">
        <v>66.5</v>
      </c>
      <c r="C554" t="inlineStr">
        <is>
          <t>197670757324</t>
        </is>
      </c>
      <c r="D554" t="inlineStr">
        <is>
          <t>PUMA Carina 2.0 Sd Womens Sneakers</t>
        </is>
      </c>
      <c r="E554" t="inlineStr">
        <is>
          <t>n/a</t>
        </is>
      </c>
    </row>
    <row r="555">
      <c r="A555" t="inlineStr">
        <is>
          <t>197670757331</t>
        </is>
      </c>
      <c r="B555" t="n">
        <v>66.5</v>
      </c>
      <c r="C555" t="inlineStr">
        <is>
          <t>197670757331</t>
        </is>
      </c>
      <c r="D555" t="inlineStr">
        <is>
          <t>PUMA Carina 2.0 Sd Womens Sneakers</t>
        </is>
      </c>
      <c r="E555" t="inlineStr">
        <is>
          <t>n/a</t>
        </is>
      </c>
    </row>
    <row r="556">
      <c r="A556" t="inlineStr">
        <is>
          <t>197670757348</t>
        </is>
      </c>
      <c r="B556" t="n">
        <v>66.5</v>
      </c>
      <c r="C556" t="inlineStr">
        <is>
          <t>197670757348</t>
        </is>
      </c>
      <c r="D556" t="inlineStr">
        <is>
          <t>PUMA Carina 2.0 Sd Womens Sneakers</t>
        </is>
      </c>
      <c r="E556" t="inlineStr">
        <is>
          <t>n/a</t>
        </is>
      </c>
    </row>
    <row r="557">
      <c r="A557" t="inlineStr">
        <is>
          <t>197670757355</t>
        </is>
      </c>
      <c r="B557" t="n">
        <v>66.5</v>
      </c>
      <c r="C557" t="inlineStr">
        <is>
          <t>197670757355</t>
        </is>
      </c>
      <c r="D557" t="inlineStr">
        <is>
          <t>PUMA Carina 2.0 Sd Womens Sneakers</t>
        </is>
      </c>
      <c r="E557" t="inlineStr">
        <is>
          <t>n/a</t>
        </is>
      </c>
    </row>
    <row r="558">
      <c r="A558" t="inlineStr">
        <is>
          <t>197670757362</t>
        </is>
      </c>
      <c r="B558" t="n">
        <v>66.5</v>
      </c>
      <c r="C558" t="inlineStr">
        <is>
          <t>197670757362</t>
        </is>
      </c>
      <c r="D558" t="inlineStr">
        <is>
          <t>PUMA Carina 2.0 Sd Womens Sneakers</t>
        </is>
      </c>
      <c r="E558" t="inlineStr">
        <is>
          <t>n/a</t>
        </is>
      </c>
    </row>
    <row r="559">
      <c r="A559" t="inlineStr">
        <is>
          <t>197670757379</t>
        </is>
      </c>
      <c r="B559" t="n">
        <v>66.5</v>
      </c>
      <c r="C559" t="inlineStr">
        <is>
          <t>197670757379</t>
        </is>
      </c>
      <c r="D559" t="inlineStr">
        <is>
          <t>PUMA Carina 2.0 Sd Womens Sneakers</t>
        </is>
      </c>
      <c r="E559" t="inlineStr">
        <is>
          <t>n/a</t>
        </is>
      </c>
    </row>
    <row r="560">
      <c r="A560" t="inlineStr">
        <is>
          <t>197670757386</t>
        </is>
      </c>
      <c r="B560" t="n">
        <v>66.5</v>
      </c>
      <c r="C560" t="inlineStr">
        <is>
          <t>197670757386</t>
        </is>
      </c>
      <c r="D560" t="inlineStr">
        <is>
          <t>PUMA Carina 2.0 Sd Womens Sneakers</t>
        </is>
      </c>
      <c r="E560" t="inlineStr">
        <is>
          <t>n/a</t>
        </is>
      </c>
    </row>
    <row r="561">
      <c r="A561" t="inlineStr">
        <is>
          <t>197670757393</t>
        </is>
      </c>
      <c r="B561" t="n">
        <v>66.5</v>
      </c>
      <c r="C561" t="inlineStr">
        <is>
          <t>197670757393</t>
        </is>
      </c>
      <c r="D561" t="inlineStr">
        <is>
          <t>PUMA Carina 2.0 Sd Womens Sneakers</t>
        </is>
      </c>
      <c r="E561" t="inlineStr">
        <is>
          <t>n/a</t>
        </is>
      </c>
    </row>
    <row r="562">
      <c r="A562" t="inlineStr">
        <is>
          <t>197670757409</t>
        </is>
      </c>
      <c r="B562" t="n">
        <v>66.5</v>
      </c>
      <c r="C562" t="inlineStr">
        <is>
          <t>197670757409</t>
        </is>
      </c>
      <c r="D562" t="inlineStr">
        <is>
          <t>PUMA Carina 2.0 Sd Womens Sneakers</t>
        </is>
      </c>
      <c r="E562" t="inlineStr">
        <is>
          <t>n/a</t>
        </is>
      </c>
    </row>
    <row r="563">
      <c r="A563" t="inlineStr">
        <is>
          <t>197670757423</t>
        </is>
      </c>
      <c r="B563" t="n">
        <v>66.5</v>
      </c>
      <c r="C563" t="inlineStr">
        <is>
          <t>197670757423</t>
        </is>
      </c>
      <c r="D563" t="inlineStr">
        <is>
          <t>PUMA Carina 2.0 Sd Womens Sneakers</t>
        </is>
      </c>
      <c r="E563" t="inlineStr">
        <is>
          <t>n/a</t>
        </is>
      </c>
    </row>
    <row r="564">
      <c r="A564" t="inlineStr">
        <is>
          <t>197646316449</t>
        </is>
      </c>
      <c r="B564" t="n">
        <v>76</v>
      </c>
      <c r="C564" t="inlineStr">
        <is>
          <t>197646316449</t>
        </is>
      </c>
      <c r="D564" t="inlineStr">
        <is>
          <t>PUMA Voltaic Evo Womens Running Shoes</t>
        </is>
      </c>
      <c r="E564" t="inlineStr">
        <is>
          <t>n/a</t>
        </is>
      </c>
    </row>
    <row r="565">
      <c r="A565" t="inlineStr">
        <is>
          <t>197646316456</t>
        </is>
      </c>
      <c r="B565" t="n">
        <v>76</v>
      </c>
      <c r="C565" t="inlineStr">
        <is>
          <t>197646316456</t>
        </is>
      </c>
      <c r="D565" t="inlineStr">
        <is>
          <t>PUMA Voltaic Evo Womens Running Shoes</t>
        </is>
      </c>
      <c r="E565" t="inlineStr">
        <is>
          <t>n/a</t>
        </is>
      </c>
    </row>
    <row r="566">
      <c r="A566" t="inlineStr">
        <is>
          <t>197646316463</t>
        </is>
      </c>
      <c r="B566" t="n">
        <v>76</v>
      </c>
      <c r="C566" t="inlineStr">
        <is>
          <t>197646316463</t>
        </is>
      </c>
      <c r="D566" t="inlineStr">
        <is>
          <t>PUMA Voltaic Evo Womens Running Shoes</t>
        </is>
      </c>
      <c r="E566" t="inlineStr">
        <is>
          <t>n/a</t>
        </is>
      </c>
    </row>
    <row r="567">
      <c r="A567" t="inlineStr">
        <is>
          <t>197646316470</t>
        </is>
      </c>
      <c r="B567" t="n">
        <v>76</v>
      </c>
      <c r="C567" t="inlineStr">
        <is>
          <t>197646316470</t>
        </is>
      </c>
      <c r="D567" t="inlineStr">
        <is>
          <t>PUMA Voltaic Evo Womens Running Shoes</t>
        </is>
      </c>
      <c r="E567" t="inlineStr">
        <is>
          <t>n/a</t>
        </is>
      </c>
    </row>
    <row r="568">
      <c r="A568" t="inlineStr">
        <is>
          <t>197646316487</t>
        </is>
      </c>
      <c r="B568" t="n">
        <v>76</v>
      </c>
      <c r="C568" t="inlineStr">
        <is>
          <t>197646316487</t>
        </is>
      </c>
      <c r="D568" t="inlineStr">
        <is>
          <t>PUMA Voltaic Evo Womens Running Shoes</t>
        </is>
      </c>
      <c r="E568" t="inlineStr">
        <is>
          <t>n/a</t>
        </is>
      </c>
    </row>
    <row r="569">
      <c r="A569" t="inlineStr">
        <is>
          <t>197646316494</t>
        </is>
      </c>
      <c r="B569" t="n">
        <v>76</v>
      </c>
      <c r="C569" t="inlineStr">
        <is>
          <t>197646316494</t>
        </is>
      </c>
      <c r="D569" t="inlineStr">
        <is>
          <t>PUMA Voltaic Evo Womens Running Shoes</t>
        </is>
      </c>
      <c r="E569" t="inlineStr">
        <is>
          <t>n/a</t>
        </is>
      </c>
    </row>
    <row r="570">
      <c r="A570" t="inlineStr">
        <is>
          <t>197646316500</t>
        </is>
      </c>
      <c r="B570" t="n">
        <v>76</v>
      </c>
      <c r="C570" t="inlineStr">
        <is>
          <t>197646316500</t>
        </is>
      </c>
      <c r="D570" t="inlineStr">
        <is>
          <t>PUMA Voltaic Evo Womens Running Shoes</t>
        </is>
      </c>
      <c r="E570" t="inlineStr">
        <is>
          <t>n/a</t>
        </is>
      </c>
    </row>
    <row r="571">
      <c r="A571" t="inlineStr">
        <is>
          <t>197646316517</t>
        </is>
      </c>
      <c r="B571" t="n">
        <v>76</v>
      </c>
      <c r="C571" t="inlineStr">
        <is>
          <t>197646316517</t>
        </is>
      </c>
      <c r="D571" t="inlineStr">
        <is>
          <t>PUMA Voltaic Evo Womens Running Shoes</t>
        </is>
      </c>
      <c r="E571" t="inlineStr">
        <is>
          <t>n/a</t>
        </is>
      </c>
    </row>
    <row r="572">
      <c r="A572" t="inlineStr">
        <is>
          <t>197646316524</t>
        </is>
      </c>
      <c r="B572" t="n">
        <v>76</v>
      </c>
      <c r="C572" t="inlineStr">
        <is>
          <t>197646316524</t>
        </is>
      </c>
      <c r="D572" t="inlineStr">
        <is>
          <t>PUMA Voltaic Evo Womens Running Shoes</t>
        </is>
      </c>
      <c r="E572" t="inlineStr">
        <is>
          <t>n/a</t>
        </is>
      </c>
    </row>
    <row r="573">
      <c r="A573" t="inlineStr">
        <is>
          <t>197646316531</t>
        </is>
      </c>
      <c r="B573" t="n">
        <v>76</v>
      </c>
      <c r="C573" t="inlineStr">
        <is>
          <t>197646316531</t>
        </is>
      </c>
      <c r="D573" t="inlineStr">
        <is>
          <t>PUMA Voltaic Evo Womens Running Shoes</t>
        </is>
      </c>
      <c r="E573" t="inlineStr">
        <is>
          <t>n/a</t>
        </is>
      </c>
    </row>
    <row r="574">
      <c r="A574" t="inlineStr">
        <is>
          <t>197646316548</t>
        </is>
      </c>
      <c r="B574" t="n">
        <v>76</v>
      </c>
      <c r="C574" t="inlineStr">
        <is>
          <t>197646316548</t>
        </is>
      </c>
      <c r="D574" t="inlineStr">
        <is>
          <t>PUMA Voltaic Evo Womens Running Shoes</t>
        </is>
      </c>
      <c r="E574" t="inlineStr">
        <is>
          <t>n/a</t>
        </is>
      </c>
    </row>
    <row r="575">
      <c r="A575" t="inlineStr">
        <is>
          <t>197646316555</t>
        </is>
      </c>
      <c r="B575" t="n">
        <v>76</v>
      </c>
      <c r="C575" t="inlineStr">
        <is>
          <t>197646316555</t>
        </is>
      </c>
      <c r="D575" t="inlineStr">
        <is>
          <t>PUMA Voltaic Evo Womens Running Shoes</t>
        </is>
      </c>
      <c r="E575" t="inlineStr">
        <is>
          <t>n/a</t>
        </is>
      </c>
    </row>
    <row r="576">
      <c r="A576" t="inlineStr">
        <is>
          <t>195552521940</t>
        </is>
      </c>
      <c r="B576" t="n">
        <v>57</v>
      </c>
      <c r="C576" t="inlineStr">
        <is>
          <t>195552521940</t>
        </is>
      </c>
      <c r="D576" t="inlineStr">
        <is>
          <t>PUMA Vikky V2 Leather Womens Sneakers</t>
        </is>
      </c>
      <c r="E576" t="inlineStr">
        <is>
          <t>n/a</t>
        </is>
      </c>
    </row>
    <row r="577">
      <c r="A577" t="inlineStr">
        <is>
          <t>195552521957</t>
        </is>
      </c>
      <c r="B577" t="n">
        <v>57</v>
      </c>
      <c r="C577" t="inlineStr">
        <is>
          <t>195552521957</t>
        </is>
      </c>
      <c r="D577" t="inlineStr">
        <is>
          <t>PUMA Vikky V2 Leather Womens Sneakers</t>
        </is>
      </c>
      <c r="E577" t="inlineStr">
        <is>
          <t>n/a</t>
        </is>
      </c>
    </row>
    <row r="578">
      <c r="A578" t="inlineStr">
        <is>
          <t>195552521964</t>
        </is>
      </c>
      <c r="B578" t="n">
        <v>57</v>
      </c>
      <c r="C578" t="inlineStr">
        <is>
          <t>195552521964</t>
        </is>
      </c>
      <c r="D578" t="inlineStr">
        <is>
          <t>PUMA Vikky V2 Leather Womens Sneakers</t>
        </is>
      </c>
      <c r="E578" t="inlineStr">
        <is>
          <t>n/a</t>
        </is>
      </c>
    </row>
    <row r="579">
      <c r="A579" t="inlineStr">
        <is>
          <t>195552521971</t>
        </is>
      </c>
      <c r="B579" t="n">
        <v>57</v>
      </c>
      <c r="C579" t="inlineStr">
        <is>
          <t>195552521971</t>
        </is>
      </c>
      <c r="D579" t="inlineStr">
        <is>
          <t>PUMA Vikky V2 Leather Womens Sneakers</t>
        </is>
      </c>
      <c r="E579" t="inlineStr">
        <is>
          <t>n/a</t>
        </is>
      </c>
    </row>
    <row r="580">
      <c r="A580" t="inlineStr">
        <is>
          <t>195552521988</t>
        </is>
      </c>
      <c r="B580" t="n">
        <v>57</v>
      </c>
      <c r="C580" t="inlineStr">
        <is>
          <t>195552521988</t>
        </is>
      </c>
      <c r="D580" t="inlineStr">
        <is>
          <t>PUMA Vikky V2 Leather Womens Sneakers</t>
        </is>
      </c>
      <c r="E580" t="inlineStr">
        <is>
          <t>n/a</t>
        </is>
      </c>
    </row>
    <row r="581">
      <c r="A581" t="inlineStr">
        <is>
          <t>195552521995</t>
        </is>
      </c>
      <c r="B581" t="n">
        <v>57</v>
      </c>
      <c r="C581" t="inlineStr">
        <is>
          <t>195552521995</t>
        </is>
      </c>
      <c r="D581" t="inlineStr">
        <is>
          <t>PUMA Vikky V2 Leather Womens Sneakers</t>
        </is>
      </c>
      <c r="E581" t="inlineStr">
        <is>
          <t>n/a</t>
        </is>
      </c>
    </row>
    <row r="582">
      <c r="A582" t="inlineStr">
        <is>
          <t>195552522008</t>
        </is>
      </c>
      <c r="B582" t="n">
        <v>57</v>
      </c>
      <c r="C582" t="inlineStr">
        <is>
          <t>195552522008</t>
        </is>
      </c>
      <c r="D582" t="inlineStr">
        <is>
          <t>PUMA Vikky V2 Leather Womens Sneakers</t>
        </is>
      </c>
      <c r="E582" t="inlineStr">
        <is>
          <t>n/a</t>
        </is>
      </c>
    </row>
    <row r="583">
      <c r="A583" t="inlineStr">
        <is>
          <t>195552522015</t>
        </is>
      </c>
      <c r="B583" t="n">
        <v>57</v>
      </c>
      <c r="C583" t="inlineStr">
        <is>
          <t>195552522015</t>
        </is>
      </c>
      <c r="D583" t="inlineStr">
        <is>
          <t>PUMA Vikky V2 Leather Womens Sneakers</t>
        </is>
      </c>
      <c r="E583" t="inlineStr">
        <is>
          <t>n/a</t>
        </is>
      </c>
    </row>
    <row r="584">
      <c r="A584" t="inlineStr">
        <is>
          <t>195552522039</t>
        </is>
      </c>
      <c r="B584" t="n">
        <v>57</v>
      </c>
      <c r="C584" t="inlineStr">
        <is>
          <t>195552522039</t>
        </is>
      </c>
      <c r="D584" t="inlineStr">
        <is>
          <t>PUMA Vikky V2 Leather Womens Sneakers</t>
        </is>
      </c>
      <c r="E584" t="inlineStr">
        <is>
          <t>n/a</t>
        </is>
      </c>
    </row>
    <row r="585">
      <c r="A585" t="inlineStr">
        <is>
          <t>195552522046</t>
        </is>
      </c>
      <c r="B585" t="n">
        <v>57</v>
      </c>
      <c r="C585" t="inlineStr">
        <is>
          <t>195552522046</t>
        </is>
      </c>
      <c r="D585" t="inlineStr">
        <is>
          <t>PUMA Vikky V2 Leather Womens Sneakers</t>
        </is>
      </c>
      <c r="E585" t="inlineStr">
        <is>
          <t>n/a</t>
        </is>
      </c>
    </row>
    <row r="586">
      <c r="A586" t="inlineStr">
        <is>
          <t>195552522060</t>
        </is>
      </c>
      <c r="B586" t="n">
        <v>57</v>
      </c>
      <c r="C586" t="inlineStr">
        <is>
          <t>195552522060</t>
        </is>
      </c>
      <c r="D586" t="inlineStr">
        <is>
          <t>PUMA Vikky V2 Leather Womens Sneakers</t>
        </is>
      </c>
      <c r="E586" t="inlineStr">
        <is>
          <t>n/a</t>
        </is>
      </c>
    </row>
    <row r="587">
      <c r="A587" t="inlineStr">
        <is>
          <t>197672666402</t>
        </is>
      </c>
      <c r="B587" t="n">
        <v>66.5</v>
      </c>
      <c r="C587" t="inlineStr">
        <is>
          <t>197672666402</t>
        </is>
      </c>
      <c r="D587" t="inlineStr">
        <is>
          <t>New!PUMA Club Pearl Sd Womens Sneakers</t>
        </is>
      </c>
      <c r="E587" t="inlineStr">
        <is>
          <t>n/a</t>
        </is>
      </c>
    </row>
    <row r="588">
      <c r="A588" t="inlineStr">
        <is>
          <t>197672666464</t>
        </is>
      </c>
      <c r="B588" t="n">
        <v>66.5</v>
      </c>
      <c r="C588" t="inlineStr">
        <is>
          <t>197672666464</t>
        </is>
      </c>
      <c r="D588" t="inlineStr">
        <is>
          <t>New!PUMA Club Pearl Sd Womens Sneakers</t>
        </is>
      </c>
      <c r="E588" t="inlineStr">
        <is>
          <t>n/a</t>
        </is>
      </c>
    </row>
    <row r="589">
      <c r="A589" t="inlineStr">
        <is>
          <t>197672666419</t>
        </is>
      </c>
      <c r="B589" t="n">
        <v>66.5</v>
      </c>
      <c r="C589" t="inlineStr">
        <is>
          <t>197672666419</t>
        </is>
      </c>
      <c r="D589" t="inlineStr">
        <is>
          <t>New!PUMA Club Pearl Sd Womens Sneakers</t>
        </is>
      </c>
      <c r="E589" t="inlineStr">
        <is>
          <t>n/a</t>
        </is>
      </c>
    </row>
    <row r="590">
      <c r="A590" t="inlineStr">
        <is>
          <t>197672666471</t>
        </is>
      </c>
      <c r="B590" t="n">
        <v>66.5</v>
      </c>
      <c r="C590" t="inlineStr">
        <is>
          <t>197672666471</t>
        </is>
      </c>
      <c r="D590" t="inlineStr">
        <is>
          <t>New!PUMA Club Pearl Sd Womens Sneakers</t>
        </is>
      </c>
      <c r="E590" t="inlineStr">
        <is>
          <t>n/a</t>
        </is>
      </c>
    </row>
    <row r="591">
      <c r="A591" t="inlineStr">
        <is>
          <t>197672666426</t>
        </is>
      </c>
      <c r="B591" t="n">
        <v>66.5</v>
      </c>
      <c r="C591" t="inlineStr">
        <is>
          <t>197672666426</t>
        </is>
      </c>
      <c r="D591" t="inlineStr">
        <is>
          <t>New!PUMA Club Pearl Sd Womens Sneakers</t>
        </is>
      </c>
      <c r="E591" t="inlineStr">
        <is>
          <t>n/a</t>
        </is>
      </c>
    </row>
    <row r="592">
      <c r="A592" t="inlineStr">
        <is>
          <t>197672666488</t>
        </is>
      </c>
      <c r="B592" t="n">
        <v>66.5</v>
      </c>
      <c r="C592" t="inlineStr">
        <is>
          <t>197672666488</t>
        </is>
      </c>
      <c r="D592" t="inlineStr">
        <is>
          <t>New!PUMA Club Pearl Sd Womens Sneakers</t>
        </is>
      </c>
      <c r="E592" t="inlineStr">
        <is>
          <t>n/a</t>
        </is>
      </c>
    </row>
    <row r="593">
      <c r="A593" t="inlineStr">
        <is>
          <t>197672666433</t>
        </is>
      </c>
      <c r="B593" t="n">
        <v>66.5</v>
      </c>
      <c r="C593" t="inlineStr">
        <is>
          <t>197672666433</t>
        </is>
      </c>
      <c r="D593" t="inlineStr">
        <is>
          <t>New!PUMA Club Pearl Sd Womens Sneakers</t>
        </is>
      </c>
      <c r="E593" t="inlineStr">
        <is>
          <t>n/a</t>
        </is>
      </c>
    </row>
    <row r="594">
      <c r="A594" t="inlineStr">
        <is>
          <t>197672666495</t>
        </is>
      </c>
      <c r="B594" t="n">
        <v>66.5</v>
      </c>
      <c r="C594" t="inlineStr">
        <is>
          <t>197672666495</t>
        </is>
      </c>
      <c r="D594" t="inlineStr">
        <is>
          <t>New!PUMA Club Pearl Sd Womens Sneakers</t>
        </is>
      </c>
      <c r="E594" t="inlineStr">
        <is>
          <t>n/a</t>
        </is>
      </c>
    </row>
    <row r="595">
      <c r="A595" t="inlineStr">
        <is>
          <t>197672666440</t>
        </is>
      </c>
      <c r="B595" t="n">
        <v>66.5</v>
      </c>
      <c r="C595" t="inlineStr">
        <is>
          <t>197672666440</t>
        </is>
      </c>
      <c r="D595" t="inlineStr">
        <is>
          <t>New!PUMA Club Pearl Sd Womens Sneakers</t>
        </is>
      </c>
      <c r="E595" t="inlineStr">
        <is>
          <t>n/a</t>
        </is>
      </c>
    </row>
    <row r="596">
      <c r="A596" t="inlineStr">
        <is>
          <t>197672666501</t>
        </is>
      </c>
      <c r="B596" t="n">
        <v>66.5</v>
      </c>
      <c r="C596" t="inlineStr">
        <is>
          <t>197672666501</t>
        </is>
      </c>
      <c r="D596" t="inlineStr">
        <is>
          <t>New!PUMA Club Pearl Sd Womens Sneakers</t>
        </is>
      </c>
      <c r="E596" t="inlineStr">
        <is>
          <t>n/a</t>
        </is>
      </c>
    </row>
    <row r="597">
      <c r="A597" t="inlineStr">
        <is>
          <t>197672666518</t>
        </is>
      </c>
      <c r="B597" t="n">
        <v>66.5</v>
      </c>
      <c r="C597" t="inlineStr">
        <is>
          <t>197672666518</t>
        </is>
      </c>
      <c r="D597" t="inlineStr">
        <is>
          <t>New!PUMA Club Pearl Sd Womens Sneakers</t>
        </is>
      </c>
      <c r="E597" t="inlineStr">
        <is>
          <t>n/a</t>
        </is>
      </c>
    </row>
    <row r="598">
      <c r="A598" t="inlineStr">
        <is>
          <t>197672666525</t>
        </is>
      </c>
      <c r="B598" t="n">
        <v>66.5</v>
      </c>
      <c r="C598" t="inlineStr">
        <is>
          <t>197672666525</t>
        </is>
      </c>
      <c r="D598" t="inlineStr">
        <is>
          <t>New!PUMA Club Pearl Sd Womens Sneakers</t>
        </is>
      </c>
      <c r="E598" t="inlineStr">
        <is>
          <t>n/a</t>
        </is>
      </c>
    </row>
    <row r="599">
      <c r="A599" t="inlineStr">
        <is>
          <t>197672666587</t>
        </is>
      </c>
      <c r="B599" t="n">
        <v>66.5</v>
      </c>
      <c r="C599" t="inlineStr">
        <is>
          <t>197672666587</t>
        </is>
      </c>
      <c r="D599" t="inlineStr">
        <is>
          <t>New!PUMA Club Pearl Sd Womens Sneakers</t>
        </is>
      </c>
      <c r="E599" t="inlineStr">
        <is>
          <t>n/a</t>
        </is>
      </c>
    </row>
    <row r="600">
      <c r="A600" t="inlineStr">
        <is>
          <t>197672666532</t>
        </is>
      </c>
      <c r="B600" t="n">
        <v>66.5</v>
      </c>
      <c r="C600" t="inlineStr">
        <is>
          <t>197672666532</t>
        </is>
      </c>
      <c r="D600" t="inlineStr">
        <is>
          <t>New!PUMA Club Pearl Sd Womens Sneakers</t>
        </is>
      </c>
      <c r="E600" t="inlineStr">
        <is>
          <t>n/a</t>
        </is>
      </c>
    </row>
    <row r="601">
      <c r="A601" t="inlineStr">
        <is>
          <t>197672666594</t>
        </is>
      </c>
      <c r="B601" t="n">
        <v>66.5</v>
      </c>
      <c r="C601" t="inlineStr">
        <is>
          <t>197672666594</t>
        </is>
      </c>
      <c r="D601" t="inlineStr">
        <is>
          <t>New!PUMA Club Pearl Sd Womens Sneakers</t>
        </is>
      </c>
      <c r="E601" t="inlineStr">
        <is>
          <t>n/a</t>
        </is>
      </c>
    </row>
    <row r="602">
      <c r="A602" t="inlineStr">
        <is>
          <t>197672666549</t>
        </is>
      </c>
      <c r="B602" t="n">
        <v>66.5</v>
      </c>
      <c r="C602" t="inlineStr">
        <is>
          <t>197672666549</t>
        </is>
      </c>
      <c r="D602" t="inlineStr">
        <is>
          <t>New!PUMA Club Pearl Sd Womens Sneakers</t>
        </is>
      </c>
      <c r="E602" t="inlineStr">
        <is>
          <t>n/a</t>
        </is>
      </c>
    </row>
    <row r="603">
      <c r="A603" t="inlineStr">
        <is>
          <t>197672666600</t>
        </is>
      </c>
      <c r="B603" t="n">
        <v>66.5</v>
      </c>
      <c r="C603" t="inlineStr">
        <is>
          <t>197672666600</t>
        </is>
      </c>
      <c r="D603" t="inlineStr">
        <is>
          <t>New!PUMA Club Pearl Sd Womens Sneakers</t>
        </is>
      </c>
      <c r="E603" t="inlineStr">
        <is>
          <t>n/a</t>
        </is>
      </c>
    </row>
    <row r="604">
      <c r="A604" t="inlineStr">
        <is>
          <t>197672666556</t>
        </is>
      </c>
      <c r="B604" t="n">
        <v>66.5</v>
      </c>
      <c r="C604" t="inlineStr">
        <is>
          <t>197672666556</t>
        </is>
      </c>
      <c r="D604" t="inlineStr">
        <is>
          <t>New!PUMA Club Pearl Sd Womens Sneakers</t>
        </is>
      </c>
      <c r="E604" t="inlineStr">
        <is>
          <t>n/a</t>
        </is>
      </c>
    </row>
    <row r="605">
      <c r="A605" t="inlineStr">
        <is>
          <t>197672666617</t>
        </is>
      </c>
      <c r="B605" t="n">
        <v>66.5</v>
      </c>
      <c r="C605" t="inlineStr">
        <is>
          <t>197672666617</t>
        </is>
      </c>
      <c r="D605" t="inlineStr">
        <is>
          <t>New!PUMA Club Pearl Sd Womens Sneakers</t>
        </is>
      </c>
      <c r="E605" t="inlineStr">
        <is>
          <t>n/a</t>
        </is>
      </c>
    </row>
    <row r="606">
      <c r="A606" t="inlineStr">
        <is>
          <t>197672666563</t>
        </is>
      </c>
      <c r="B606" t="n">
        <v>66.5</v>
      </c>
      <c r="C606" t="inlineStr">
        <is>
          <t>197672666563</t>
        </is>
      </c>
      <c r="D606" t="inlineStr">
        <is>
          <t>New!PUMA Club Pearl Sd Womens Sneakers</t>
        </is>
      </c>
      <c r="E606" t="inlineStr">
        <is>
          <t>n/a</t>
        </is>
      </c>
    </row>
    <row r="607">
      <c r="A607" t="inlineStr">
        <is>
          <t>197672666624</t>
        </is>
      </c>
      <c r="B607" t="n">
        <v>66.5</v>
      </c>
      <c r="C607" t="inlineStr">
        <is>
          <t>197672666624</t>
        </is>
      </c>
      <c r="D607" t="inlineStr">
        <is>
          <t>New!PUMA Club Pearl Sd Womens Sneakers</t>
        </is>
      </c>
      <c r="E607" t="inlineStr">
        <is>
          <t>n/a</t>
        </is>
      </c>
    </row>
    <row r="608">
      <c r="A608" t="inlineStr">
        <is>
          <t>197672666631</t>
        </is>
      </c>
      <c r="B608" t="n">
        <v>66.5</v>
      </c>
      <c r="C608" t="inlineStr">
        <is>
          <t>197672666631</t>
        </is>
      </c>
      <c r="D608" t="inlineStr">
        <is>
          <t>New!PUMA Club Pearl Sd Womens Sneakers</t>
        </is>
      </c>
      <c r="E608" t="inlineStr">
        <is>
          <t>n/a</t>
        </is>
      </c>
    </row>
    <row r="609">
      <c r="A609" t="inlineStr">
        <is>
          <t>196858049381</t>
        </is>
      </c>
      <c r="B609" t="n">
        <v>37.9905</v>
      </c>
      <c r="C609" t="inlineStr">
        <is>
          <t>196858049381</t>
        </is>
      </c>
      <c r="D609" t="inlineStr">
        <is>
          <t>PUMA Starla Womens Running Shoes</t>
        </is>
      </c>
      <c r="E609" t="inlineStr">
        <is>
          <t>n/a</t>
        </is>
      </c>
    </row>
    <row r="610">
      <c r="A610" t="inlineStr">
        <is>
          <t>196858049398</t>
        </is>
      </c>
      <c r="B610" t="n">
        <v>37.9905</v>
      </c>
      <c r="C610" t="inlineStr">
        <is>
          <t>196858049398</t>
        </is>
      </c>
      <c r="D610" t="inlineStr">
        <is>
          <t>PUMA Starla Womens Running Shoes</t>
        </is>
      </c>
      <c r="E610" t="inlineStr">
        <is>
          <t>n/a</t>
        </is>
      </c>
    </row>
    <row r="611">
      <c r="A611" t="inlineStr">
        <is>
          <t>196858049404</t>
        </is>
      </c>
      <c r="B611" t="n">
        <v>37.9905</v>
      </c>
      <c r="C611" t="inlineStr">
        <is>
          <t>196858049404</t>
        </is>
      </c>
      <c r="D611" t="inlineStr">
        <is>
          <t>PUMA Starla Womens Running Shoes</t>
        </is>
      </c>
      <c r="E611" t="inlineStr">
        <is>
          <t>n/a</t>
        </is>
      </c>
    </row>
    <row r="612">
      <c r="A612" t="inlineStr">
        <is>
          <t>196858049411</t>
        </is>
      </c>
      <c r="B612" t="n">
        <v>37.9905</v>
      </c>
      <c r="C612" t="inlineStr">
        <is>
          <t>196858049411</t>
        </is>
      </c>
      <c r="D612" t="inlineStr">
        <is>
          <t>PUMA Starla Womens Running Shoes</t>
        </is>
      </c>
      <c r="E612" t="inlineStr">
        <is>
          <t>n/a</t>
        </is>
      </c>
    </row>
    <row r="613">
      <c r="A613" t="inlineStr">
        <is>
          <t>196858049428</t>
        </is>
      </c>
      <c r="B613" t="n">
        <v>37.9905</v>
      </c>
      <c r="C613" t="inlineStr">
        <is>
          <t>196858049428</t>
        </is>
      </c>
      <c r="D613" t="inlineStr">
        <is>
          <t>PUMA Starla Womens Running Shoes</t>
        </is>
      </c>
      <c r="E613" t="inlineStr">
        <is>
          <t>n/a</t>
        </is>
      </c>
    </row>
    <row r="614">
      <c r="A614" t="inlineStr">
        <is>
          <t>196858049435</t>
        </is>
      </c>
      <c r="B614" t="n">
        <v>37.9905</v>
      </c>
      <c r="C614" t="inlineStr">
        <is>
          <t>196858049435</t>
        </is>
      </c>
      <c r="D614" t="inlineStr">
        <is>
          <t>PUMA Starla Womens Running Shoes</t>
        </is>
      </c>
      <c r="E614" t="inlineStr">
        <is>
          <t>n/a</t>
        </is>
      </c>
    </row>
    <row r="615">
      <c r="A615" t="inlineStr">
        <is>
          <t>196858049442</t>
        </is>
      </c>
      <c r="B615" t="n">
        <v>37.9905</v>
      </c>
      <c r="C615" t="inlineStr">
        <is>
          <t>196858049442</t>
        </is>
      </c>
      <c r="D615" t="inlineStr">
        <is>
          <t>PUMA Starla Womens Running Shoes</t>
        </is>
      </c>
      <c r="E615" t="inlineStr">
        <is>
          <t>n/a</t>
        </is>
      </c>
    </row>
    <row r="616">
      <c r="A616" t="inlineStr">
        <is>
          <t>196858049459</t>
        </is>
      </c>
      <c r="B616" t="n">
        <v>37.9905</v>
      </c>
      <c r="C616" t="inlineStr">
        <is>
          <t>196858049459</t>
        </is>
      </c>
      <c r="D616" t="inlineStr">
        <is>
          <t>PUMA Starla Womens Running Shoes</t>
        </is>
      </c>
      <c r="E616" t="inlineStr">
        <is>
          <t>n/a</t>
        </is>
      </c>
    </row>
    <row r="617">
      <c r="A617" t="inlineStr">
        <is>
          <t>196858049466</t>
        </is>
      </c>
      <c r="B617" t="n">
        <v>37.9905</v>
      </c>
      <c r="C617" t="inlineStr">
        <is>
          <t>196858049466</t>
        </is>
      </c>
      <c r="D617" t="inlineStr">
        <is>
          <t>PUMA Starla Womens Running Shoes</t>
        </is>
      </c>
      <c r="E617" t="inlineStr">
        <is>
          <t>n/a</t>
        </is>
      </c>
    </row>
    <row r="618">
      <c r="A618" t="inlineStr">
        <is>
          <t>196858049473</t>
        </is>
      </c>
      <c r="B618" t="n">
        <v>37.9905</v>
      </c>
      <c r="C618" t="inlineStr">
        <is>
          <t>196858049473</t>
        </is>
      </c>
      <c r="D618" t="inlineStr">
        <is>
          <t>PUMA Starla Womens Running Shoes</t>
        </is>
      </c>
      <c r="E618" t="inlineStr">
        <is>
          <t>n/a</t>
        </is>
      </c>
    </row>
    <row r="619">
      <c r="A619" t="inlineStr">
        <is>
          <t>196858049497</t>
        </is>
      </c>
      <c r="B619" t="n">
        <v>37.9905</v>
      </c>
      <c r="C619" t="inlineStr">
        <is>
          <t>196858049497</t>
        </is>
      </c>
      <c r="D619" t="inlineStr">
        <is>
          <t>PUMA Starla Womens Running Shoes</t>
        </is>
      </c>
      <c r="E619" t="inlineStr">
        <is>
          <t>n/a</t>
        </is>
      </c>
    </row>
    <row r="620">
      <c r="A620" t="inlineStr">
        <is>
          <t>195739840369</t>
        </is>
      </c>
      <c r="C620" t="inlineStr">
        <is>
          <t>195739840369</t>
        </is>
      </c>
      <c r="D620" t="inlineStr">
        <is>
          <t>adidas Grand Court 2.0 Womens Sneakers</t>
        </is>
      </c>
      <c r="E620" t="inlineStr">
        <is>
          <t>n/a</t>
        </is>
      </c>
    </row>
    <row r="621">
      <c r="A621" t="inlineStr">
        <is>
          <t>195739844725</t>
        </is>
      </c>
      <c r="C621" t="inlineStr">
        <is>
          <t>195739844725</t>
        </is>
      </c>
      <c r="D621" t="inlineStr">
        <is>
          <t>adidas Grand Court 2.0 Womens Sneakers</t>
        </is>
      </c>
      <c r="E621" t="inlineStr">
        <is>
          <t>n/a</t>
        </is>
      </c>
    </row>
    <row r="622">
      <c r="A622" t="inlineStr">
        <is>
          <t>195739844756</t>
        </is>
      </c>
      <c r="C622" t="inlineStr">
        <is>
          <t>195739844756</t>
        </is>
      </c>
      <c r="D622" t="inlineStr">
        <is>
          <t>adidas Grand Court 2.0 Womens Sneakers</t>
        </is>
      </c>
      <c r="E622" t="inlineStr">
        <is>
          <t>n/a</t>
        </is>
      </c>
    </row>
    <row r="623">
      <c r="A623" t="inlineStr">
        <is>
          <t>195739840352</t>
        </is>
      </c>
      <c r="C623" t="inlineStr">
        <is>
          <t>195739840352</t>
        </is>
      </c>
      <c r="D623" t="inlineStr">
        <is>
          <t>adidas Grand Court 2.0 Womens Sneakers</t>
        </is>
      </c>
      <c r="E623" t="inlineStr">
        <is>
          <t>n/a</t>
        </is>
      </c>
    </row>
    <row r="624">
      <c r="A624" t="inlineStr">
        <is>
          <t>195739844794</t>
        </is>
      </c>
      <c r="C624" t="inlineStr">
        <is>
          <t>195739844794</t>
        </is>
      </c>
      <c r="D624" t="inlineStr">
        <is>
          <t>adidas Grand Court 2.0 Womens Sneakers</t>
        </is>
      </c>
      <c r="E624" t="inlineStr">
        <is>
          <t>n/a</t>
        </is>
      </c>
    </row>
    <row r="625">
      <c r="A625" t="inlineStr">
        <is>
          <t>195739844732</t>
        </is>
      </c>
      <c r="C625" t="inlineStr">
        <is>
          <t>195739844732</t>
        </is>
      </c>
      <c r="D625" t="inlineStr">
        <is>
          <t>adidas Grand Court 2.0 Womens Sneakers</t>
        </is>
      </c>
      <c r="E625" t="inlineStr">
        <is>
          <t>n/a</t>
        </is>
      </c>
    </row>
    <row r="626">
      <c r="A626" t="inlineStr">
        <is>
          <t>195739844770</t>
        </is>
      </c>
      <c r="C626" t="inlineStr">
        <is>
          <t>195739844770</t>
        </is>
      </c>
      <c r="D626" t="inlineStr">
        <is>
          <t>adidas Grand Court 2.0 Womens Sneakers</t>
        </is>
      </c>
      <c r="E626" t="inlineStr">
        <is>
          <t>n/a</t>
        </is>
      </c>
    </row>
    <row r="627">
      <c r="A627" t="inlineStr">
        <is>
          <t>195739844787</t>
        </is>
      </c>
      <c r="C627" t="inlineStr">
        <is>
          <t>195739844787</t>
        </is>
      </c>
      <c r="D627" t="inlineStr">
        <is>
          <t>adidas Grand Court 2.0 Womens Sneakers</t>
        </is>
      </c>
      <c r="E627" t="inlineStr">
        <is>
          <t>n/a</t>
        </is>
      </c>
    </row>
    <row r="628">
      <c r="A628" t="inlineStr">
        <is>
          <t>195739844718</t>
        </is>
      </c>
      <c r="C628" t="inlineStr">
        <is>
          <t>195739844718</t>
        </is>
      </c>
      <c r="D628" t="inlineStr">
        <is>
          <t>adidas Grand Court 2.0 Womens Sneakers</t>
        </is>
      </c>
      <c r="E628" t="inlineStr">
        <is>
          <t>n/a</t>
        </is>
      </c>
    </row>
    <row r="629">
      <c r="A629" t="inlineStr">
        <is>
          <t>195739840376</t>
        </is>
      </c>
      <c r="C629" t="inlineStr">
        <is>
          <t>195739840376</t>
        </is>
      </c>
      <c r="D629" t="inlineStr">
        <is>
          <t>adidas Grand Court 2.0 Womens Sneakers</t>
        </is>
      </c>
      <c r="E629" t="inlineStr">
        <is>
          <t>n/a</t>
        </is>
      </c>
    </row>
    <row r="630">
      <c r="A630" t="inlineStr">
        <is>
          <t>195739844749</t>
        </is>
      </c>
      <c r="C630" t="inlineStr">
        <is>
          <t>195739844749</t>
        </is>
      </c>
      <c r="D630" t="inlineStr">
        <is>
          <t>adidas Grand Court 2.0 Womens Sneakers</t>
        </is>
      </c>
      <c r="E630" t="inlineStr">
        <is>
          <t>n/a</t>
        </is>
      </c>
    </row>
    <row r="631">
      <c r="A631" t="inlineStr">
        <is>
          <t>195746012988</t>
        </is>
      </c>
      <c r="C631" t="inlineStr">
        <is>
          <t>195746012988</t>
        </is>
      </c>
      <c r="D631" t="inlineStr">
        <is>
          <t>adidas Grand Court 2.0 Womens Sneakers</t>
        </is>
      </c>
      <c r="E631" t="inlineStr">
        <is>
          <t>n/a</t>
        </is>
      </c>
    </row>
    <row r="632">
      <c r="A632" t="inlineStr">
        <is>
          <t>195552624771</t>
        </is>
      </c>
      <c r="B632" t="n">
        <v>66.5</v>
      </c>
      <c r="C632" t="inlineStr">
        <is>
          <t>195552624771</t>
        </is>
      </c>
      <c r="D632" t="inlineStr">
        <is>
          <t>PUMA Softride One4all Womens Running Shoes</t>
        </is>
      </c>
      <c r="E632" t="inlineStr">
        <is>
          <t>n/a</t>
        </is>
      </c>
    </row>
    <row r="633">
      <c r="A633" t="inlineStr">
        <is>
          <t>195552624801</t>
        </is>
      </c>
      <c r="B633" t="n">
        <v>66.5</v>
      </c>
      <c r="C633" t="inlineStr">
        <is>
          <t>195552624801</t>
        </is>
      </c>
      <c r="D633" t="inlineStr">
        <is>
          <t>PUMA Softride One4all Womens Running Shoes</t>
        </is>
      </c>
      <c r="E633" t="inlineStr">
        <is>
          <t>n/a</t>
        </is>
      </c>
    </row>
    <row r="634">
      <c r="A634" t="inlineStr">
        <is>
          <t>195552624825</t>
        </is>
      </c>
      <c r="B634" t="n">
        <v>66.5</v>
      </c>
      <c r="C634" t="inlineStr">
        <is>
          <t>195552624825</t>
        </is>
      </c>
      <c r="D634" t="inlineStr">
        <is>
          <t>PUMA Softride One4all Womens Running Shoes</t>
        </is>
      </c>
      <c r="E634" t="inlineStr">
        <is>
          <t>n/a</t>
        </is>
      </c>
    </row>
    <row r="635">
      <c r="A635" t="inlineStr">
        <is>
          <t>195552624849</t>
        </is>
      </c>
      <c r="B635" t="n">
        <v>66.5</v>
      </c>
      <c r="C635" t="inlineStr">
        <is>
          <t>195552624849</t>
        </is>
      </c>
      <c r="D635" t="inlineStr">
        <is>
          <t>PUMA Softride One4all Womens Running Shoes</t>
        </is>
      </c>
      <c r="E635" t="inlineStr">
        <is>
          <t>n/a</t>
        </is>
      </c>
    </row>
    <row r="636">
      <c r="A636" t="inlineStr">
        <is>
          <t>195552624863</t>
        </is>
      </c>
      <c r="B636" t="n">
        <v>66.5</v>
      </c>
      <c r="C636" t="inlineStr">
        <is>
          <t>195552624863</t>
        </is>
      </c>
      <c r="D636" t="inlineStr">
        <is>
          <t>PUMA Softride One4all Womens Running Shoes</t>
        </is>
      </c>
      <c r="E636" t="inlineStr">
        <is>
          <t>n/a</t>
        </is>
      </c>
    </row>
    <row r="637">
      <c r="A637" t="inlineStr">
        <is>
          <t>195552624887</t>
        </is>
      </c>
      <c r="B637" t="n">
        <v>66.5</v>
      </c>
      <c r="C637" t="inlineStr">
        <is>
          <t>195552624887</t>
        </is>
      </c>
      <c r="D637" t="inlineStr">
        <is>
          <t>PUMA Softride One4all Womens Running Shoes</t>
        </is>
      </c>
      <c r="E637" t="inlineStr">
        <is>
          <t>n/a</t>
        </is>
      </c>
    </row>
    <row r="638">
      <c r="A638" t="inlineStr">
        <is>
          <t>195552624900</t>
        </is>
      </c>
      <c r="B638" t="n">
        <v>66.5</v>
      </c>
      <c r="C638" t="inlineStr">
        <is>
          <t>195552624900</t>
        </is>
      </c>
      <c r="D638" t="inlineStr">
        <is>
          <t>PUMA Softride One4all Womens Running Shoes</t>
        </is>
      </c>
      <c r="E638" t="inlineStr">
        <is>
          <t>n/a</t>
        </is>
      </c>
    </row>
    <row r="639">
      <c r="A639" t="inlineStr">
        <is>
          <t>195552624924</t>
        </is>
      </c>
      <c r="B639" t="n">
        <v>66.5</v>
      </c>
      <c r="C639" t="inlineStr">
        <is>
          <t>195552624924</t>
        </is>
      </c>
      <c r="D639" t="inlineStr">
        <is>
          <t>PUMA Softride One4all Womens Running Shoes</t>
        </is>
      </c>
      <c r="E639" t="inlineStr">
        <is>
          <t>n/a</t>
        </is>
      </c>
    </row>
    <row r="640">
      <c r="A640" t="inlineStr">
        <is>
          <t>195552624948</t>
        </is>
      </c>
      <c r="B640" t="n">
        <v>66.5</v>
      </c>
      <c r="C640" t="inlineStr">
        <is>
          <t>195552624948</t>
        </is>
      </c>
      <c r="D640" t="inlineStr">
        <is>
          <t>PUMA Softride One4all Womens Running Shoes</t>
        </is>
      </c>
      <c r="E640" t="inlineStr">
        <is>
          <t>n/a</t>
        </is>
      </c>
    </row>
    <row r="641">
      <c r="A641" t="inlineStr">
        <is>
          <t>195552624962</t>
        </is>
      </c>
      <c r="B641" t="n">
        <v>66.5</v>
      </c>
      <c r="C641" t="inlineStr">
        <is>
          <t>195552624962</t>
        </is>
      </c>
      <c r="D641" t="inlineStr">
        <is>
          <t>PUMA Softride One4all Womens Running Shoes</t>
        </is>
      </c>
      <c r="E641" t="inlineStr">
        <is>
          <t>n/a</t>
        </is>
      </c>
    </row>
    <row r="642">
      <c r="A642" t="inlineStr">
        <is>
          <t>195552625013</t>
        </is>
      </c>
      <c r="B642" t="n">
        <v>66.5</v>
      </c>
      <c r="C642" t="inlineStr">
        <is>
          <t>195552625013</t>
        </is>
      </c>
      <c r="D642" t="inlineStr">
        <is>
          <t>PUMA Softride One4all Womens Running Shoes</t>
        </is>
      </c>
      <c r="E642" t="inlineStr">
        <is>
          <t>n/a</t>
        </is>
      </c>
    </row>
    <row r="643">
      <c r="A643" t="inlineStr">
        <is>
          <t>195102570985</t>
        </is>
      </c>
      <c r="B643" t="n">
        <v>66.5</v>
      </c>
      <c r="C643" t="inlineStr">
        <is>
          <t>195102570985</t>
        </is>
      </c>
      <c r="D643" t="inlineStr">
        <is>
          <t>PUMA Softride One4all Womens Running Shoes</t>
        </is>
      </c>
      <c r="E643" t="inlineStr">
        <is>
          <t>n/a</t>
        </is>
      </c>
    </row>
    <row r="644">
      <c r="A644" t="inlineStr">
        <is>
          <t>195102570992</t>
        </is>
      </c>
      <c r="B644" t="n">
        <v>66.5</v>
      </c>
      <c r="C644" t="inlineStr">
        <is>
          <t>195102570992</t>
        </is>
      </c>
      <c r="D644" t="inlineStr">
        <is>
          <t>PUMA Softride One4all Womens Running Shoes</t>
        </is>
      </c>
      <c r="E644" t="inlineStr">
        <is>
          <t>n/a</t>
        </is>
      </c>
    </row>
    <row r="645">
      <c r="A645" t="inlineStr">
        <is>
          <t>195102571005</t>
        </is>
      </c>
      <c r="B645" t="n">
        <v>66.5</v>
      </c>
      <c r="C645" t="inlineStr">
        <is>
          <t>195102571005</t>
        </is>
      </c>
      <c r="D645" t="inlineStr">
        <is>
          <t>PUMA Softride One4all Womens Running Shoes</t>
        </is>
      </c>
      <c r="E645" t="inlineStr">
        <is>
          <t>n/a</t>
        </is>
      </c>
    </row>
    <row r="646">
      <c r="A646" t="inlineStr">
        <is>
          <t>195102570893</t>
        </is>
      </c>
      <c r="B646" t="n">
        <v>66.5</v>
      </c>
      <c r="C646" t="inlineStr">
        <is>
          <t>195102570893</t>
        </is>
      </c>
      <c r="D646" t="inlineStr">
        <is>
          <t>PUMA Softride One4all Womens Running Shoes</t>
        </is>
      </c>
      <c r="E646" t="inlineStr">
        <is>
          <t>n/a</t>
        </is>
      </c>
    </row>
    <row r="647">
      <c r="A647" t="inlineStr">
        <is>
          <t>195102570909</t>
        </is>
      </c>
      <c r="B647" t="n">
        <v>66.5</v>
      </c>
      <c r="C647" t="inlineStr">
        <is>
          <t>195102570909</t>
        </is>
      </c>
      <c r="D647" t="inlineStr">
        <is>
          <t>PUMA Softride One4all Womens Running Shoes</t>
        </is>
      </c>
      <c r="E647" t="inlineStr">
        <is>
          <t>n/a</t>
        </is>
      </c>
    </row>
    <row r="648">
      <c r="A648" t="inlineStr">
        <is>
          <t>195102570916</t>
        </is>
      </c>
      <c r="B648" t="n">
        <v>66.5</v>
      </c>
      <c r="C648" t="inlineStr">
        <is>
          <t>195102570916</t>
        </is>
      </c>
      <c r="D648" t="inlineStr">
        <is>
          <t>PUMA Softride One4all Womens Running Shoes</t>
        </is>
      </c>
      <c r="E648" t="inlineStr">
        <is>
          <t>n/a</t>
        </is>
      </c>
    </row>
    <row r="649">
      <c r="A649" t="inlineStr">
        <is>
          <t>195102570923</t>
        </is>
      </c>
      <c r="B649" t="n">
        <v>66.5</v>
      </c>
      <c r="C649" t="inlineStr">
        <is>
          <t>195102570923</t>
        </is>
      </c>
      <c r="D649" t="inlineStr">
        <is>
          <t>PUMA Softride One4all Womens Running Shoes</t>
        </is>
      </c>
      <c r="E649" t="inlineStr">
        <is>
          <t>n/a</t>
        </is>
      </c>
    </row>
    <row r="650">
      <c r="A650" t="inlineStr">
        <is>
          <t>195102570930</t>
        </is>
      </c>
      <c r="B650" t="n">
        <v>66.5</v>
      </c>
      <c r="C650" t="inlineStr">
        <is>
          <t>195102570930</t>
        </is>
      </c>
      <c r="D650" t="inlineStr">
        <is>
          <t>PUMA Softride One4all Womens Running Shoes</t>
        </is>
      </c>
      <c r="E650" t="inlineStr">
        <is>
          <t>n/a</t>
        </is>
      </c>
    </row>
    <row r="651">
      <c r="A651" t="inlineStr">
        <is>
          <t>195102570947</t>
        </is>
      </c>
      <c r="B651" t="n">
        <v>66.5</v>
      </c>
      <c r="C651" t="inlineStr">
        <is>
          <t>195102570947</t>
        </is>
      </c>
      <c r="D651" t="inlineStr">
        <is>
          <t>PUMA Softride One4all Womens Running Shoes</t>
        </is>
      </c>
      <c r="E651" t="inlineStr">
        <is>
          <t>n/a</t>
        </is>
      </c>
    </row>
    <row r="652">
      <c r="A652" t="inlineStr">
        <is>
          <t>195102570954</t>
        </is>
      </c>
      <c r="B652" t="n">
        <v>66.5</v>
      </c>
      <c r="C652" t="inlineStr">
        <is>
          <t>195102570954</t>
        </is>
      </c>
      <c r="D652" t="inlineStr">
        <is>
          <t>PUMA Softride One4all Womens Running Shoes</t>
        </is>
      </c>
      <c r="E652" t="inlineStr">
        <is>
          <t>n/a</t>
        </is>
      </c>
    </row>
    <row r="653">
      <c r="A653" t="inlineStr">
        <is>
          <t>195102570978</t>
        </is>
      </c>
      <c r="B653" t="n">
        <v>66.5</v>
      </c>
      <c r="C653" t="inlineStr">
        <is>
          <t>195102570978</t>
        </is>
      </c>
      <c r="D653" t="inlineStr">
        <is>
          <t>PUMA Softride One4all Womens Running Shoes</t>
        </is>
      </c>
      <c r="E653" t="inlineStr">
        <is>
          <t>n/a</t>
        </is>
      </c>
    </row>
    <row r="654">
      <c r="A654" t="inlineStr">
        <is>
          <t>195748940821</t>
        </is>
      </c>
      <c r="B654" t="n">
        <v>47.4905</v>
      </c>
      <c r="C654" t="inlineStr">
        <is>
          <t>195748940821</t>
        </is>
      </c>
      <c r="D654" t="inlineStr">
        <is>
          <t>adidas Womens Terrex Easttrail 2 Hiking Shoes</t>
        </is>
      </c>
      <c r="E654" t="inlineStr">
        <is>
          <t>n/a</t>
        </is>
      </c>
    </row>
    <row r="655">
      <c r="A655" t="inlineStr">
        <is>
          <t>195748940814</t>
        </is>
      </c>
      <c r="B655" t="n">
        <v>47.4905</v>
      </c>
      <c r="C655" t="inlineStr">
        <is>
          <t>195748940814</t>
        </is>
      </c>
      <c r="D655" t="inlineStr">
        <is>
          <t>adidas Womens Terrex Easttrail 2 Hiking Shoes</t>
        </is>
      </c>
      <c r="E655" t="inlineStr">
        <is>
          <t>n/a</t>
        </is>
      </c>
    </row>
    <row r="656">
      <c r="A656" t="inlineStr">
        <is>
          <t>195748940890</t>
        </is>
      </c>
      <c r="B656" t="n">
        <v>47.4905</v>
      </c>
      <c r="C656" t="inlineStr">
        <is>
          <t>195748940890</t>
        </is>
      </c>
      <c r="D656" t="inlineStr">
        <is>
          <t>adidas Womens Terrex Easttrail 2 Hiking Shoes</t>
        </is>
      </c>
      <c r="E656" t="inlineStr">
        <is>
          <t>n/a</t>
        </is>
      </c>
    </row>
    <row r="657">
      <c r="A657" t="inlineStr">
        <is>
          <t>195748940852</t>
        </is>
      </c>
      <c r="B657" t="n">
        <v>47.4905</v>
      </c>
      <c r="C657" t="inlineStr">
        <is>
          <t>195748940852</t>
        </is>
      </c>
      <c r="D657" t="inlineStr">
        <is>
          <t>adidas Womens Terrex Easttrail 2 Hiking Shoes</t>
        </is>
      </c>
      <c r="E657" t="inlineStr">
        <is>
          <t>n/a</t>
        </is>
      </c>
    </row>
    <row r="658">
      <c r="A658" t="inlineStr">
        <is>
          <t>195748940869</t>
        </is>
      </c>
      <c r="B658" t="n">
        <v>47.4905</v>
      </c>
      <c r="C658" t="inlineStr">
        <is>
          <t>195748940869</t>
        </is>
      </c>
      <c r="D658" t="inlineStr">
        <is>
          <t>adidas Womens Terrex Easttrail 2 Hiking Shoes</t>
        </is>
      </c>
      <c r="E658" t="inlineStr">
        <is>
          <t>n/a</t>
        </is>
      </c>
    </row>
    <row r="659">
      <c r="A659" t="inlineStr">
        <is>
          <t>195748940784</t>
        </is>
      </c>
      <c r="B659" t="n">
        <v>47.4905</v>
      </c>
      <c r="C659" t="inlineStr">
        <is>
          <t>195748940784</t>
        </is>
      </c>
      <c r="D659" t="inlineStr">
        <is>
          <t>adidas Womens Terrex Easttrail 2 Hiking Shoes</t>
        </is>
      </c>
      <c r="E659" t="inlineStr">
        <is>
          <t>n/a</t>
        </is>
      </c>
    </row>
    <row r="660">
      <c r="A660" t="inlineStr">
        <is>
          <t>195748940838</t>
        </is>
      </c>
      <c r="B660" t="n">
        <v>47.4905</v>
      </c>
      <c r="C660" t="inlineStr">
        <is>
          <t>195748940838</t>
        </is>
      </c>
      <c r="D660" t="inlineStr">
        <is>
          <t>adidas Womens Terrex Easttrail 2 Hiking Shoes</t>
        </is>
      </c>
      <c r="E660" t="inlineStr">
        <is>
          <t>n/a</t>
        </is>
      </c>
    </row>
    <row r="661">
      <c r="A661" t="inlineStr">
        <is>
          <t>195748940807</t>
        </is>
      </c>
      <c r="B661" t="n">
        <v>47.4905</v>
      </c>
      <c r="C661" t="inlineStr">
        <is>
          <t>195748940807</t>
        </is>
      </c>
      <c r="D661" t="inlineStr">
        <is>
          <t>adidas Womens Terrex Easttrail 2 Hiking Shoes</t>
        </is>
      </c>
      <c r="E661" t="inlineStr">
        <is>
          <t>n/a</t>
        </is>
      </c>
    </row>
    <row r="662">
      <c r="A662" t="inlineStr">
        <is>
          <t>195748940876</t>
        </is>
      </c>
      <c r="B662" t="n">
        <v>47.4905</v>
      </c>
      <c r="C662" t="inlineStr">
        <is>
          <t>195748940876</t>
        </is>
      </c>
      <c r="D662" t="inlineStr">
        <is>
          <t>adidas Womens Terrex Easttrail 2 Hiking Shoes</t>
        </is>
      </c>
      <c r="E662" t="inlineStr">
        <is>
          <t>n/a</t>
        </is>
      </c>
    </row>
    <row r="663">
      <c r="A663" t="inlineStr">
        <is>
          <t>195748940791</t>
        </is>
      </c>
      <c r="B663" t="n">
        <v>47.4905</v>
      </c>
      <c r="C663" t="inlineStr">
        <is>
          <t>195748940791</t>
        </is>
      </c>
      <c r="D663" t="inlineStr">
        <is>
          <t>adidas Womens Terrex Easttrail 2 Hiking Shoes</t>
        </is>
      </c>
      <c r="E663" t="inlineStr">
        <is>
          <t>n/a</t>
        </is>
      </c>
    </row>
    <row r="664">
      <c r="A664" t="inlineStr">
        <is>
          <t>195748940883</t>
        </is>
      </c>
      <c r="B664" t="n">
        <v>47.4905</v>
      </c>
      <c r="C664" t="inlineStr">
        <is>
          <t>195748940883</t>
        </is>
      </c>
      <c r="D664" t="inlineStr">
        <is>
          <t>adidas Womens Terrex Easttrail 2 Hiking Shoes</t>
        </is>
      </c>
      <c r="E664" t="inlineStr">
        <is>
          <t>n/a</t>
        </is>
      </c>
    </row>
    <row r="665">
      <c r="A665" t="inlineStr">
        <is>
          <t>195748940845</t>
        </is>
      </c>
      <c r="B665" t="n">
        <v>47.4905</v>
      </c>
      <c r="C665" t="inlineStr">
        <is>
          <t>195748940845</t>
        </is>
      </c>
      <c r="D665" t="inlineStr">
        <is>
          <t>adidas Womens Terrex Easttrail 2 Hiking Shoes</t>
        </is>
      </c>
      <c r="E665" t="inlineStr">
        <is>
          <t>n/a</t>
        </is>
      </c>
    </row>
    <row r="666">
      <c r="A666" t="inlineStr">
        <is>
          <t>195748952329</t>
        </is>
      </c>
      <c r="B666" t="n">
        <v>47.4905</v>
      </c>
      <c r="C666" t="inlineStr">
        <is>
          <t>195748952329</t>
        </is>
      </c>
      <c r="D666" t="inlineStr">
        <is>
          <t>adidas Womens Terrex Easttrail 2 Hiking Shoes</t>
        </is>
      </c>
      <c r="E666" t="inlineStr">
        <is>
          <t>n/a</t>
        </is>
      </c>
    </row>
    <row r="667">
      <c r="A667" t="inlineStr">
        <is>
          <t>195748952244</t>
        </is>
      </c>
      <c r="B667" t="n">
        <v>47.4905</v>
      </c>
      <c r="C667" t="inlineStr">
        <is>
          <t>195748952244</t>
        </is>
      </c>
      <c r="D667" t="inlineStr">
        <is>
          <t>adidas Womens Terrex Easttrail 2 Hiking Shoes</t>
        </is>
      </c>
      <c r="E667" t="inlineStr">
        <is>
          <t>n/a</t>
        </is>
      </c>
    </row>
    <row r="668">
      <c r="A668" t="inlineStr">
        <is>
          <t>195748952350</t>
        </is>
      </c>
      <c r="B668" t="n">
        <v>47.4905</v>
      </c>
      <c r="C668" t="inlineStr">
        <is>
          <t>195748952350</t>
        </is>
      </c>
      <c r="D668" t="inlineStr">
        <is>
          <t>adidas Womens Terrex Easttrail 2 Hiking Shoes</t>
        </is>
      </c>
      <c r="E668" t="inlineStr">
        <is>
          <t>n/a</t>
        </is>
      </c>
    </row>
    <row r="669">
      <c r="A669" t="inlineStr">
        <is>
          <t>195748952268</t>
        </is>
      </c>
      <c r="B669" t="n">
        <v>47.4905</v>
      </c>
      <c r="C669" t="inlineStr">
        <is>
          <t>195748952268</t>
        </is>
      </c>
      <c r="D669" t="inlineStr">
        <is>
          <t>adidas Womens Terrex Easttrail 2 Hiking Shoes</t>
        </is>
      </c>
      <c r="E669" t="inlineStr">
        <is>
          <t>n/a</t>
        </is>
      </c>
    </row>
    <row r="670">
      <c r="A670" t="inlineStr">
        <is>
          <t>195748952305</t>
        </is>
      </c>
      <c r="B670" t="n">
        <v>47.4905</v>
      </c>
      <c r="C670" t="inlineStr">
        <is>
          <t>195748952305</t>
        </is>
      </c>
      <c r="D670" t="inlineStr">
        <is>
          <t>adidas Womens Terrex Easttrail 2 Hiking Shoes</t>
        </is>
      </c>
      <c r="E670" t="inlineStr">
        <is>
          <t>n/a</t>
        </is>
      </c>
    </row>
    <row r="671">
      <c r="A671" t="inlineStr">
        <is>
          <t>195748952251</t>
        </is>
      </c>
      <c r="B671" t="n">
        <v>47.4905</v>
      </c>
      <c r="C671" t="inlineStr">
        <is>
          <t>195748952251</t>
        </is>
      </c>
      <c r="D671" t="inlineStr">
        <is>
          <t>adidas Womens Terrex Easttrail 2 Hiking Shoes</t>
        </is>
      </c>
      <c r="E671" t="inlineStr">
        <is>
          <t>n/a</t>
        </is>
      </c>
    </row>
    <row r="672">
      <c r="A672" t="inlineStr">
        <is>
          <t>195748952336</t>
        </is>
      </c>
      <c r="B672" t="n">
        <v>47.4905</v>
      </c>
      <c r="C672" t="inlineStr">
        <is>
          <t>195748952336</t>
        </is>
      </c>
      <c r="D672" t="inlineStr">
        <is>
          <t>adidas Womens Terrex Easttrail 2 Hiking Shoes</t>
        </is>
      </c>
      <c r="E672" t="inlineStr">
        <is>
          <t>n/a</t>
        </is>
      </c>
    </row>
    <row r="673">
      <c r="A673" t="inlineStr">
        <is>
          <t>195748952343</t>
        </is>
      </c>
      <c r="B673" t="n">
        <v>47.4905</v>
      </c>
      <c r="C673" t="inlineStr">
        <is>
          <t>195748952343</t>
        </is>
      </c>
      <c r="D673" t="inlineStr">
        <is>
          <t>adidas Womens Terrex Easttrail 2 Hiking Shoes</t>
        </is>
      </c>
      <c r="E673" t="inlineStr">
        <is>
          <t>n/a</t>
        </is>
      </c>
    </row>
    <row r="674">
      <c r="A674" t="inlineStr">
        <is>
          <t>195748952275</t>
        </is>
      </c>
      <c r="B674" t="n">
        <v>47.4905</v>
      </c>
      <c r="C674" t="inlineStr">
        <is>
          <t>195748952275</t>
        </is>
      </c>
      <c r="D674" t="inlineStr">
        <is>
          <t>adidas Womens Terrex Easttrail 2 Hiking Shoes</t>
        </is>
      </c>
      <c r="E674" t="inlineStr">
        <is>
          <t>n/a</t>
        </is>
      </c>
    </row>
    <row r="675">
      <c r="A675" t="inlineStr">
        <is>
          <t>195748952282</t>
        </is>
      </c>
      <c r="B675" t="n">
        <v>47.4905</v>
      </c>
      <c r="C675" t="inlineStr">
        <is>
          <t>195748952282</t>
        </is>
      </c>
      <c r="D675" t="inlineStr">
        <is>
          <t>adidas Womens Terrex Easttrail 2 Hiking Shoes</t>
        </is>
      </c>
      <c r="E675" t="inlineStr">
        <is>
          <t>n/a</t>
        </is>
      </c>
    </row>
    <row r="676">
      <c r="A676" t="inlineStr">
        <is>
          <t>195748952312</t>
        </is>
      </c>
      <c r="B676" t="n">
        <v>47.4905</v>
      </c>
      <c r="C676" t="inlineStr">
        <is>
          <t>195748952312</t>
        </is>
      </c>
      <c r="D676" t="inlineStr">
        <is>
          <t>adidas Womens Terrex Easttrail 2 Hiking Shoes</t>
        </is>
      </c>
      <c r="E676" t="inlineStr">
        <is>
          <t>n/a</t>
        </is>
      </c>
    </row>
    <row r="677">
      <c r="A677" t="inlineStr">
        <is>
          <t>195748952299</t>
        </is>
      </c>
      <c r="B677" t="n">
        <v>47.4905</v>
      </c>
      <c r="C677" t="inlineStr">
        <is>
          <t>195748952299</t>
        </is>
      </c>
      <c r="D677" t="inlineStr">
        <is>
          <t>adidas Womens Terrex Easttrail 2 Hiking Shoes</t>
        </is>
      </c>
      <c r="E677" t="inlineStr">
        <is>
          <t>n/a</t>
        </is>
      </c>
    </row>
    <row r="678">
      <c r="A678" t="inlineStr">
        <is>
          <t>196471105792</t>
        </is>
      </c>
      <c r="C678" t="inlineStr">
        <is>
          <t>196471105792</t>
        </is>
      </c>
      <c r="D678" t="inlineStr">
        <is>
          <t>adidas Kaptir Flow Womens Sneakers</t>
        </is>
      </c>
      <c r="E678" t="inlineStr">
        <is>
          <t>n/a</t>
        </is>
      </c>
    </row>
    <row r="679">
      <c r="A679" t="inlineStr">
        <is>
          <t>196471109462</t>
        </is>
      </c>
      <c r="C679" t="inlineStr">
        <is>
          <t>196471109462</t>
        </is>
      </c>
      <c r="D679" t="inlineStr">
        <is>
          <t>adidas Kaptir Flow Womens Sneakers</t>
        </is>
      </c>
      <c r="E679" t="inlineStr">
        <is>
          <t>n/a</t>
        </is>
      </c>
    </row>
    <row r="680">
      <c r="A680" t="inlineStr">
        <is>
          <t>196471105778</t>
        </is>
      </c>
      <c r="C680" t="inlineStr">
        <is>
          <t>196471105778</t>
        </is>
      </c>
      <c r="D680" t="inlineStr">
        <is>
          <t>adidas Kaptir Flow Womens Sneakers</t>
        </is>
      </c>
      <c r="E680" t="inlineStr">
        <is>
          <t>n/a</t>
        </is>
      </c>
    </row>
    <row r="681">
      <c r="A681" t="inlineStr">
        <is>
          <t>196471109448</t>
        </is>
      </c>
      <c r="C681" t="inlineStr">
        <is>
          <t>196471109448</t>
        </is>
      </c>
      <c r="D681" t="inlineStr">
        <is>
          <t>adidas Kaptir Flow Womens Sneakers</t>
        </is>
      </c>
      <c r="E681" t="inlineStr">
        <is>
          <t>n/a</t>
        </is>
      </c>
    </row>
    <row r="682">
      <c r="A682" t="inlineStr">
        <is>
          <t>196471105808</t>
        </is>
      </c>
      <c r="C682" t="inlineStr">
        <is>
          <t>196471105808</t>
        </is>
      </c>
      <c r="D682" t="inlineStr">
        <is>
          <t>adidas Kaptir Flow Womens Sneakers</t>
        </is>
      </c>
      <c r="E682" t="inlineStr">
        <is>
          <t>n/a</t>
        </is>
      </c>
    </row>
    <row r="683">
      <c r="A683" t="inlineStr">
        <is>
          <t>196471109424</t>
        </is>
      </c>
      <c r="C683" t="inlineStr">
        <is>
          <t>196471109424</t>
        </is>
      </c>
      <c r="D683" t="inlineStr">
        <is>
          <t>adidas Kaptir Flow Womens Sneakers</t>
        </is>
      </c>
      <c r="E683" t="inlineStr">
        <is>
          <t>n/a</t>
        </is>
      </c>
    </row>
    <row r="684">
      <c r="A684" t="inlineStr">
        <is>
          <t>196471105754</t>
        </is>
      </c>
      <c r="C684" t="inlineStr">
        <is>
          <t>196471105754</t>
        </is>
      </c>
      <c r="D684" t="inlineStr">
        <is>
          <t>adidas Kaptir Flow Womens Sneakers</t>
        </is>
      </c>
      <c r="E684" t="inlineStr">
        <is>
          <t>n/a</t>
        </is>
      </c>
    </row>
    <row r="685">
      <c r="A685" t="inlineStr">
        <is>
          <t>196471105747</t>
        </is>
      </c>
      <c r="C685" t="inlineStr">
        <is>
          <t>196471105747</t>
        </is>
      </c>
      <c r="D685" t="inlineStr">
        <is>
          <t>adidas Kaptir Flow Womens Sneakers</t>
        </is>
      </c>
      <c r="E685" t="inlineStr">
        <is>
          <t>n/a</t>
        </is>
      </c>
    </row>
    <row r="686">
      <c r="A686" t="inlineStr">
        <is>
          <t>196471105761</t>
        </is>
      </c>
      <c r="C686" t="inlineStr">
        <is>
          <t>196471105761</t>
        </is>
      </c>
      <c r="D686" t="inlineStr">
        <is>
          <t>adidas Kaptir Flow Womens Sneakers</t>
        </is>
      </c>
      <c r="E686" t="inlineStr">
        <is>
          <t>n/a</t>
        </is>
      </c>
    </row>
    <row r="687">
      <c r="A687" t="inlineStr">
        <is>
          <t>196471105815</t>
        </is>
      </c>
      <c r="C687" t="inlineStr">
        <is>
          <t>196471105815</t>
        </is>
      </c>
      <c r="D687" t="inlineStr">
        <is>
          <t>adidas Kaptir Flow Womens Sneakers</t>
        </is>
      </c>
      <c r="E687" t="inlineStr">
        <is>
          <t>n/a</t>
        </is>
      </c>
    </row>
    <row r="688">
      <c r="A688" t="inlineStr">
        <is>
          <t>196471105785</t>
        </is>
      </c>
      <c r="C688" t="inlineStr">
        <is>
          <t>196471105785</t>
        </is>
      </c>
      <c r="D688" t="inlineStr">
        <is>
          <t>adidas Kaptir Flow Womens Sneakers</t>
        </is>
      </c>
      <c r="E688" t="inlineStr">
        <is>
          <t>n/a</t>
        </is>
      </c>
    </row>
    <row r="689">
      <c r="A689" t="inlineStr">
        <is>
          <t>196471109455</t>
        </is>
      </c>
      <c r="C689" t="inlineStr">
        <is>
          <t>196471109455</t>
        </is>
      </c>
      <c r="D689" t="inlineStr">
        <is>
          <t>adidas Kaptir Flow Womens Sneakers</t>
        </is>
      </c>
      <c r="E689" t="inlineStr">
        <is>
          <t>n/a</t>
        </is>
      </c>
    </row>
    <row r="690">
      <c r="A690" t="inlineStr">
        <is>
          <t>193525445323</t>
        </is>
      </c>
      <c r="B690" t="n">
        <v>61.75</v>
      </c>
      <c r="C690" t="inlineStr">
        <is>
          <t>193525445323</t>
        </is>
      </c>
      <c r="D690" t="inlineStr">
        <is>
          <t>PUMA Prowl Alt Womens Training Shoes</t>
        </is>
      </c>
      <c r="E690" t="inlineStr">
        <is>
          <t>n/a</t>
        </is>
      </c>
    </row>
    <row r="691">
      <c r="A691" t="inlineStr">
        <is>
          <t>193525445491</t>
        </is>
      </c>
      <c r="B691" t="n">
        <v>61.75</v>
      </c>
      <c r="C691" t="inlineStr">
        <is>
          <t>193525445491</t>
        </is>
      </c>
      <c r="D691" t="inlineStr">
        <is>
          <t>PUMA Prowl Alt Womens Training Shoes</t>
        </is>
      </c>
      <c r="E691" t="inlineStr">
        <is>
          <t>n/a</t>
        </is>
      </c>
    </row>
    <row r="692">
      <c r="A692" t="inlineStr">
        <is>
          <t>193525445682</t>
        </is>
      </c>
      <c r="B692" t="n">
        <v>61.75</v>
      </c>
      <c r="C692" t="inlineStr">
        <is>
          <t>193525445682</t>
        </is>
      </c>
      <c r="D692" t="inlineStr">
        <is>
          <t>PUMA Prowl Alt Womens Training Shoes</t>
        </is>
      </c>
      <c r="E692" t="inlineStr">
        <is>
          <t>n/a</t>
        </is>
      </c>
    </row>
    <row r="693">
      <c r="A693" t="inlineStr">
        <is>
          <t>193525445859</t>
        </is>
      </c>
      <c r="B693" t="n">
        <v>61.75</v>
      </c>
      <c r="C693" t="inlineStr">
        <is>
          <t>193525445859</t>
        </is>
      </c>
      <c r="D693" t="inlineStr">
        <is>
          <t>PUMA Prowl Alt Womens Training Shoes</t>
        </is>
      </c>
      <c r="E693" t="inlineStr">
        <is>
          <t>n/a</t>
        </is>
      </c>
    </row>
    <row r="694">
      <c r="A694" t="inlineStr">
        <is>
          <t>193525446009</t>
        </is>
      </c>
      <c r="B694" t="n">
        <v>61.75</v>
      </c>
      <c r="C694" t="inlineStr">
        <is>
          <t>193525446009</t>
        </is>
      </c>
      <c r="D694" t="inlineStr">
        <is>
          <t>PUMA Prowl Alt Womens Training Shoes</t>
        </is>
      </c>
      <c r="E694" t="inlineStr">
        <is>
          <t>n/a</t>
        </is>
      </c>
    </row>
    <row r="695">
      <c r="A695" t="inlineStr">
        <is>
          <t>193525446160</t>
        </is>
      </c>
      <c r="B695" t="n">
        <v>61.75</v>
      </c>
      <c r="C695" t="inlineStr">
        <is>
          <t>193525446160</t>
        </is>
      </c>
      <c r="D695" t="inlineStr">
        <is>
          <t>PUMA Prowl Alt Womens Training Shoes</t>
        </is>
      </c>
      <c r="E695" t="inlineStr">
        <is>
          <t>n/a</t>
        </is>
      </c>
    </row>
    <row r="696">
      <c r="A696" t="inlineStr">
        <is>
          <t>193525446306</t>
        </is>
      </c>
      <c r="B696" t="n">
        <v>61.75</v>
      </c>
      <c r="C696" t="inlineStr">
        <is>
          <t>193525446306</t>
        </is>
      </c>
      <c r="D696" t="inlineStr">
        <is>
          <t>PUMA Prowl Alt Womens Training Shoes</t>
        </is>
      </c>
      <c r="E696" t="inlineStr">
        <is>
          <t>n/a</t>
        </is>
      </c>
    </row>
    <row r="697">
      <c r="A697" t="inlineStr">
        <is>
          <t>193525446436</t>
        </is>
      </c>
      <c r="B697" t="n">
        <v>61.75</v>
      </c>
      <c r="C697" t="inlineStr">
        <is>
          <t>193525446436</t>
        </is>
      </c>
      <c r="D697" t="inlineStr">
        <is>
          <t>PUMA Prowl Alt Womens Training Shoes</t>
        </is>
      </c>
      <c r="E697" t="inlineStr">
        <is>
          <t>n/a</t>
        </is>
      </c>
    </row>
    <row r="698">
      <c r="A698" t="inlineStr">
        <is>
          <t>193525446559</t>
        </is>
      </c>
      <c r="B698" t="n">
        <v>61.75</v>
      </c>
      <c r="C698" t="inlineStr">
        <is>
          <t>193525446559</t>
        </is>
      </c>
      <c r="D698" t="inlineStr">
        <is>
          <t>PUMA Prowl Alt Womens Training Shoes</t>
        </is>
      </c>
      <c r="E698" t="inlineStr">
        <is>
          <t>n/a</t>
        </is>
      </c>
    </row>
    <row r="699">
      <c r="A699" t="inlineStr">
        <is>
          <t>193525446641</t>
        </is>
      </c>
      <c r="B699" t="n">
        <v>61.75</v>
      </c>
      <c r="C699" t="inlineStr">
        <is>
          <t>193525446641</t>
        </is>
      </c>
      <c r="D699" t="inlineStr">
        <is>
          <t>PUMA Prowl Alt Womens Training Shoes</t>
        </is>
      </c>
      <c r="E699" t="inlineStr">
        <is>
          <t>n/a</t>
        </is>
      </c>
    </row>
    <row r="700">
      <c r="A700" t="inlineStr">
        <is>
          <t>193525446764</t>
        </is>
      </c>
      <c r="B700" t="n">
        <v>61.75</v>
      </c>
      <c r="C700" t="inlineStr">
        <is>
          <t>193525446764</t>
        </is>
      </c>
      <c r="D700" t="inlineStr">
        <is>
          <t>PUMA Prowl Alt Womens Training Shoes</t>
        </is>
      </c>
      <c r="E700" t="inlineStr">
        <is>
          <t>n/a</t>
        </is>
      </c>
    </row>
    <row r="701">
      <c r="A701" t="inlineStr">
        <is>
          <t>197671958119</t>
        </is>
      </c>
      <c r="B701" t="n">
        <v>76</v>
      </c>
      <c r="C701" t="inlineStr">
        <is>
          <t>197671958119</t>
        </is>
      </c>
      <c r="D701" t="inlineStr">
        <is>
          <t>PUMA Voltaic Evo Womens Training Shoes</t>
        </is>
      </c>
      <c r="E701" t="inlineStr">
        <is>
          <t>n/a</t>
        </is>
      </c>
    </row>
    <row r="702">
      <c r="A702" t="inlineStr">
        <is>
          <t>197671958171</t>
        </is>
      </c>
      <c r="B702" t="n">
        <v>76</v>
      </c>
      <c r="C702" t="inlineStr">
        <is>
          <t>197671958171</t>
        </is>
      </c>
      <c r="D702" t="inlineStr">
        <is>
          <t>PUMA Voltaic Evo Womens Training Shoes</t>
        </is>
      </c>
      <c r="E702" t="inlineStr">
        <is>
          <t>n/a</t>
        </is>
      </c>
    </row>
    <row r="703">
      <c r="A703" t="inlineStr">
        <is>
          <t>197671958126</t>
        </is>
      </c>
      <c r="B703" t="n">
        <v>76</v>
      </c>
      <c r="C703" t="inlineStr">
        <is>
          <t>197671958126</t>
        </is>
      </c>
      <c r="D703" t="inlineStr">
        <is>
          <t>PUMA Voltaic Evo Womens Training Shoes</t>
        </is>
      </c>
      <c r="E703" t="inlineStr">
        <is>
          <t>n/a</t>
        </is>
      </c>
    </row>
    <row r="704">
      <c r="A704" t="inlineStr">
        <is>
          <t>197671958188</t>
        </is>
      </c>
      <c r="B704" t="n">
        <v>76</v>
      </c>
      <c r="C704" t="inlineStr">
        <is>
          <t>197671958188</t>
        </is>
      </c>
      <c r="D704" t="inlineStr">
        <is>
          <t>PUMA Voltaic Evo Womens Training Shoes</t>
        </is>
      </c>
      <c r="E704" t="inlineStr">
        <is>
          <t>n/a</t>
        </is>
      </c>
    </row>
    <row r="705">
      <c r="A705" t="inlineStr">
        <is>
          <t>197671958133</t>
        </is>
      </c>
      <c r="B705" t="n">
        <v>76</v>
      </c>
      <c r="C705" t="inlineStr">
        <is>
          <t>197671958133</t>
        </is>
      </c>
      <c r="D705" t="inlineStr">
        <is>
          <t>PUMA Voltaic Evo Womens Training Shoes</t>
        </is>
      </c>
      <c r="E705" t="inlineStr">
        <is>
          <t>n/a</t>
        </is>
      </c>
    </row>
    <row r="706">
      <c r="A706" t="inlineStr">
        <is>
          <t>197671958195</t>
        </is>
      </c>
      <c r="B706" t="n">
        <v>76</v>
      </c>
      <c r="C706" t="inlineStr">
        <is>
          <t>197671958195</t>
        </is>
      </c>
      <c r="D706" t="inlineStr">
        <is>
          <t>PUMA Voltaic Evo Womens Training Shoes</t>
        </is>
      </c>
      <c r="E706" t="inlineStr">
        <is>
          <t>n/a</t>
        </is>
      </c>
    </row>
    <row r="707">
      <c r="A707" t="inlineStr">
        <is>
          <t>197671958140</t>
        </is>
      </c>
      <c r="B707" t="n">
        <v>76</v>
      </c>
      <c r="C707" t="inlineStr">
        <is>
          <t>197671958140</t>
        </is>
      </c>
      <c r="D707" t="inlineStr">
        <is>
          <t>PUMA Voltaic Evo Womens Training Shoes</t>
        </is>
      </c>
      <c r="E707" t="inlineStr">
        <is>
          <t>n/a</t>
        </is>
      </c>
    </row>
    <row r="708">
      <c r="A708" t="inlineStr">
        <is>
          <t>197671958201</t>
        </is>
      </c>
      <c r="B708" t="n">
        <v>76</v>
      </c>
      <c r="C708" t="inlineStr">
        <is>
          <t>197671958201</t>
        </is>
      </c>
      <c r="D708" t="inlineStr">
        <is>
          <t>PUMA Voltaic Evo Womens Training Shoes</t>
        </is>
      </c>
      <c r="E708" t="inlineStr">
        <is>
          <t>n/a</t>
        </is>
      </c>
    </row>
    <row r="709">
      <c r="A709" t="inlineStr">
        <is>
          <t>197671958157</t>
        </is>
      </c>
      <c r="B709" t="n">
        <v>76</v>
      </c>
      <c r="C709" t="inlineStr">
        <is>
          <t>197671958157</t>
        </is>
      </c>
      <c r="D709" t="inlineStr">
        <is>
          <t>PUMA Voltaic Evo Womens Training Shoes</t>
        </is>
      </c>
      <c r="E709" t="inlineStr">
        <is>
          <t>n/a</t>
        </is>
      </c>
    </row>
    <row r="710">
      <c r="A710" t="inlineStr">
        <is>
          <t>197671958218</t>
        </is>
      </c>
      <c r="B710" t="n">
        <v>76</v>
      </c>
      <c r="C710" t="inlineStr">
        <is>
          <t>197671958218</t>
        </is>
      </c>
      <c r="D710" t="inlineStr">
        <is>
          <t>PUMA Voltaic Evo Womens Training Shoes</t>
        </is>
      </c>
      <c r="E710" t="inlineStr">
        <is>
          <t>n/a</t>
        </is>
      </c>
    </row>
    <row r="711">
      <c r="A711" t="inlineStr">
        <is>
          <t>197671958225</t>
        </is>
      </c>
      <c r="B711" t="n">
        <v>76</v>
      </c>
      <c r="C711" t="inlineStr">
        <is>
          <t>197671958225</t>
        </is>
      </c>
      <c r="D711" t="inlineStr">
        <is>
          <t>PUMA Voltaic Evo Womens Training Shoes</t>
        </is>
      </c>
      <c r="E711" t="inlineStr">
        <is>
          <t>n/a</t>
        </is>
      </c>
    </row>
    <row r="712">
      <c r="A712" t="inlineStr">
        <is>
          <t>195102411776</t>
        </is>
      </c>
      <c r="B712" t="n">
        <v>66.5</v>
      </c>
      <c r="C712" t="inlineStr">
        <is>
          <t>195102411776</t>
        </is>
      </c>
      <c r="D712" t="inlineStr">
        <is>
          <t>PUMA Carina 2.0 Womens Sneakers</t>
        </is>
      </c>
      <c r="E712" t="inlineStr">
        <is>
          <t>n/a</t>
        </is>
      </c>
    </row>
    <row r="713">
      <c r="A713" t="inlineStr">
        <is>
          <t>195102411783</t>
        </is>
      </c>
      <c r="B713" t="n">
        <v>66.5</v>
      </c>
      <c r="C713" t="inlineStr">
        <is>
          <t>195102411783</t>
        </is>
      </c>
      <c r="D713" t="inlineStr">
        <is>
          <t>PUMA Carina 2.0 Womens Sneakers</t>
        </is>
      </c>
      <c r="E713" t="inlineStr">
        <is>
          <t>n/a</t>
        </is>
      </c>
    </row>
    <row r="714">
      <c r="A714" t="inlineStr">
        <is>
          <t>195102411790</t>
        </is>
      </c>
      <c r="B714" t="n">
        <v>66.5</v>
      </c>
      <c r="C714" t="inlineStr">
        <is>
          <t>195102411790</t>
        </is>
      </c>
      <c r="D714" t="inlineStr">
        <is>
          <t>PUMA Carina 2.0 Womens Sneakers</t>
        </is>
      </c>
      <c r="E714" t="inlineStr">
        <is>
          <t>n/a</t>
        </is>
      </c>
    </row>
    <row r="715">
      <c r="A715" t="inlineStr">
        <is>
          <t>195102411806</t>
        </is>
      </c>
      <c r="B715" t="n">
        <v>66.5</v>
      </c>
      <c r="C715" t="inlineStr">
        <is>
          <t>195102411806</t>
        </is>
      </c>
      <c r="D715" t="inlineStr">
        <is>
          <t>PUMA Carina 2.0 Womens Sneakers</t>
        </is>
      </c>
      <c r="E715" t="inlineStr">
        <is>
          <t>n/a</t>
        </is>
      </c>
    </row>
    <row r="716">
      <c r="A716" t="inlineStr">
        <is>
          <t>195102411813</t>
        </is>
      </c>
      <c r="B716" t="n">
        <v>66.5</v>
      </c>
      <c r="C716" t="inlineStr">
        <is>
          <t>195102411813</t>
        </is>
      </c>
      <c r="D716" t="inlineStr">
        <is>
          <t>PUMA Carina 2.0 Womens Sneakers</t>
        </is>
      </c>
      <c r="E716" t="inlineStr">
        <is>
          <t>n/a</t>
        </is>
      </c>
    </row>
    <row r="717">
      <c r="A717" t="inlineStr">
        <is>
          <t>195102411820</t>
        </is>
      </c>
      <c r="B717" t="n">
        <v>66.5</v>
      </c>
      <c r="C717" t="inlineStr">
        <is>
          <t>195102411820</t>
        </is>
      </c>
      <c r="D717" t="inlineStr">
        <is>
          <t>PUMA Carina 2.0 Womens Sneakers</t>
        </is>
      </c>
      <c r="E717" t="inlineStr">
        <is>
          <t>n/a</t>
        </is>
      </c>
    </row>
    <row r="718">
      <c r="A718" t="inlineStr">
        <is>
          <t>195102411837</t>
        </is>
      </c>
      <c r="B718" t="n">
        <v>66.5</v>
      </c>
      <c r="C718" t="inlineStr">
        <is>
          <t>195102411837</t>
        </is>
      </c>
      <c r="D718" t="inlineStr">
        <is>
          <t>PUMA Carina 2.0 Womens Sneakers</t>
        </is>
      </c>
      <c r="E718" t="inlineStr">
        <is>
          <t>n/a</t>
        </is>
      </c>
    </row>
    <row r="719">
      <c r="A719" t="inlineStr">
        <is>
          <t>195102411844</t>
        </is>
      </c>
      <c r="B719" t="n">
        <v>66.5</v>
      </c>
      <c r="C719" t="inlineStr">
        <is>
          <t>195102411844</t>
        </is>
      </c>
      <c r="D719" t="inlineStr">
        <is>
          <t>PUMA Carina 2.0 Womens Sneakers</t>
        </is>
      </c>
      <c r="E719" t="inlineStr">
        <is>
          <t>n/a</t>
        </is>
      </c>
    </row>
    <row r="720">
      <c r="A720" t="inlineStr">
        <is>
          <t>195102411851</t>
        </is>
      </c>
      <c r="B720" t="n">
        <v>66.5</v>
      </c>
      <c r="C720" t="inlineStr">
        <is>
          <t>195102411851</t>
        </is>
      </c>
      <c r="D720" t="inlineStr">
        <is>
          <t>PUMA Carina 2.0 Womens Sneakers</t>
        </is>
      </c>
      <c r="E720" t="inlineStr">
        <is>
          <t>n/a</t>
        </is>
      </c>
    </row>
    <row r="721">
      <c r="A721" t="inlineStr">
        <is>
          <t>195102411868</t>
        </is>
      </c>
      <c r="B721" t="n">
        <v>66.5</v>
      </c>
      <c r="C721" t="inlineStr">
        <is>
          <t>195102411868</t>
        </is>
      </c>
      <c r="D721" t="inlineStr">
        <is>
          <t>PUMA Carina 2.0 Womens Sneakers</t>
        </is>
      </c>
      <c r="E721" t="inlineStr">
        <is>
          <t>n/a</t>
        </is>
      </c>
    </row>
    <row r="722">
      <c r="A722" t="inlineStr">
        <is>
          <t>195102411882</t>
        </is>
      </c>
      <c r="B722" t="n">
        <v>66.5</v>
      </c>
      <c r="C722" t="inlineStr">
        <is>
          <t>195102411882</t>
        </is>
      </c>
      <c r="D722" t="inlineStr">
        <is>
          <t>PUMA Carina 2.0 Womens Sneakers</t>
        </is>
      </c>
      <c r="E722" t="inlineStr">
        <is>
          <t>n/a</t>
        </is>
      </c>
    </row>
    <row r="723">
      <c r="A723" t="inlineStr">
        <is>
          <t>197646408397</t>
        </is>
      </c>
      <c r="B723" t="n">
        <v>57</v>
      </c>
      <c r="C723" t="inlineStr">
        <is>
          <t>197646408397</t>
        </is>
      </c>
      <c r="D723" t="inlineStr">
        <is>
          <t>PUMA Court Classic Vulc Womens Sneakers</t>
        </is>
      </c>
      <c r="E723" t="inlineStr">
        <is>
          <t>n/a</t>
        </is>
      </c>
    </row>
    <row r="724">
      <c r="A724" t="inlineStr">
        <is>
          <t>197646408465</t>
        </is>
      </c>
      <c r="B724" t="n">
        <v>57</v>
      </c>
      <c r="C724" t="inlineStr">
        <is>
          <t>197646408465</t>
        </is>
      </c>
      <c r="D724" t="inlineStr">
        <is>
          <t>PUMA Court Classic Vulc Womens Sneakers</t>
        </is>
      </c>
      <c r="E724" t="inlineStr">
        <is>
          <t>n/a</t>
        </is>
      </c>
    </row>
    <row r="725">
      <c r="A725" t="inlineStr">
        <is>
          <t>197646408496</t>
        </is>
      </c>
      <c r="B725" t="n">
        <v>57</v>
      </c>
      <c r="C725" t="inlineStr">
        <is>
          <t>197646408496</t>
        </is>
      </c>
      <c r="D725" t="inlineStr">
        <is>
          <t>PUMA Court Classic Vulc Womens Sneakers</t>
        </is>
      </c>
      <c r="E725" t="inlineStr">
        <is>
          <t>n/a</t>
        </is>
      </c>
    </row>
    <row r="726">
      <c r="A726" t="inlineStr">
        <is>
          <t>197646408458</t>
        </is>
      </c>
      <c r="B726" t="n">
        <v>57</v>
      </c>
      <c r="C726" t="inlineStr">
        <is>
          <t>197646408458</t>
        </is>
      </c>
      <c r="D726" t="inlineStr">
        <is>
          <t>PUMA Court Classic Vulc Womens Sneakers</t>
        </is>
      </c>
      <c r="E726" t="inlineStr">
        <is>
          <t>n/a</t>
        </is>
      </c>
    </row>
    <row r="727">
      <c r="A727" t="inlineStr">
        <is>
          <t>197646408502</t>
        </is>
      </c>
      <c r="B727" t="n">
        <v>57</v>
      </c>
      <c r="C727" t="inlineStr">
        <is>
          <t>197646408502</t>
        </is>
      </c>
      <c r="D727" t="inlineStr">
        <is>
          <t>PUMA Court Classic Vulc Womens Sneakers</t>
        </is>
      </c>
      <c r="E727" t="inlineStr">
        <is>
          <t>n/a</t>
        </is>
      </c>
    </row>
    <row r="728">
      <c r="A728" t="inlineStr">
        <is>
          <t>197646408403</t>
        </is>
      </c>
      <c r="B728" t="n">
        <v>57</v>
      </c>
      <c r="C728" t="inlineStr">
        <is>
          <t>197646408403</t>
        </is>
      </c>
      <c r="D728" t="inlineStr">
        <is>
          <t>PUMA Court Classic Vulc Womens Sneakers</t>
        </is>
      </c>
      <c r="E728" t="inlineStr">
        <is>
          <t>n/a</t>
        </is>
      </c>
    </row>
    <row r="729">
      <c r="A729" t="inlineStr">
        <is>
          <t>197646408410</t>
        </is>
      </c>
      <c r="B729" t="n">
        <v>57</v>
      </c>
      <c r="C729" t="inlineStr">
        <is>
          <t>197646408410</t>
        </is>
      </c>
      <c r="D729" t="inlineStr">
        <is>
          <t>PUMA Court Classic Vulc Womens Sneakers</t>
        </is>
      </c>
      <c r="E729" t="inlineStr">
        <is>
          <t>n/a</t>
        </is>
      </c>
    </row>
    <row r="730">
      <c r="A730" t="inlineStr">
        <is>
          <t>197646408434</t>
        </is>
      </c>
      <c r="B730" t="n">
        <v>57</v>
      </c>
      <c r="C730" t="inlineStr">
        <is>
          <t>197646408434</t>
        </is>
      </c>
      <c r="D730" t="inlineStr">
        <is>
          <t>PUMA Court Classic Vulc Womens Sneakers</t>
        </is>
      </c>
      <c r="E730" t="inlineStr">
        <is>
          <t>n/a</t>
        </is>
      </c>
    </row>
    <row r="731">
      <c r="A731" t="inlineStr">
        <is>
          <t>197646408427</t>
        </is>
      </c>
      <c r="B731" t="n">
        <v>57</v>
      </c>
      <c r="C731" t="inlineStr">
        <is>
          <t>197646408427</t>
        </is>
      </c>
      <c r="D731" t="inlineStr">
        <is>
          <t>PUMA Court Classic Vulc Womens Sneakers</t>
        </is>
      </c>
      <c r="E731" t="inlineStr">
        <is>
          <t>n/a</t>
        </is>
      </c>
    </row>
    <row r="732">
      <c r="A732" t="inlineStr">
        <is>
          <t>197646408472</t>
        </is>
      </c>
      <c r="B732" t="n">
        <v>57</v>
      </c>
      <c r="C732" t="inlineStr">
        <is>
          <t>197646408472</t>
        </is>
      </c>
      <c r="D732" t="inlineStr">
        <is>
          <t>PUMA Court Classic Vulc Womens Sneakers</t>
        </is>
      </c>
      <c r="E732" t="inlineStr">
        <is>
          <t>n/a</t>
        </is>
      </c>
    </row>
    <row r="733">
      <c r="A733" t="inlineStr">
        <is>
          <t>197646408489</t>
        </is>
      </c>
      <c r="B733" t="n">
        <v>57</v>
      </c>
      <c r="C733" t="inlineStr">
        <is>
          <t>197646408489</t>
        </is>
      </c>
      <c r="D733" t="inlineStr">
        <is>
          <t>PUMA Court Classic Vulc Womens Sneakers</t>
        </is>
      </c>
      <c r="E733" t="inlineStr">
        <is>
          <t>n/a</t>
        </is>
      </c>
    </row>
    <row r="734">
      <c r="A734" t="inlineStr">
        <is>
          <t>196859481081</t>
        </is>
      </c>
      <c r="B734" t="n">
        <v>57</v>
      </c>
      <c r="C734" t="inlineStr">
        <is>
          <t>196859481081</t>
        </is>
      </c>
      <c r="D734" t="inlineStr">
        <is>
          <t>PUMA Court Classic Vulc Womens Sneakers</t>
        </is>
      </c>
      <c r="E734" t="inlineStr">
        <is>
          <t>n/a</t>
        </is>
      </c>
    </row>
    <row r="735">
      <c r="A735" t="inlineStr">
        <is>
          <t>197670255837</t>
        </is>
      </c>
      <c r="B735" t="n">
        <v>66.5</v>
      </c>
      <c r="C735" t="inlineStr">
        <is>
          <t>197670255837</t>
        </is>
      </c>
      <c r="D735" t="inlineStr">
        <is>
          <t>PUMA Softride Symmetry Fuzion Womens Running Shoes</t>
        </is>
      </c>
      <c r="E735" t="inlineStr">
        <is>
          <t>n/a</t>
        </is>
      </c>
    </row>
    <row r="736">
      <c r="A736" t="inlineStr">
        <is>
          <t>197670255851</t>
        </is>
      </c>
      <c r="B736" t="n">
        <v>66.5</v>
      </c>
      <c r="C736" t="inlineStr">
        <is>
          <t>197670255851</t>
        </is>
      </c>
      <c r="D736" t="inlineStr">
        <is>
          <t>PUMA Softride Symmetry Fuzion Womens Running Shoes</t>
        </is>
      </c>
      <c r="E736" t="inlineStr">
        <is>
          <t>n/a</t>
        </is>
      </c>
    </row>
    <row r="737">
      <c r="A737" t="inlineStr">
        <is>
          <t>197670255875</t>
        </is>
      </c>
      <c r="B737" t="n">
        <v>66.5</v>
      </c>
      <c r="C737" t="inlineStr">
        <is>
          <t>197670255875</t>
        </is>
      </c>
      <c r="D737" t="inlineStr">
        <is>
          <t>PUMA Softride Symmetry Fuzion Womens Running Shoes</t>
        </is>
      </c>
      <c r="E737" t="inlineStr">
        <is>
          <t>n/a</t>
        </is>
      </c>
    </row>
    <row r="738">
      <c r="A738" t="inlineStr">
        <is>
          <t>197670255899</t>
        </is>
      </c>
      <c r="B738" t="n">
        <v>66.5</v>
      </c>
      <c r="C738" t="inlineStr">
        <is>
          <t>197670255899</t>
        </is>
      </c>
      <c r="D738" t="inlineStr">
        <is>
          <t>PUMA Softride Symmetry Fuzion Womens Running Shoes</t>
        </is>
      </c>
      <c r="E738" t="inlineStr">
        <is>
          <t>n/a</t>
        </is>
      </c>
    </row>
    <row r="739">
      <c r="A739" t="inlineStr">
        <is>
          <t>197670255912</t>
        </is>
      </c>
      <c r="B739" t="n">
        <v>66.5</v>
      </c>
      <c r="C739" t="inlineStr">
        <is>
          <t>197670255912</t>
        </is>
      </c>
      <c r="D739" t="inlineStr">
        <is>
          <t>PUMA Softride Symmetry Fuzion Womens Running Shoes</t>
        </is>
      </c>
      <c r="E739" t="inlineStr">
        <is>
          <t>n/a</t>
        </is>
      </c>
    </row>
    <row r="740">
      <c r="A740" t="inlineStr">
        <is>
          <t>197670255943</t>
        </is>
      </c>
      <c r="B740" t="n">
        <v>66.5</v>
      </c>
      <c r="C740" t="inlineStr">
        <is>
          <t>197670255943</t>
        </is>
      </c>
      <c r="D740" t="inlineStr">
        <is>
          <t>PUMA Softride Symmetry Fuzion Womens Running Shoes</t>
        </is>
      </c>
      <c r="E740" t="inlineStr">
        <is>
          <t>n/a</t>
        </is>
      </c>
    </row>
    <row r="741">
      <c r="A741" t="inlineStr">
        <is>
          <t>197670255967</t>
        </is>
      </c>
      <c r="B741" t="n">
        <v>66.5</v>
      </c>
      <c r="C741" t="inlineStr">
        <is>
          <t>197670255967</t>
        </is>
      </c>
      <c r="D741" t="inlineStr">
        <is>
          <t>PUMA Softride Symmetry Fuzion Womens Running Shoes</t>
        </is>
      </c>
      <c r="E741" t="inlineStr">
        <is>
          <t>n/a</t>
        </is>
      </c>
    </row>
    <row r="742">
      <c r="A742" t="inlineStr">
        <is>
          <t>197670255981</t>
        </is>
      </c>
      <c r="B742" t="n">
        <v>66.5</v>
      </c>
      <c r="C742" t="inlineStr">
        <is>
          <t>197670255981</t>
        </is>
      </c>
      <c r="D742" t="inlineStr">
        <is>
          <t>PUMA Softride Symmetry Fuzion Womens Running Shoes</t>
        </is>
      </c>
      <c r="E742" t="inlineStr">
        <is>
          <t>n/a</t>
        </is>
      </c>
    </row>
    <row r="743">
      <c r="A743" t="inlineStr">
        <is>
          <t>197670256001</t>
        </is>
      </c>
      <c r="B743" t="n">
        <v>66.5</v>
      </c>
      <c r="C743" t="inlineStr">
        <is>
          <t>197670256001</t>
        </is>
      </c>
      <c r="D743" t="inlineStr">
        <is>
          <t>PUMA Softride Symmetry Fuzion Womens Running Shoes</t>
        </is>
      </c>
      <c r="E743" t="inlineStr">
        <is>
          <t>n/a</t>
        </is>
      </c>
    </row>
    <row r="744">
      <c r="A744" t="inlineStr">
        <is>
          <t>197670256018</t>
        </is>
      </c>
      <c r="B744" t="n">
        <v>66.5</v>
      </c>
      <c r="C744" t="inlineStr">
        <is>
          <t>197670256018</t>
        </is>
      </c>
      <c r="D744" t="inlineStr">
        <is>
          <t>PUMA Softride Symmetry Fuzion Womens Running Shoes</t>
        </is>
      </c>
      <c r="E744" t="inlineStr">
        <is>
          <t>n/a</t>
        </is>
      </c>
    </row>
    <row r="745">
      <c r="A745" t="inlineStr">
        <is>
          <t>197672021157</t>
        </is>
      </c>
      <c r="B745" t="n">
        <v>66.5</v>
      </c>
      <c r="C745" t="inlineStr">
        <is>
          <t>197672021157</t>
        </is>
      </c>
      <c r="D745" t="inlineStr">
        <is>
          <t>PUMA Amplifier Speckle Womens Sneakers</t>
        </is>
      </c>
      <c r="E745" t="inlineStr">
        <is>
          <t>n/a</t>
        </is>
      </c>
    </row>
    <row r="746">
      <c r="A746" t="inlineStr">
        <is>
          <t>197672021218</t>
        </is>
      </c>
      <c r="B746" t="n">
        <v>66.5</v>
      </c>
      <c r="C746" t="inlineStr">
        <is>
          <t>197672021218</t>
        </is>
      </c>
      <c r="D746" t="inlineStr">
        <is>
          <t>PUMA Amplifier Speckle Womens Sneakers</t>
        </is>
      </c>
      <c r="E746" t="inlineStr">
        <is>
          <t>n/a</t>
        </is>
      </c>
    </row>
    <row r="747">
      <c r="A747" t="inlineStr">
        <is>
          <t>197672021164</t>
        </is>
      </c>
      <c r="B747" t="n">
        <v>66.5</v>
      </c>
      <c r="C747" t="inlineStr">
        <is>
          <t>197672021164</t>
        </is>
      </c>
      <c r="D747" t="inlineStr">
        <is>
          <t>PUMA Amplifier Speckle Womens Sneakers</t>
        </is>
      </c>
      <c r="E747" t="inlineStr">
        <is>
          <t>n/a</t>
        </is>
      </c>
    </row>
    <row r="748">
      <c r="A748" t="inlineStr">
        <is>
          <t>197672021225</t>
        </is>
      </c>
      <c r="B748" t="n">
        <v>66.5</v>
      </c>
      <c r="C748" t="inlineStr">
        <is>
          <t>197672021225</t>
        </is>
      </c>
      <c r="D748" t="inlineStr">
        <is>
          <t>PUMA Amplifier Speckle Womens Sneakers</t>
        </is>
      </c>
      <c r="E748" t="inlineStr">
        <is>
          <t>n/a</t>
        </is>
      </c>
    </row>
    <row r="749">
      <c r="A749" t="inlineStr">
        <is>
          <t>197672021171</t>
        </is>
      </c>
      <c r="B749" t="n">
        <v>66.5</v>
      </c>
      <c r="C749" t="inlineStr">
        <is>
          <t>197672021171</t>
        </is>
      </c>
      <c r="D749" t="inlineStr">
        <is>
          <t>PUMA Amplifier Speckle Womens Sneakers</t>
        </is>
      </c>
      <c r="E749" t="inlineStr">
        <is>
          <t>n/a</t>
        </is>
      </c>
    </row>
    <row r="750">
      <c r="A750" t="inlineStr">
        <is>
          <t>197672021232</t>
        </is>
      </c>
      <c r="B750" t="n">
        <v>66.5</v>
      </c>
      <c r="C750" t="inlineStr">
        <is>
          <t>197672021232</t>
        </is>
      </c>
      <c r="D750" t="inlineStr">
        <is>
          <t>PUMA Amplifier Speckle Womens Sneakers</t>
        </is>
      </c>
      <c r="E750" t="inlineStr">
        <is>
          <t>n/a</t>
        </is>
      </c>
    </row>
    <row r="751">
      <c r="A751" t="inlineStr">
        <is>
          <t>197672021188</t>
        </is>
      </c>
      <c r="B751" t="n">
        <v>66.5</v>
      </c>
      <c r="C751" t="inlineStr">
        <is>
          <t>197672021188</t>
        </is>
      </c>
      <c r="D751" t="inlineStr">
        <is>
          <t>PUMA Amplifier Speckle Womens Sneakers</t>
        </is>
      </c>
      <c r="E751" t="inlineStr">
        <is>
          <t>n/a</t>
        </is>
      </c>
    </row>
    <row r="752">
      <c r="A752" t="inlineStr">
        <is>
          <t>197672021249</t>
        </is>
      </c>
      <c r="B752" t="n">
        <v>66.5</v>
      </c>
      <c r="C752" t="inlineStr">
        <is>
          <t>197672021249</t>
        </is>
      </c>
      <c r="D752" t="inlineStr">
        <is>
          <t>PUMA Amplifier Speckle Womens Sneakers</t>
        </is>
      </c>
      <c r="E752" t="inlineStr">
        <is>
          <t>n/a</t>
        </is>
      </c>
    </row>
    <row r="753">
      <c r="A753" t="inlineStr">
        <is>
          <t>197672021195</t>
        </is>
      </c>
      <c r="B753" t="n">
        <v>66.5</v>
      </c>
      <c r="C753" t="inlineStr">
        <is>
          <t>197672021195</t>
        </is>
      </c>
      <c r="D753" t="inlineStr">
        <is>
          <t>PUMA Amplifier Speckle Womens Sneakers</t>
        </is>
      </c>
      <c r="E753" t="inlineStr">
        <is>
          <t>n/a</t>
        </is>
      </c>
    </row>
    <row r="754">
      <c r="A754" t="inlineStr">
        <is>
          <t>197672021256</t>
        </is>
      </c>
      <c r="B754" t="n">
        <v>66.5</v>
      </c>
      <c r="C754" t="inlineStr">
        <is>
          <t>197672021256</t>
        </is>
      </c>
      <c r="D754" t="inlineStr">
        <is>
          <t>PUMA Amplifier Speckle Womens Sneakers</t>
        </is>
      </c>
      <c r="E754" t="inlineStr">
        <is>
          <t>n/a</t>
        </is>
      </c>
    </row>
    <row r="755">
      <c r="A755" t="inlineStr">
        <is>
          <t>197672021263</t>
        </is>
      </c>
      <c r="B755" t="n">
        <v>66.5</v>
      </c>
      <c r="C755" t="inlineStr">
        <is>
          <t>197672021263</t>
        </is>
      </c>
      <c r="D755" t="inlineStr">
        <is>
          <t>PUMA Amplifier Speckle Womens Sneakers</t>
        </is>
      </c>
      <c r="E755" t="inlineStr">
        <is>
          <t>n/a</t>
        </is>
      </c>
    </row>
    <row r="756">
      <c r="A756" t="inlineStr">
        <is>
          <t>197671721867</t>
        </is>
      </c>
      <c r="B756" t="n">
        <v>71.25</v>
      </c>
      <c r="C756" t="inlineStr">
        <is>
          <t>197671721867</t>
        </is>
      </c>
      <c r="D756" t="inlineStr">
        <is>
          <t>PUMA Carina Street Blingbling Womens Sneakers</t>
        </is>
      </c>
      <c r="E756" t="inlineStr">
        <is>
          <t>n/a</t>
        </is>
      </c>
    </row>
    <row r="757">
      <c r="A757" t="inlineStr">
        <is>
          <t>197671721928</t>
        </is>
      </c>
      <c r="B757" t="n">
        <v>71.25</v>
      </c>
      <c r="C757" t="inlineStr">
        <is>
          <t>197671721928</t>
        </is>
      </c>
      <c r="D757" t="inlineStr">
        <is>
          <t>PUMA Carina Street Blingbling Womens Sneakers</t>
        </is>
      </c>
      <c r="E757" t="inlineStr">
        <is>
          <t>n/a</t>
        </is>
      </c>
    </row>
    <row r="758">
      <c r="A758" t="inlineStr">
        <is>
          <t>197671721874</t>
        </is>
      </c>
      <c r="B758" t="n">
        <v>71.25</v>
      </c>
      <c r="C758" t="inlineStr">
        <is>
          <t>197671721874</t>
        </is>
      </c>
      <c r="D758" t="inlineStr">
        <is>
          <t>PUMA Carina Street Blingbling Womens Sneakers</t>
        </is>
      </c>
      <c r="E758" t="inlineStr">
        <is>
          <t>n/a</t>
        </is>
      </c>
    </row>
    <row r="759">
      <c r="A759" t="inlineStr">
        <is>
          <t>197671721935</t>
        </is>
      </c>
      <c r="B759" t="n">
        <v>71.25</v>
      </c>
      <c r="C759" t="inlineStr">
        <is>
          <t>197671721935</t>
        </is>
      </c>
      <c r="D759" t="inlineStr">
        <is>
          <t>PUMA Carina Street Blingbling Womens Sneakers</t>
        </is>
      </c>
      <c r="E759" t="inlineStr">
        <is>
          <t>n/a</t>
        </is>
      </c>
    </row>
    <row r="760">
      <c r="A760" t="inlineStr">
        <is>
          <t>197671721881</t>
        </is>
      </c>
      <c r="B760" t="n">
        <v>71.25</v>
      </c>
      <c r="C760" t="inlineStr">
        <is>
          <t>197671721881</t>
        </is>
      </c>
      <c r="D760" t="inlineStr">
        <is>
          <t>PUMA Carina Street Blingbling Womens Sneakers</t>
        </is>
      </c>
      <c r="E760" t="inlineStr">
        <is>
          <t>n/a</t>
        </is>
      </c>
    </row>
    <row r="761">
      <c r="A761" t="inlineStr">
        <is>
          <t>197671721942</t>
        </is>
      </c>
      <c r="B761" t="n">
        <v>71.25</v>
      </c>
      <c r="C761" t="inlineStr">
        <is>
          <t>197671721942</t>
        </is>
      </c>
      <c r="D761" t="inlineStr">
        <is>
          <t>PUMA Carina Street Blingbling Womens Sneakers</t>
        </is>
      </c>
      <c r="E761" t="inlineStr">
        <is>
          <t>n/a</t>
        </is>
      </c>
    </row>
    <row r="762">
      <c r="A762" t="inlineStr">
        <is>
          <t>197671721898</t>
        </is>
      </c>
      <c r="B762" t="n">
        <v>71.25</v>
      </c>
      <c r="C762" t="inlineStr">
        <is>
          <t>197671721898</t>
        </is>
      </c>
      <c r="D762" t="inlineStr">
        <is>
          <t>PUMA Carina Street Blingbling Womens Sneakers</t>
        </is>
      </c>
      <c r="E762" t="inlineStr">
        <is>
          <t>n/a</t>
        </is>
      </c>
    </row>
    <row r="763">
      <c r="A763" t="inlineStr">
        <is>
          <t>197671721959</t>
        </is>
      </c>
      <c r="B763" t="n">
        <v>71.25</v>
      </c>
      <c r="C763" t="inlineStr">
        <is>
          <t>197671721959</t>
        </is>
      </c>
      <c r="D763" t="inlineStr">
        <is>
          <t>PUMA Carina Street Blingbling Womens Sneakers</t>
        </is>
      </c>
      <c r="E763" t="inlineStr">
        <is>
          <t>n/a</t>
        </is>
      </c>
    </row>
    <row r="764">
      <c r="A764" t="inlineStr">
        <is>
          <t>197671721904</t>
        </is>
      </c>
      <c r="B764" t="n">
        <v>71.25</v>
      </c>
      <c r="C764" t="inlineStr">
        <is>
          <t>197671721904</t>
        </is>
      </c>
      <c r="D764" t="inlineStr">
        <is>
          <t>PUMA Carina Street Blingbling Womens Sneakers</t>
        </is>
      </c>
      <c r="E764" t="inlineStr">
        <is>
          <t>n/a</t>
        </is>
      </c>
    </row>
    <row r="765">
      <c r="A765" t="inlineStr">
        <is>
          <t>197671721966</t>
        </is>
      </c>
      <c r="B765" t="n">
        <v>71.25</v>
      </c>
      <c r="C765" t="inlineStr">
        <is>
          <t>197671721966</t>
        </is>
      </c>
      <c r="D765" t="inlineStr">
        <is>
          <t>PUMA Carina Street Blingbling Womens Sneakers</t>
        </is>
      </c>
      <c r="E765" t="inlineStr">
        <is>
          <t>n/a</t>
        </is>
      </c>
    </row>
    <row r="766">
      <c r="A766" t="inlineStr">
        <is>
          <t>197671721973</t>
        </is>
      </c>
      <c r="B766" t="n">
        <v>71.25</v>
      </c>
      <c r="C766" t="inlineStr">
        <is>
          <t>197671721973</t>
        </is>
      </c>
      <c r="D766" t="inlineStr">
        <is>
          <t>PUMA Carina Street Blingbling Womens Sneakers</t>
        </is>
      </c>
      <c r="E766" t="inlineStr">
        <is>
          <t>n/a</t>
        </is>
      </c>
    </row>
    <row r="767">
      <c r="A767" t="inlineStr">
        <is>
          <t>196477913919</t>
        </is>
      </c>
      <c r="B767" t="n">
        <v>71.2405</v>
      </c>
      <c r="C767" t="inlineStr">
        <is>
          <t>196477913919</t>
        </is>
      </c>
      <c r="D767" t="inlineStr">
        <is>
          <t>adidas Crazychaos 2000 Womens Sneakers</t>
        </is>
      </c>
      <c r="E767" t="inlineStr">
        <is>
          <t>n/a</t>
        </is>
      </c>
    </row>
    <row r="768">
      <c r="A768" t="inlineStr">
        <is>
          <t>196477917146</t>
        </is>
      </c>
      <c r="B768" t="n">
        <v>71.2405</v>
      </c>
      <c r="C768" t="inlineStr">
        <is>
          <t>196477917146</t>
        </is>
      </c>
      <c r="D768" t="inlineStr">
        <is>
          <t>adidas Crazychaos 2000 Womens Sneakers</t>
        </is>
      </c>
      <c r="E768" t="inlineStr">
        <is>
          <t>n/a</t>
        </is>
      </c>
    </row>
    <row r="769">
      <c r="A769" t="inlineStr">
        <is>
          <t>196477913964</t>
        </is>
      </c>
      <c r="B769" t="n">
        <v>71.2405</v>
      </c>
      <c r="C769" t="inlineStr">
        <is>
          <t>196477913964</t>
        </is>
      </c>
      <c r="D769" t="inlineStr">
        <is>
          <t>adidas Crazychaos 2000 Womens Sneakers</t>
        </is>
      </c>
      <c r="E769" t="inlineStr">
        <is>
          <t>n/a</t>
        </is>
      </c>
    </row>
    <row r="770">
      <c r="A770" t="inlineStr">
        <is>
          <t>196477913940</t>
        </is>
      </c>
      <c r="B770" t="n">
        <v>71.2405</v>
      </c>
      <c r="C770" t="inlineStr">
        <is>
          <t>196477913940</t>
        </is>
      </c>
      <c r="D770" t="inlineStr">
        <is>
          <t>adidas Crazychaos 2000 Womens Sneakers</t>
        </is>
      </c>
      <c r="E770" t="inlineStr">
        <is>
          <t>n/a</t>
        </is>
      </c>
    </row>
    <row r="771">
      <c r="A771" t="inlineStr">
        <is>
          <t>196477913926</t>
        </is>
      </c>
      <c r="B771" t="n">
        <v>71.2405</v>
      </c>
      <c r="C771" t="inlineStr">
        <is>
          <t>196477913926</t>
        </is>
      </c>
      <c r="D771" t="inlineStr">
        <is>
          <t>adidas Crazychaos 2000 Womens Sneakers</t>
        </is>
      </c>
      <c r="E771" t="inlineStr">
        <is>
          <t>n/a</t>
        </is>
      </c>
    </row>
    <row r="772">
      <c r="A772" t="inlineStr">
        <is>
          <t>196477913971</t>
        </is>
      </c>
      <c r="B772" t="n">
        <v>71.2405</v>
      </c>
      <c r="C772" t="inlineStr">
        <is>
          <t>196477913971</t>
        </is>
      </c>
      <c r="D772" t="inlineStr">
        <is>
          <t>adidas Crazychaos 2000 Womens Sneakers</t>
        </is>
      </c>
      <c r="E772" t="inlineStr">
        <is>
          <t>n/a</t>
        </is>
      </c>
    </row>
    <row r="773">
      <c r="A773" t="inlineStr">
        <is>
          <t>196477914008</t>
        </is>
      </c>
      <c r="B773" t="n">
        <v>71.2405</v>
      </c>
      <c r="C773" t="inlineStr">
        <is>
          <t>196477914008</t>
        </is>
      </c>
      <c r="D773" t="inlineStr">
        <is>
          <t>adidas Crazychaos 2000 Womens Sneakers</t>
        </is>
      </c>
      <c r="E773" t="inlineStr">
        <is>
          <t>n/a</t>
        </is>
      </c>
    </row>
    <row r="774">
      <c r="A774" t="inlineStr">
        <is>
          <t>196477913995</t>
        </is>
      </c>
      <c r="B774" t="n">
        <v>71.2405</v>
      </c>
      <c r="C774" t="inlineStr">
        <is>
          <t>196477913995</t>
        </is>
      </c>
      <c r="D774" t="inlineStr">
        <is>
          <t>adidas Crazychaos 2000 Womens Sneakers</t>
        </is>
      </c>
      <c r="E774" t="inlineStr">
        <is>
          <t>n/a</t>
        </is>
      </c>
    </row>
    <row r="775">
      <c r="A775" t="inlineStr">
        <is>
          <t>196477913957</t>
        </is>
      </c>
      <c r="B775" t="n">
        <v>71.2405</v>
      </c>
      <c r="C775" t="inlineStr">
        <is>
          <t>196477913957</t>
        </is>
      </c>
      <c r="D775" t="inlineStr">
        <is>
          <t>adidas Crazychaos 2000 Womens Sneakers</t>
        </is>
      </c>
      <c r="E775" t="inlineStr">
        <is>
          <t>n/a</t>
        </is>
      </c>
    </row>
    <row r="776">
      <c r="A776" t="inlineStr">
        <is>
          <t>196477917160</t>
        </is>
      </c>
      <c r="B776" t="n">
        <v>71.2405</v>
      </c>
      <c r="C776" t="inlineStr">
        <is>
          <t>196477917160</t>
        </is>
      </c>
      <c r="D776" t="inlineStr">
        <is>
          <t>adidas Crazychaos 2000 Womens Sneakers</t>
        </is>
      </c>
      <c r="E776" t="inlineStr">
        <is>
          <t>n/a</t>
        </is>
      </c>
    </row>
    <row r="777">
      <c r="A777" t="inlineStr">
        <is>
          <t>196477917139</t>
        </is>
      </c>
      <c r="B777" t="n">
        <v>71.2405</v>
      </c>
      <c r="C777" t="inlineStr">
        <is>
          <t>196477917139</t>
        </is>
      </c>
      <c r="D777" t="inlineStr">
        <is>
          <t>adidas Crazychaos 2000 Womens Sneakers</t>
        </is>
      </c>
      <c r="E777" t="inlineStr">
        <is>
          <t>n/a</t>
        </is>
      </c>
    </row>
    <row r="778">
      <c r="A778" t="inlineStr">
        <is>
          <t>196477913988</t>
        </is>
      </c>
      <c r="B778" t="n">
        <v>71.2405</v>
      </c>
      <c r="C778" t="inlineStr">
        <is>
          <t>196477913988</t>
        </is>
      </c>
      <c r="D778" t="inlineStr">
        <is>
          <t>adidas Crazychaos 2000 Womens Sneakers</t>
        </is>
      </c>
      <c r="E778" t="inlineStr">
        <is>
          <t>n/a</t>
        </is>
      </c>
    </row>
    <row r="779">
      <c r="A779" t="inlineStr">
        <is>
          <t>197672003313</t>
        </is>
      </c>
      <c r="B779" t="n">
        <v>71.25</v>
      </c>
      <c r="C779" t="inlineStr">
        <is>
          <t>197672003313</t>
        </is>
      </c>
      <c r="D779" t="inlineStr">
        <is>
          <t>PUMA Pacer 23 Marbleized Womens Running Shoes</t>
        </is>
      </c>
      <c r="E779" t="inlineStr">
        <is>
          <t>n/a</t>
        </is>
      </c>
    </row>
    <row r="780">
      <c r="A780" t="inlineStr">
        <is>
          <t>197672003375</t>
        </is>
      </c>
      <c r="B780" t="n">
        <v>71.25</v>
      </c>
      <c r="C780" t="inlineStr">
        <is>
          <t>197672003375</t>
        </is>
      </c>
      <c r="D780" t="inlineStr">
        <is>
          <t>PUMA Pacer 23 Marbleized Womens Running Shoes</t>
        </is>
      </c>
      <c r="E780" t="inlineStr">
        <is>
          <t>n/a</t>
        </is>
      </c>
    </row>
    <row r="781">
      <c r="A781" t="inlineStr">
        <is>
          <t>197672003320</t>
        </is>
      </c>
      <c r="B781" t="n">
        <v>71.25</v>
      </c>
      <c r="C781" t="inlineStr">
        <is>
          <t>197672003320</t>
        </is>
      </c>
      <c r="D781" t="inlineStr">
        <is>
          <t>PUMA Pacer 23 Marbleized Womens Running Shoes</t>
        </is>
      </c>
      <c r="E781" t="inlineStr">
        <is>
          <t>n/a</t>
        </is>
      </c>
    </row>
    <row r="782">
      <c r="A782" t="inlineStr">
        <is>
          <t>197672003382</t>
        </is>
      </c>
      <c r="B782" t="n">
        <v>71.25</v>
      </c>
      <c r="C782" t="inlineStr">
        <is>
          <t>197672003382</t>
        </is>
      </c>
      <c r="D782" t="inlineStr">
        <is>
          <t>PUMA Pacer 23 Marbleized Womens Running Shoes</t>
        </is>
      </c>
      <c r="E782" t="inlineStr">
        <is>
          <t>n/a</t>
        </is>
      </c>
    </row>
    <row r="783">
      <c r="A783" t="inlineStr">
        <is>
          <t>197672003337</t>
        </is>
      </c>
      <c r="B783" t="n">
        <v>71.25</v>
      </c>
      <c r="C783" t="inlineStr">
        <is>
          <t>197672003337</t>
        </is>
      </c>
      <c r="D783" t="inlineStr">
        <is>
          <t>PUMA Pacer 23 Marbleized Womens Running Shoes</t>
        </is>
      </c>
      <c r="E783" t="inlineStr">
        <is>
          <t>n/a</t>
        </is>
      </c>
    </row>
    <row r="784">
      <c r="A784" t="inlineStr">
        <is>
          <t>197672003399</t>
        </is>
      </c>
      <c r="B784" t="n">
        <v>71.25</v>
      </c>
      <c r="C784" t="inlineStr">
        <is>
          <t>197672003399</t>
        </is>
      </c>
      <c r="D784" t="inlineStr">
        <is>
          <t>PUMA Pacer 23 Marbleized Womens Running Shoes</t>
        </is>
      </c>
      <c r="E784" t="inlineStr">
        <is>
          <t>n/a</t>
        </is>
      </c>
    </row>
    <row r="785">
      <c r="A785" t="inlineStr">
        <is>
          <t>197672003344</t>
        </is>
      </c>
      <c r="B785" t="n">
        <v>71.25</v>
      </c>
      <c r="C785" t="inlineStr">
        <is>
          <t>197672003344</t>
        </is>
      </c>
      <c r="D785" t="inlineStr">
        <is>
          <t>PUMA Pacer 23 Marbleized Womens Running Shoes</t>
        </is>
      </c>
      <c r="E785" t="inlineStr">
        <is>
          <t>n/a</t>
        </is>
      </c>
    </row>
    <row r="786">
      <c r="A786" t="inlineStr">
        <is>
          <t>197672003405</t>
        </is>
      </c>
      <c r="B786" t="n">
        <v>71.25</v>
      </c>
      <c r="C786" t="inlineStr">
        <is>
          <t>197672003405</t>
        </is>
      </c>
      <c r="D786" t="inlineStr">
        <is>
          <t>PUMA Pacer 23 Marbleized Womens Running Shoes</t>
        </is>
      </c>
      <c r="E786" t="inlineStr">
        <is>
          <t>n/a</t>
        </is>
      </c>
    </row>
    <row r="787">
      <c r="A787" t="inlineStr">
        <is>
          <t>197672003351</t>
        </is>
      </c>
      <c r="B787" t="n">
        <v>71.25</v>
      </c>
      <c r="C787" t="inlineStr">
        <is>
          <t>197672003351</t>
        </is>
      </c>
      <c r="D787" t="inlineStr">
        <is>
          <t>PUMA Pacer 23 Marbleized Womens Running Shoes</t>
        </is>
      </c>
      <c r="E787" t="inlineStr">
        <is>
          <t>n/a</t>
        </is>
      </c>
    </row>
    <row r="788">
      <c r="A788" t="inlineStr">
        <is>
          <t>197672003412</t>
        </is>
      </c>
      <c r="B788" t="n">
        <v>71.25</v>
      </c>
      <c r="C788" t="inlineStr">
        <is>
          <t>197672003412</t>
        </is>
      </c>
      <c r="D788" t="inlineStr">
        <is>
          <t>PUMA Pacer 23 Marbleized Womens Running Shoes</t>
        </is>
      </c>
      <c r="E788" t="inlineStr">
        <is>
          <t>n/a</t>
        </is>
      </c>
    </row>
    <row r="789">
      <c r="A789" t="inlineStr">
        <is>
          <t>197672003429</t>
        </is>
      </c>
      <c r="B789" t="n">
        <v>71.25</v>
      </c>
      <c r="C789" t="inlineStr">
        <is>
          <t>197672003429</t>
        </is>
      </c>
      <c r="D789" t="inlineStr">
        <is>
          <t>PUMA Pacer 23 Marbleized Womens Running Shoes</t>
        </is>
      </c>
      <c r="E789" t="inlineStr">
        <is>
          <t>n/a</t>
        </is>
      </c>
    </row>
    <row r="790">
      <c r="A790" t="inlineStr">
        <is>
          <t>197672018881</t>
        </is>
      </c>
      <c r="B790" t="n">
        <v>66.5</v>
      </c>
      <c r="C790" t="inlineStr">
        <is>
          <t>197672018881</t>
        </is>
      </c>
      <c r="D790" t="inlineStr">
        <is>
          <t>PUMA Club Pearl Womens Sneakers</t>
        </is>
      </c>
      <c r="E790" t="inlineStr">
        <is>
          <t>n/a</t>
        </is>
      </c>
    </row>
    <row r="791">
      <c r="A791" t="inlineStr">
        <is>
          <t>197672018942</t>
        </is>
      </c>
      <c r="B791" t="n">
        <v>66.5</v>
      </c>
      <c r="C791" t="inlineStr">
        <is>
          <t>197672018942</t>
        </is>
      </c>
      <c r="D791" t="inlineStr">
        <is>
          <t>PUMA Club Pearl Womens Sneakers</t>
        </is>
      </c>
      <c r="E791" t="inlineStr">
        <is>
          <t>n/a</t>
        </is>
      </c>
    </row>
    <row r="792">
      <c r="A792" t="inlineStr">
        <is>
          <t>197672018898</t>
        </is>
      </c>
      <c r="B792" t="n">
        <v>66.5</v>
      </c>
      <c r="C792" t="inlineStr">
        <is>
          <t>197672018898</t>
        </is>
      </c>
      <c r="D792" t="inlineStr">
        <is>
          <t>PUMA Club Pearl Womens Sneakers</t>
        </is>
      </c>
      <c r="E792" t="inlineStr">
        <is>
          <t>n/a</t>
        </is>
      </c>
    </row>
    <row r="793">
      <c r="A793" t="inlineStr">
        <is>
          <t>197672018959</t>
        </is>
      </c>
      <c r="B793" t="n">
        <v>66.5</v>
      </c>
      <c r="C793" t="inlineStr">
        <is>
          <t>197672018959</t>
        </is>
      </c>
      <c r="D793" t="inlineStr">
        <is>
          <t>PUMA Club Pearl Womens Sneakers</t>
        </is>
      </c>
      <c r="E793" t="inlineStr">
        <is>
          <t>n/a</t>
        </is>
      </c>
    </row>
    <row r="794">
      <c r="A794" t="inlineStr">
        <is>
          <t>197672018904</t>
        </is>
      </c>
      <c r="B794" t="n">
        <v>66.5</v>
      </c>
      <c r="C794" t="inlineStr">
        <is>
          <t>197672018904</t>
        </is>
      </c>
      <c r="D794" t="inlineStr">
        <is>
          <t>PUMA Club Pearl Womens Sneakers</t>
        </is>
      </c>
      <c r="E794" t="inlineStr">
        <is>
          <t>n/a</t>
        </is>
      </c>
    </row>
    <row r="795">
      <c r="A795" t="inlineStr">
        <is>
          <t>197672018966</t>
        </is>
      </c>
      <c r="B795" t="n">
        <v>66.5</v>
      </c>
      <c r="C795" t="inlineStr">
        <is>
          <t>197672018966</t>
        </is>
      </c>
      <c r="D795" t="inlineStr">
        <is>
          <t>PUMA Club Pearl Womens Sneakers</t>
        </is>
      </c>
      <c r="E795" t="inlineStr">
        <is>
          <t>n/a</t>
        </is>
      </c>
    </row>
    <row r="796">
      <c r="A796" t="inlineStr">
        <is>
          <t>197672018911</t>
        </is>
      </c>
      <c r="B796" t="n">
        <v>66.5</v>
      </c>
      <c r="C796" t="inlineStr">
        <is>
          <t>197672018911</t>
        </is>
      </c>
      <c r="D796" t="inlineStr">
        <is>
          <t>PUMA Club Pearl Womens Sneakers</t>
        </is>
      </c>
      <c r="E796" t="inlineStr">
        <is>
          <t>n/a</t>
        </is>
      </c>
    </row>
    <row r="797">
      <c r="A797" t="inlineStr">
        <is>
          <t>197672018973</t>
        </is>
      </c>
      <c r="B797" t="n">
        <v>66.5</v>
      </c>
      <c r="C797" t="inlineStr">
        <is>
          <t>197672018973</t>
        </is>
      </c>
      <c r="D797" t="inlineStr">
        <is>
          <t>PUMA Club Pearl Womens Sneakers</t>
        </is>
      </c>
      <c r="E797" t="inlineStr">
        <is>
          <t>n/a</t>
        </is>
      </c>
    </row>
    <row r="798">
      <c r="A798" t="inlineStr">
        <is>
          <t>197672018928</t>
        </is>
      </c>
      <c r="B798" t="n">
        <v>66.5</v>
      </c>
      <c r="C798" t="inlineStr">
        <is>
          <t>197672018928</t>
        </is>
      </c>
      <c r="D798" t="inlineStr">
        <is>
          <t>PUMA Club Pearl Womens Sneakers</t>
        </is>
      </c>
      <c r="E798" t="inlineStr">
        <is>
          <t>n/a</t>
        </is>
      </c>
    </row>
    <row r="799">
      <c r="A799" t="inlineStr">
        <is>
          <t>197672018980</t>
        </is>
      </c>
      <c r="B799" t="n">
        <v>66.5</v>
      </c>
      <c r="C799" t="inlineStr">
        <is>
          <t>197672018980</t>
        </is>
      </c>
      <c r="D799" t="inlineStr">
        <is>
          <t>PUMA Club Pearl Womens Sneakers</t>
        </is>
      </c>
      <c r="E799" t="inlineStr">
        <is>
          <t>n/a</t>
        </is>
      </c>
    </row>
    <row r="800">
      <c r="A800" t="inlineStr">
        <is>
          <t>197672018997</t>
        </is>
      </c>
      <c r="B800" t="n">
        <v>66.5</v>
      </c>
      <c r="C800" t="inlineStr">
        <is>
          <t>197672018997</t>
        </is>
      </c>
      <c r="D800" t="inlineStr">
        <is>
          <t>PUMA Club Pearl Womens Sneakers</t>
        </is>
      </c>
      <c r="E800" t="inlineStr">
        <is>
          <t>n/a</t>
        </is>
      </c>
    </row>
    <row r="801">
      <c r="A801" t="inlineStr">
        <is>
          <t>197672018935</t>
        </is>
      </c>
      <c r="B801" t="n">
        <v>66.5</v>
      </c>
      <c r="C801" t="inlineStr">
        <is>
          <t>197672018935</t>
        </is>
      </c>
      <c r="D801" t="inlineStr">
        <is>
          <t>PUMA Club Pearl Womens Sneakers</t>
        </is>
      </c>
      <c r="E801" t="inlineStr">
        <is>
          <t>n/a</t>
        </is>
      </c>
    </row>
    <row r="802">
      <c r="A802" t="inlineStr">
        <is>
          <t>197672019246</t>
        </is>
      </c>
      <c r="B802" t="n">
        <v>66.5</v>
      </c>
      <c r="C802" t="inlineStr">
        <is>
          <t>197672019246</t>
        </is>
      </c>
      <c r="D802" t="inlineStr">
        <is>
          <t>PUMA Club Pearl Womens Sneakers</t>
        </is>
      </c>
      <c r="E802" t="inlineStr">
        <is>
          <t>n/a</t>
        </is>
      </c>
    </row>
    <row r="803">
      <c r="A803" t="inlineStr">
        <is>
          <t>197672019307</t>
        </is>
      </c>
      <c r="B803" t="n">
        <v>66.5</v>
      </c>
      <c r="C803" t="inlineStr">
        <is>
          <t>197672019307</t>
        </is>
      </c>
      <c r="D803" t="inlineStr">
        <is>
          <t>PUMA Club Pearl Womens Sneakers</t>
        </is>
      </c>
      <c r="E803" t="inlineStr">
        <is>
          <t>n/a</t>
        </is>
      </c>
    </row>
    <row r="804">
      <c r="A804" t="inlineStr">
        <is>
          <t>197672019253</t>
        </is>
      </c>
      <c r="B804" t="n">
        <v>66.5</v>
      </c>
      <c r="C804" t="inlineStr">
        <is>
          <t>197672019253</t>
        </is>
      </c>
      <c r="D804" t="inlineStr">
        <is>
          <t>PUMA Club Pearl Womens Sneakers</t>
        </is>
      </c>
      <c r="E804" t="inlineStr">
        <is>
          <t>n/a</t>
        </is>
      </c>
    </row>
    <row r="805">
      <c r="A805" t="inlineStr">
        <is>
          <t>197672019314</t>
        </is>
      </c>
      <c r="B805" t="n">
        <v>66.5</v>
      </c>
      <c r="C805" t="inlineStr">
        <is>
          <t>197672019314</t>
        </is>
      </c>
      <c r="D805" t="inlineStr">
        <is>
          <t>PUMA Club Pearl Womens Sneakers</t>
        </is>
      </c>
      <c r="E805" t="inlineStr">
        <is>
          <t>n/a</t>
        </is>
      </c>
    </row>
    <row r="806">
      <c r="A806" t="inlineStr">
        <is>
          <t>197672019260</t>
        </is>
      </c>
      <c r="B806" t="n">
        <v>66.5</v>
      </c>
      <c r="C806" t="inlineStr">
        <is>
          <t>197672019260</t>
        </is>
      </c>
      <c r="D806" t="inlineStr">
        <is>
          <t>PUMA Club Pearl Womens Sneakers</t>
        </is>
      </c>
      <c r="E806" t="inlineStr">
        <is>
          <t>n/a</t>
        </is>
      </c>
    </row>
    <row r="807">
      <c r="A807" t="inlineStr">
        <is>
          <t>197672019321</t>
        </is>
      </c>
      <c r="B807" t="n">
        <v>66.5</v>
      </c>
      <c r="C807" t="inlineStr">
        <is>
          <t>197672019321</t>
        </is>
      </c>
      <c r="D807" t="inlineStr">
        <is>
          <t>PUMA Club Pearl Womens Sneakers</t>
        </is>
      </c>
      <c r="E807" t="inlineStr">
        <is>
          <t>n/a</t>
        </is>
      </c>
    </row>
    <row r="808">
      <c r="A808" t="inlineStr">
        <is>
          <t>197672019277</t>
        </is>
      </c>
      <c r="B808" t="n">
        <v>66.5</v>
      </c>
      <c r="C808" t="inlineStr">
        <is>
          <t>197672019277</t>
        </is>
      </c>
      <c r="D808" t="inlineStr">
        <is>
          <t>PUMA Club Pearl Womens Sneakers</t>
        </is>
      </c>
      <c r="E808" t="inlineStr">
        <is>
          <t>n/a</t>
        </is>
      </c>
    </row>
    <row r="809">
      <c r="A809" t="inlineStr">
        <is>
          <t>197672019338</t>
        </is>
      </c>
      <c r="B809" t="n">
        <v>66.5</v>
      </c>
      <c r="C809" t="inlineStr">
        <is>
          <t>197672019338</t>
        </is>
      </c>
      <c r="D809" t="inlineStr">
        <is>
          <t>PUMA Club Pearl Womens Sneakers</t>
        </is>
      </c>
      <c r="E809" t="inlineStr">
        <is>
          <t>n/a</t>
        </is>
      </c>
    </row>
    <row r="810">
      <c r="A810" t="inlineStr">
        <is>
          <t>197672019284</t>
        </is>
      </c>
      <c r="B810" t="n">
        <v>66.5</v>
      </c>
      <c r="C810" t="inlineStr">
        <is>
          <t>197672019284</t>
        </is>
      </c>
      <c r="D810" t="inlineStr">
        <is>
          <t>PUMA Club Pearl Womens Sneakers</t>
        </is>
      </c>
      <c r="E810" t="inlineStr">
        <is>
          <t>n/a</t>
        </is>
      </c>
    </row>
    <row r="811">
      <c r="A811" t="inlineStr">
        <is>
          <t>197672019345</t>
        </is>
      </c>
      <c r="B811" t="n">
        <v>66.5</v>
      </c>
      <c r="C811" t="inlineStr">
        <is>
          <t>197672019345</t>
        </is>
      </c>
      <c r="D811" t="inlineStr">
        <is>
          <t>PUMA Club Pearl Womens Sneakers</t>
        </is>
      </c>
      <c r="E811" t="inlineStr">
        <is>
          <t>n/a</t>
        </is>
      </c>
    </row>
    <row r="812">
      <c r="A812" t="inlineStr">
        <is>
          <t>197672019352</t>
        </is>
      </c>
      <c r="B812" t="n">
        <v>66.5</v>
      </c>
      <c r="C812" t="inlineStr">
        <is>
          <t>197672019352</t>
        </is>
      </c>
      <c r="D812" t="inlineStr">
        <is>
          <t>PUMA Club Pearl Womens Sneakers</t>
        </is>
      </c>
      <c r="E812" t="inlineStr">
        <is>
          <t>n/a</t>
        </is>
      </c>
    </row>
    <row r="813">
      <c r="A813" t="inlineStr">
        <is>
          <t>197671941524</t>
        </is>
      </c>
      <c r="B813" t="n">
        <v>66.5</v>
      </c>
      <c r="C813" t="inlineStr">
        <is>
          <t>197671941524</t>
        </is>
      </c>
      <c r="D813" t="inlineStr">
        <is>
          <t>PUMA Rebound Layup Womens Basketball Shoes</t>
        </is>
      </c>
      <c r="E813" t="inlineStr">
        <is>
          <t>n/a</t>
        </is>
      </c>
    </row>
    <row r="814">
      <c r="A814" t="inlineStr">
        <is>
          <t>197671941586</t>
        </is>
      </c>
      <c r="B814" t="n">
        <v>66.5</v>
      </c>
      <c r="C814" t="inlineStr">
        <is>
          <t>197671941586</t>
        </is>
      </c>
      <c r="D814" t="inlineStr">
        <is>
          <t>PUMA Rebound Layup Womens Basketball Shoes</t>
        </is>
      </c>
      <c r="E814" t="inlineStr">
        <is>
          <t>n/a</t>
        </is>
      </c>
    </row>
    <row r="815">
      <c r="A815" t="inlineStr">
        <is>
          <t>197671941531</t>
        </is>
      </c>
      <c r="B815" t="n">
        <v>66.5</v>
      </c>
      <c r="C815" t="inlineStr">
        <is>
          <t>197671941531</t>
        </is>
      </c>
      <c r="D815" t="inlineStr">
        <is>
          <t>PUMA Rebound Layup Womens Basketball Shoes</t>
        </is>
      </c>
      <c r="E815" t="inlineStr">
        <is>
          <t>n/a</t>
        </is>
      </c>
    </row>
    <row r="816">
      <c r="A816" t="inlineStr">
        <is>
          <t>197671941593</t>
        </is>
      </c>
      <c r="B816" t="n">
        <v>66.5</v>
      </c>
      <c r="C816" t="inlineStr">
        <is>
          <t>197671941593</t>
        </is>
      </c>
      <c r="D816" t="inlineStr">
        <is>
          <t>PUMA Rebound Layup Womens Basketball Shoes</t>
        </is>
      </c>
      <c r="E816" t="inlineStr">
        <is>
          <t>n/a</t>
        </is>
      </c>
    </row>
    <row r="817">
      <c r="A817" t="inlineStr">
        <is>
          <t>197671941548</t>
        </is>
      </c>
      <c r="B817" t="n">
        <v>66.5</v>
      </c>
      <c r="C817" t="inlineStr">
        <is>
          <t>197671941548</t>
        </is>
      </c>
      <c r="D817" t="inlineStr">
        <is>
          <t>PUMA Rebound Layup Womens Basketball Shoes</t>
        </is>
      </c>
      <c r="E817" t="inlineStr">
        <is>
          <t>n/a</t>
        </is>
      </c>
    </row>
    <row r="818">
      <c r="A818" t="inlineStr">
        <is>
          <t>197671941609</t>
        </is>
      </c>
      <c r="B818" t="n">
        <v>66.5</v>
      </c>
      <c r="C818" t="inlineStr">
        <is>
          <t>197671941609</t>
        </is>
      </c>
      <c r="D818" t="inlineStr">
        <is>
          <t>PUMA Rebound Layup Womens Basketball Shoes</t>
        </is>
      </c>
      <c r="E818" t="inlineStr">
        <is>
          <t>n/a</t>
        </is>
      </c>
    </row>
    <row r="819">
      <c r="A819" t="inlineStr">
        <is>
          <t>197671941555</t>
        </is>
      </c>
      <c r="B819" t="n">
        <v>66.5</v>
      </c>
      <c r="C819" t="inlineStr">
        <is>
          <t>197671941555</t>
        </is>
      </c>
      <c r="D819" t="inlineStr">
        <is>
          <t>PUMA Rebound Layup Womens Basketball Shoes</t>
        </is>
      </c>
      <c r="E819" t="inlineStr">
        <is>
          <t>n/a</t>
        </is>
      </c>
    </row>
    <row r="820">
      <c r="A820" t="inlineStr">
        <is>
          <t>197671941616</t>
        </is>
      </c>
      <c r="B820" t="n">
        <v>66.5</v>
      </c>
      <c r="C820" t="inlineStr">
        <is>
          <t>197671941616</t>
        </is>
      </c>
      <c r="D820" t="inlineStr">
        <is>
          <t>PUMA Rebound Layup Womens Basketball Shoes</t>
        </is>
      </c>
      <c r="E820" t="inlineStr">
        <is>
          <t>n/a</t>
        </is>
      </c>
    </row>
    <row r="821">
      <c r="A821" t="inlineStr">
        <is>
          <t>197671941562</t>
        </is>
      </c>
      <c r="B821" t="n">
        <v>66.5</v>
      </c>
      <c r="C821" t="inlineStr">
        <is>
          <t>197671941562</t>
        </is>
      </c>
      <c r="D821" t="inlineStr">
        <is>
          <t>PUMA Rebound Layup Womens Basketball Shoes</t>
        </is>
      </c>
      <c r="E821" t="inlineStr">
        <is>
          <t>n/a</t>
        </is>
      </c>
    </row>
    <row r="822">
      <c r="A822" t="inlineStr">
        <is>
          <t>197671941623</t>
        </is>
      </c>
      <c r="B822" t="n">
        <v>66.5</v>
      </c>
      <c r="C822" t="inlineStr">
        <is>
          <t>197671941623</t>
        </is>
      </c>
      <c r="D822" t="inlineStr">
        <is>
          <t>PUMA Rebound Layup Womens Basketball Shoes</t>
        </is>
      </c>
      <c r="E822" t="inlineStr">
        <is>
          <t>n/a</t>
        </is>
      </c>
    </row>
    <row r="823">
      <c r="A823" t="inlineStr">
        <is>
          <t>197671941630</t>
        </is>
      </c>
      <c r="B823" t="n">
        <v>66.5</v>
      </c>
      <c r="C823" t="inlineStr">
        <is>
          <t>197671941630</t>
        </is>
      </c>
      <c r="D823" t="inlineStr">
        <is>
          <t>PUMA Rebound Layup Womens Basketball Shoes</t>
        </is>
      </c>
      <c r="E823" t="inlineStr">
        <is>
          <t>n/a</t>
        </is>
      </c>
    </row>
    <row r="824">
      <c r="A824" t="inlineStr">
        <is>
          <t>196859627229</t>
        </is>
      </c>
      <c r="B824" t="n">
        <v>66.5</v>
      </c>
      <c r="C824" t="inlineStr">
        <is>
          <t>196859627229</t>
        </is>
      </c>
      <c r="D824" t="inlineStr">
        <is>
          <t>PUMA Club 5v5 Womens Sneakers</t>
        </is>
      </c>
      <c r="E824" t="inlineStr">
        <is>
          <t>n/a</t>
        </is>
      </c>
    </row>
    <row r="825">
      <c r="A825" t="inlineStr">
        <is>
          <t>196859627168</t>
        </is>
      </c>
      <c r="B825" t="n">
        <v>66.5</v>
      </c>
      <c r="C825" t="inlineStr">
        <is>
          <t>196859627168</t>
        </is>
      </c>
      <c r="D825" t="inlineStr">
        <is>
          <t>PUMA Club 5v5 Womens Sneakers</t>
        </is>
      </c>
      <c r="E825" t="inlineStr">
        <is>
          <t>n/a</t>
        </is>
      </c>
    </row>
    <row r="826">
      <c r="A826" t="inlineStr">
        <is>
          <t>196859627243</t>
        </is>
      </c>
      <c r="B826" t="n">
        <v>66.5</v>
      </c>
      <c r="C826" t="inlineStr">
        <is>
          <t>196859627243</t>
        </is>
      </c>
      <c r="D826" t="inlineStr">
        <is>
          <t>PUMA Club 5v5 Womens Sneakers</t>
        </is>
      </c>
      <c r="E826" t="inlineStr">
        <is>
          <t>n/a</t>
        </is>
      </c>
    </row>
    <row r="827">
      <c r="A827" t="inlineStr">
        <is>
          <t>196859627182</t>
        </is>
      </c>
      <c r="B827" t="n">
        <v>66.5</v>
      </c>
      <c r="C827" t="inlineStr">
        <is>
          <t>196859627182</t>
        </is>
      </c>
      <c r="D827" t="inlineStr">
        <is>
          <t>PUMA Club 5v5 Womens Sneakers</t>
        </is>
      </c>
      <c r="E827" t="inlineStr">
        <is>
          <t>n/a</t>
        </is>
      </c>
    </row>
    <row r="828">
      <c r="A828" t="inlineStr">
        <is>
          <t>196859627199</t>
        </is>
      </c>
      <c r="B828" t="n">
        <v>66.5</v>
      </c>
      <c r="C828" t="inlineStr">
        <is>
          <t>196859627199</t>
        </is>
      </c>
      <c r="D828" t="inlineStr">
        <is>
          <t>PUMA Club 5v5 Womens Sneakers</t>
        </is>
      </c>
      <c r="E828" t="inlineStr">
        <is>
          <t>n/a</t>
        </is>
      </c>
    </row>
    <row r="829">
      <c r="A829" t="inlineStr">
        <is>
          <t>196859627151</t>
        </is>
      </c>
      <c r="B829" t="n">
        <v>66.5</v>
      </c>
      <c r="C829" t="inlineStr">
        <is>
          <t>196859627151</t>
        </is>
      </c>
      <c r="D829" t="inlineStr">
        <is>
          <t>PUMA Club 5v5 Womens Sneakers</t>
        </is>
      </c>
      <c r="E829" t="inlineStr">
        <is>
          <t>n/a</t>
        </is>
      </c>
    </row>
    <row r="830">
      <c r="A830" t="inlineStr">
        <is>
          <t>196859627175</t>
        </is>
      </c>
      <c r="B830" t="n">
        <v>66.5</v>
      </c>
      <c r="C830" t="inlineStr">
        <is>
          <t>196859627175</t>
        </is>
      </c>
      <c r="D830" t="inlineStr">
        <is>
          <t>PUMA Club 5v5 Womens Sneakers</t>
        </is>
      </c>
      <c r="E830" t="inlineStr">
        <is>
          <t>n/a</t>
        </is>
      </c>
    </row>
    <row r="831">
      <c r="A831" t="inlineStr">
        <is>
          <t>196859627212</t>
        </is>
      </c>
      <c r="B831" t="n">
        <v>66.5</v>
      </c>
      <c r="C831" t="inlineStr">
        <is>
          <t>196859627212</t>
        </is>
      </c>
      <c r="D831" t="inlineStr">
        <is>
          <t>PUMA Club 5v5 Womens Sneakers</t>
        </is>
      </c>
      <c r="E831" t="inlineStr">
        <is>
          <t>n/a</t>
        </is>
      </c>
    </row>
    <row r="832">
      <c r="A832" t="inlineStr">
        <is>
          <t>196859627250</t>
        </is>
      </c>
      <c r="B832" t="n">
        <v>66.5</v>
      </c>
      <c r="C832" t="inlineStr">
        <is>
          <t>196859627250</t>
        </is>
      </c>
      <c r="D832" t="inlineStr">
        <is>
          <t>PUMA Club 5v5 Womens Sneakers</t>
        </is>
      </c>
      <c r="E832" t="inlineStr">
        <is>
          <t>n/a</t>
        </is>
      </c>
    </row>
    <row r="833">
      <c r="A833" t="inlineStr">
        <is>
          <t>196859627144</t>
        </is>
      </c>
      <c r="B833" t="n">
        <v>66.5</v>
      </c>
      <c r="C833" t="inlineStr">
        <is>
          <t>196859627144</t>
        </is>
      </c>
      <c r="D833" t="inlineStr">
        <is>
          <t>PUMA Club 5v5 Womens Sneakers</t>
        </is>
      </c>
      <c r="E833" t="inlineStr">
        <is>
          <t>n/a</t>
        </is>
      </c>
    </row>
    <row r="834">
      <c r="A834" t="inlineStr">
        <is>
          <t>196859627205</t>
        </is>
      </c>
      <c r="B834" t="n">
        <v>66.5</v>
      </c>
      <c r="C834" t="inlineStr">
        <is>
          <t>196859627205</t>
        </is>
      </c>
      <c r="D834" t="inlineStr">
        <is>
          <t>PUMA Club 5v5 Womens Sneakers</t>
        </is>
      </c>
      <c r="E834" t="inlineStr">
        <is>
          <t>n/a</t>
        </is>
      </c>
    </row>
    <row r="835">
      <c r="A835" t="inlineStr">
        <is>
          <t>197670210706</t>
        </is>
      </c>
      <c r="B835" t="n">
        <v>66.5</v>
      </c>
      <c r="C835" t="inlineStr">
        <is>
          <t>197670210706</t>
        </is>
      </c>
      <c r="D835" t="inlineStr">
        <is>
          <t>PUMA Rebound Layup Womens Basketball Shoes</t>
        </is>
      </c>
      <c r="E835" t="inlineStr">
        <is>
          <t>n/a</t>
        </is>
      </c>
    </row>
    <row r="836">
      <c r="A836" t="inlineStr">
        <is>
          <t>197670210713</t>
        </is>
      </c>
      <c r="B836" t="n">
        <v>66.5</v>
      </c>
      <c r="C836" t="inlineStr">
        <is>
          <t>197670210713</t>
        </is>
      </c>
      <c r="D836" t="inlineStr">
        <is>
          <t>PUMA Rebound Layup Womens Basketball Shoes</t>
        </is>
      </c>
      <c r="E836" t="inlineStr">
        <is>
          <t>n/a</t>
        </is>
      </c>
    </row>
    <row r="837">
      <c r="A837" t="inlineStr">
        <is>
          <t>197670210720</t>
        </is>
      </c>
      <c r="B837" t="n">
        <v>66.5</v>
      </c>
      <c r="C837" t="inlineStr">
        <is>
          <t>197670210720</t>
        </is>
      </c>
      <c r="D837" t="inlineStr">
        <is>
          <t>PUMA Rebound Layup Womens Basketball Shoes</t>
        </is>
      </c>
      <c r="E837" t="inlineStr">
        <is>
          <t>n/a</t>
        </is>
      </c>
    </row>
    <row r="838">
      <c r="A838" t="inlineStr">
        <is>
          <t>197670210737</t>
        </is>
      </c>
      <c r="B838" t="n">
        <v>66.5</v>
      </c>
      <c r="C838" t="inlineStr">
        <is>
          <t>197670210737</t>
        </is>
      </c>
      <c r="D838" t="inlineStr">
        <is>
          <t>PUMA Rebound Layup Womens Basketball Shoes</t>
        </is>
      </c>
      <c r="E838" t="inlineStr">
        <is>
          <t>n/a</t>
        </is>
      </c>
    </row>
    <row r="839">
      <c r="A839" t="inlineStr">
        <is>
          <t>197670210744</t>
        </is>
      </c>
      <c r="B839" t="n">
        <v>66.5</v>
      </c>
      <c r="C839" t="inlineStr">
        <is>
          <t>197670210744</t>
        </is>
      </c>
      <c r="D839" t="inlineStr">
        <is>
          <t>PUMA Rebound Layup Womens Basketball Shoes</t>
        </is>
      </c>
      <c r="E839" t="inlineStr">
        <is>
          <t>n/a</t>
        </is>
      </c>
    </row>
    <row r="840">
      <c r="A840" t="inlineStr">
        <is>
          <t>197670210751</t>
        </is>
      </c>
      <c r="B840" t="n">
        <v>66.5</v>
      </c>
      <c r="C840" t="inlineStr">
        <is>
          <t>197670210751</t>
        </is>
      </c>
      <c r="D840" t="inlineStr">
        <is>
          <t>PUMA Rebound Layup Womens Basketball Shoes</t>
        </is>
      </c>
      <c r="E840" t="inlineStr">
        <is>
          <t>n/a</t>
        </is>
      </c>
    </row>
    <row r="841">
      <c r="A841" t="inlineStr">
        <is>
          <t>197670210768</t>
        </is>
      </c>
      <c r="B841" t="n">
        <v>66.5</v>
      </c>
      <c r="C841" t="inlineStr">
        <is>
          <t>197670210768</t>
        </is>
      </c>
      <c r="D841" t="inlineStr">
        <is>
          <t>PUMA Rebound Layup Womens Basketball Shoes</t>
        </is>
      </c>
      <c r="E841" t="inlineStr">
        <is>
          <t>n/a</t>
        </is>
      </c>
    </row>
    <row r="842">
      <c r="A842" t="inlineStr">
        <is>
          <t>197670210775</t>
        </is>
      </c>
      <c r="B842" t="n">
        <v>66.5</v>
      </c>
      <c r="C842" t="inlineStr">
        <is>
          <t>197670210775</t>
        </is>
      </c>
      <c r="D842" t="inlineStr">
        <is>
          <t>PUMA Rebound Layup Womens Basketball Shoes</t>
        </is>
      </c>
      <c r="E842" t="inlineStr">
        <is>
          <t>n/a</t>
        </is>
      </c>
    </row>
    <row r="843">
      <c r="A843" t="inlineStr">
        <is>
          <t>197670210782</t>
        </is>
      </c>
      <c r="B843" t="n">
        <v>66.5</v>
      </c>
      <c r="C843" t="inlineStr">
        <is>
          <t>197670210782</t>
        </is>
      </c>
      <c r="D843" t="inlineStr">
        <is>
          <t>PUMA Rebound Layup Womens Basketball Shoes</t>
        </is>
      </c>
      <c r="E843" t="inlineStr">
        <is>
          <t>n/a</t>
        </is>
      </c>
    </row>
    <row r="844">
      <c r="A844" t="inlineStr">
        <is>
          <t>197670210799</t>
        </is>
      </c>
      <c r="B844" t="n">
        <v>66.5</v>
      </c>
      <c r="C844" t="inlineStr">
        <is>
          <t>197670210799</t>
        </is>
      </c>
      <c r="D844" t="inlineStr">
        <is>
          <t>PUMA Rebound Layup Womens Basketball Shoes</t>
        </is>
      </c>
      <c r="E844" t="inlineStr">
        <is>
          <t>n/a</t>
        </is>
      </c>
    </row>
    <row r="845">
      <c r="A845" t="inlineStr">
        <is>
          <t>197670210812</t>
        </is>
      </c>
      <c r="B845" t="n">
        <v>66.5</v>
      </c>
      <c r="C845" t="inlineStr">
        <is>
          <t>197670210812</t>
        </is>
      </c>
      <c r="D845" t="inlineStr">
        <is>
          <t>PUMA Rebound Layup Womens Basketball Shoes</t>
        </is>
      </c>
      <c r="E845" t="inlineStr">
        <is>
          <t>n/a</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J745"/>
  <sheetViews>
    <sheetView workbookViewId="0">
      <selection activeCell="A1" sqref="A1"/>
    </sheetView>
  </sheetViews>
  <sheetFormatPr baseColWidth="8" defaultRowHeight="15"/>
  <sheetData>
    <row r="1">
      <c r="A1" t="inlineStr">
        <is>
          <t>Locale</t>
        </is>
      </c>
      <c r="B1" t="inlineStr">
        <is>
          <t>ASIN</t>
        </is>
      </c>
      <c r="C1" t="inlineStr">
        <is>
          <t>Title</t>
        </is>
      </c>
      <c r="D1" t="inlineStr">
        <is>
          <t>Buy Box: Current</t>
        </is>
      </c>
      <c r="E1" t="inlineStr">
        <is>
          <t>New: Current</t>
        </is>
      </c>
      <c r="F1" t="inlineStr">
        <is>
          <t>Sales Rank: Current</t>
        </is>
      </c>
      <c r="G1" t="inlineStr">
        <is>
          <t>Sales Rank: 90 days avg.</t>
        </is>
      </c>
      <c r="H1" t="inlineStr">
        <is>
          <t>Buy Box: 90 days avg.</t>
        </is>
      </c>
      <c r="I1" t="inlineStr">
        <is>
          <t>Buy Box: 180 days avg.</t>
        </is>
      </c>
      <c r="J1" t="inlineStr">
        <is>
          <t>New out of stock percentage: 90 days OOS %</t>
        </is>
      </c>
      <c r="K1" t="inlineStr">
        <is>
          <t>Amazon out of stock percentage: 90 days OOS %</t>
        </is>
      </c>
      <c r="L1" t="inlineStr">
        <is>
          <t>New Offer Count: 90 days avg.</t>
        </is>
      </c>
      <c r="M1" t="inlineStr">
        <is>
          <t>New Offer Count: 180 days avg.</t>
        </is>
      </c>
      <c r="N1" t="inlineStr">
        <is>
          <t>Reviews: Rating</t>
        </is>
      </c>
      <c r="O1" t="inlineStr">
        <is>
          <t>Reviews: Ratings - Format Specific</t>
        </is>
      </c>
      <c r="P1" t="inlineStr">
        <is>
          <t>Reviews: Review Count</t>
        </is>
      </c>
      <c r="Q1" t="inlineStr">
        <is>
          <t>Sales Rank: Drops last 30 days</t>
        </is>
      </c>
      <c r="R1" t="inlineStr">
        <is>
          <t>Sales Rank: Drops last 90 days</t>
        </is>
      </c>
      <c r="S1" t="inlineStr">
        <is>
          <t>Parent ASIN</t>
        </is>
      </c>
      <c r="T1" t="inlineStr">
        <is>
          <t>Bought in past month</t>
        </is>
      </c>
      <c r="U1" t="inlineStr">
        <is>
          <t>Package: Weight (g)</t>
        </is>
      </c>
      <c r="V1" t="inlineStr">
        <is>
          <t>FBA Fees:</t>
        </is>
      </c>
      <c r="W1" t="inlineStr">
        <is>
          <t>Referral Fee based on current Buy Box price</t>
        </is>
      </c>
      <c r="X1" t="inlineStr">
        <is>
          <t>Product Codes: UPC</t>
        </is>
      </c>
      <c r="Y1" t="inlineStr">
        <is>
          <t>Product Codes: PartNumber</t>
        </is>
      </c>
      <c r="Z1" t="inlineStr">
        <is>
          <t>Model</t>
        </is>
      </c>
      <c r="AA1" t="inlineStr">
        <is>
          <t>Color</t>
        </is>
      </c>
      <c r="AB1" t="inlineStr">
        <is>
          <t>Product Codes: EAN</t>
        </is>
      </c>
      <c r="AC1" t="inlineStr">
        <is>
          <t>Amazon: Availability of the Amazon offer</t>
        </is>
      </c>
      <c r="AD1" t="inlineStr">
        <is>
          <t>Brand</t>
        </is>
      </c>
      <c r="AE1" t="inlineStr">
        <is>
          <t>Size</t>
        </is>
      </c>
      <c r="AF1" t="inlineStr">
        <is>
          <t>Image</t>
        </is>
      </c>
      <c r="AG1" t="inlineStr">
        <is>
          <t>Description &amp; Features: Description</t>
        </is>
      </c>
    </row>
    <row r="2">
      <c r="A2" t="inlineStr">
        <is>
          <t>com</t>
        </is>
      </c>
      <c r="B2" t="inlineStr">
        <is>
          <t>B0CMGBLQDT</t>
        </is>
      </c>
      <c r="C2" t="inlineStr">
        <is>
          <t>adidas Women's VL Court Sneaker, Preloved Green/Pink Spark/Ivory, 5</t>
        </is>
      </c>
      <c r="D2" t="n">
        <v>79.95</v>
      </c>
      <c r="E2" t="n">
        <v>79.95</v>
      </c>
      <c r="F2" t="n">
        <v>66267</v>
      </c>
      <c r="G2" t="n">
        <v>69729</v>
      </c>
      <c r="H2" t="n">
        <v>79.95</v>
      </c>
      <c r="I2" t="n">
        <v>79.95</v>
      </c>
      <c r="J2" t="n">
        <v>0.45</v>
      </c>
      <c r="K2" t="n">
        <v>1</v>
      </c>
      <c r="L2" t="n">
        <v>1</v>
      </c>
      <c r="M2" t="n">
        <v>1</v>
      </c>
      <c r="N2" t="n">
        <v>4.7</v>
      </c>
      <c r="O2" t="n">
        <v>0</v>
      </c>
      <c r="P2" t="n">
        <v>13</v>
      </c>
      <c r="Q2" t="n">
        <v>10</v>
      </c>
      <c r="R2" t="n">
        <v>31</v>
      </c>
      <c r="S2" t="inlineStr">
        <is>
          <t>B0D61TX9PB</t>
        </is>
      </c>
      <c r="U2" t="n">
        <v>1.8959732</v>
      </c>
      <c r="V2" t="n">
        <v>6.61</v>
      </c>
      <c r="W2" t="n">
        <v>11.99</v>
      </c>
      <c r="X2" t="inlineStr">
        <is>
          <t>196478206065</t>
        </is>
      </c>
      <c r="Y2" t="inlineStr">
        <is>
          <t>IH0365</t>
        </is>
      </c>
      <c r="Z2" t="inlineStr">
        <is>
          <t>IH0365</t>
        </is>
      </c>
      <c r="AA2" t="inlineStr">
        <is>
          <t>Preloved Green/Pink Spark/Ivory</t>
        </is>
      </c>
      <c r="AB2" t="inlineStr">
        <is>
          <t>0196478206065</t>
        </is>
      </c>
      <c r="AC2" t="inlineStr">
        <is>
          <t>no Amazon offer exists</t>
        </is>
      </c>
      <c r="AD2" t="inlineStr">
        <is>
          <t>adidas</t>
        </is>
      </c>
      <c r="AE2" t="inlineStr">
        <is>
          <t>5</t>
        </is>
      </c>
      <c r="AF2"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2"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3">
      <c r="A3" t="inlineStr">
        <is>
          <t>com</t>
        </is>
      </c>
      <c r="B3" t="inlineStr">
        <is>
          <t>B0CMGP571B</t>
        </is>
      </c>
      <c r="C3" t="inlineStr">
        <is>
          <t>adidas Women's VL Court Sneaker, Preloved Green/Pink Spark/Ivory, 5.5</t>
        </is>
      </c>
      <c r="D3" t="n">
        <v>79.95</v>
      </c>
      <c r="E3" t="n">
        <v>79.95</v>
      </c>
      <c r="F3" t="n">
        <v>66267</v>
      </c>
      <c r="G3" t="n">
        <v>71303</v>
      </c>
      <c r="H3" t="n">
        <v>79.95</v>
      </c>
      <c r="I3" t="n">
        <v>79.95</v>
      </c>
      <c r="J3" t="n">
        <v>0.21</v>
      </c>
      <c r="K3" t="n">
        <v>1</v>
      </c>
      <c r="L3" t="n">
        <v>1</v>
      </c>
      <c r="M3" t="n">
        <v>1</v>
      </c>
      <c r="N3" t="n">
        <v>4.7</v>
      </c>
      <c r="O3" t="n">
        <v>1</v>
      </c>
      <c r="P3" t="n">
        <v>13</v>
      </c>
      <c r="Q3" t="n">
        <v>12</v>
      </c>
      <c r="R3" t="n">
        <v>27</v>
      </c>
      <c r="S3" t="inlineStr">
        <is>
          <t>B0D61TX9PB</t>
        </is>
      </c>
      <c r="U3" t="n">
        <v>1.99959034</v>
      </c>
      <c r="V3" t="n">
        <v>7.86</v>
      </c>
      <c r="W3" t="n">
        <v>11.99</v>
      </c>
      <c r="X3" t="inlineStr">
        <is>
          <t>196478206102</t>
        </is>
      </c>
      <c r="Y3" t="inlineStr">
        <is>
          <t>IH0365</t>
        </is>
      </c>
      <c r="Z3" t="inlineStr">
        <is>
          <t>IH0365</t>
        </is>
      </c>
      <c r="AA3" t="inlineStr">
        <is>
          <t>Preloved Green/Pink Spark/Ivory</t>
        </is>
      </c>
      <c r="AB3" t="inlineStr">
        <is>
          <t>0196478206102</t>
        </is>
      </c>
      <c r="AC3" t="inlineStr">
        <is>
          <t>no Amazon offer exists</t>
        </is>
      </c>
      <c r="AD3" t="inlineStr">
        <is>
          <t>adidas</t>
        </is>
      </c>
      <c r="AE3" t="inlineStr">
        <is>
          <t>5.5</t>
        </is>
      </c>
      <c r="AF3"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3"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4">
      <c r="A4" t="inlineStr">
        <is>
          <t>com</t>
        </is>
      </c>
      <c r="B4" t="inlineStr">
        <is>
          <t>B0CMGH517K</t>
        </is>
      </c>
      <c r="C4" t="inlineStr">
        <is>
          <t>adidas Women's VL Court Sneaker, Preloved Green/Pink Spark/Ivory, 6</t>
        </is>
      </c>
      <c r="D4" t="n">
        <v>79.95</v>
      </c>
      <c r="E4" t="n">
        <v>79.95</v>
      </c>
      <c r="F4" t="n">
        <v>66267</v>
      </c>
      <c r="G4" t="n">
        <v>104411</v>
      </c>
      <c r="H4" t="n">
        <v>79.95</v>
      </c>
      <c r="I4" t="n">
        <v>79.95</v>
      </c>
      <c r="J4" t="n">
        <v>0</v>
      </c>
      <c r="K4" t="n">
        <v>1</v>
      </c>
      <c r="L4" t="n">
        <v>2</v>
      </c>
      <c r="M4" t="n">
        <v>2</v>
      </c>
      <c r="N4" t="n">
        <v>4.7</v>
      </c>
      <c r="O4" t="n">
        <v>0</v>
      </c>
      <c r="P4" t="n">
        <v>13</v>
      </c>
      <c r="Q4" t="n">
        <v>18</v>
      </c>
      <c r="R4" t="n">
        <v>48</v>
      </c>
      <c r="S4" t="inlineStr">
        <is>
          <t>B0D61TX9PB</t>
        </is>
      </c>
      <c r="U4" t="n">
        <v>1.984158</v>
      </c>
      <c r="V4" t="n">
        <v>6.61</v>
      </c>
      <c r="W4" t="n">
        <v>11.99</v>
      </c>
      <c r="X4" t="inlineStr">
        <is>
          <t>196478206058</t>
        </is>
      </c>
      <c r="Y4" t="inlineStr">
        <is>
          <t>IH0365</t>
        </is>
      </c>
      <c r="Z4" t="inlineStr">
        <is>
          <t>IH0365</t>
        </is>
      </c>
      <c r="AA4" t="inlineStr">
        <is>
          <t>Preloved Green/Pink Spark/Ivory</t>
        </is>
      </c>
      <c r="AB4" t="inlineStr">
        <is>
          <t>0196478206058</t>
        </is>
      </c>
      <c r="AC4" t="inlineStr">
        <is>
          <t>no Amazon offer exists</t>
        </is>
      </c>
      <c r="AD4" t="inlineStr">
        <is>
          <t>adidas</t>
        </is>
      </c>
      <c r="AE4" t="inlineStr">
        <is>
          <t>6</t>
        </is>
      </c>
      <c r="AF4"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4"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5">
      <c r="A5" t="inlineStr">
        <is>
          <t>com</t>
        </is>
      </c>
      <c r="B5" t="inlineStr">
        <is>
          <t>B0CMGPLTMQ</t>
        </is>
      </c>
      <c r="C5" t="inlineStr">
        <is>
          <t>adidas Women's VL Court Sneaker, Preloved Green/Pink Spark/Ivory, 6.5</t>
        </is>
      </c>
      <c r="D5" t="n">
        <v>79.95</v>
      </c>
      <c r="E5" t="n">
        <v>79.95</v>
      </c>
      <c r="F5" t="n">
        <v>66267</v>
      </c>
      <c r="G5" t="n">
        <v>100870</v>
      </c>
      <c r="H5" t="n">
        <v>84.91</v>
      </c>
      <c r="I5" t="n">
        <v>87.98999999999999</v>
      </c>
      <c r="J5" t="n">
        <v>0</v>
      </c>
      <c r="K5" t="n">
        <v>1</v>
      </c>
      <c r="L5" t="n">
        <v>2</v>
      </c>
      <c r="M5" t="n">
        <v>2</v>
      </c>
      <c r="N5" t="n">
        <v>4.7</v>
      </c>
      <c r="O5" t="n">
        <v>2</v>
      </c>
      <c r="P5" t="n">
        <v>13</v>
      </c>
      <c r="Q5" t="n">
        <v>24</v>
      </c>
      <c r="R5" t="n">
        <v>68</v>
      </c>
      <c r="S5" t="inlineStr">
        <is>
          <t>B0D61TX9PB</t>
        </is>
      </c>
      <c r="U5" t="n">
        <v>2.0502966</v>
      </c>
      <c r="V5" t="n">
        <v>7.03</v>
      </c>
      <c r="W5" t="n">
        <v>11.99</v>
      </c>
      <c r="X5" t="inlineStr">
        <is>
          <t>196478206096</t>
        </is>
      </c>
      <c r="Y5" t="inlineStr">
        <is>
          <t>IH0365</t>
        </is>
      </c>
      <c r="Z5" t="inlineStr">
        <is>
          <t>IH0365</t>
        </is>
      </c>
      <c r="AA5" t="inlineStr">
        <is>
          <t>Preloved Green/Pink Spark/Ivory</t>
        </is>
      </c>
      <c r="AB5" t="inlineStr">
        <is>
          <t>0196478206096</t>
        </is>
      </c>
      <c r="AC5" t="inlineStr">
        <is>
          <t>no Amazon offer exists</t>
        </is>
      </c>
      <c r="AD5" t="inlineStr">
        <is>
          <t>adidas</t>
        </is>
      </c>
      <c r="AE5" t="inlineStr">
        <is>
          <t>6.5</t>
        </is>
      </c>
      <c r="AF5"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5"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6">
      <c r="A6" t="inlineStr">
        <is>
          <t>com</t>
        </is>
      </c>
      <c r="B6" t="inlineStr">
        <is>
          <t>B0CMGLTK4Q</t>
        </is>
      </c>
      <c r="C6" t="inlineStr">
        <is>
          <t>adidas Women's VL Court Sneaker, Preloved Green/Pink Spark/Ivory, 7</t>
        </is>
      </c>
      <c r="D6" t="n">
        <v>79.95</v>
      </c>
      <c r="E6" t="n">
        <v>79.95</v>
      </c>
      <c r="F6" t="n">
        <v>69478</v>
      </c>
      <c r="G6" t="n">
        <v>105460</v>
      </c>
      <c r="H6" t="n">
        <v>83.69</v>
      </c>
      <c r="I6" t="n">
        <v>92.64</v>
      </c>
      <c r="J6" t="n">
        <v>0</v>
      </c>
      <c r="K6" t="n">
        <v>1</v>
      </c>
      <c r="L6" t="n">
        <v>2</v>
      </c>
      <c r="M6" t="n">
        <v>2</v>
      </c>
      <c r="N6" t="n">
        <v>4.7</v>
      </c>
      <c r="O6" t="n">
        <v>0</v>
      </c>
      <c r="P6" t="n">
        <v>13</v>
      </c>
      <c r="Q6" t="n">
        <v>20</v>
      </c>
      <c r="R6" t="n">
        <v>58</v>
      </c>
      <c r="S6" t="inlineStr">
        <is>
          <t>B0D61TX9PB</t>
        </is>
      </c>
      <c r="T6" t="n">
        <v>50</v>
      </c>
      <c r="U6" t="n">
        <v>2.0502966</v>
      </c>
      <c r="V6" t="n">
        <v>7.54</v>
      </c>
      <c r="W6" t="n">
        <v>11.99</v>
      </c>
      <c r="X6" t="inlineStr">
        <is>
          <t>196478206126</t>
        </is>
      </c>
      <c r="Y6" t="inlineStr">
        <is>
          <t>IH0365</t>
        </is>
      </c>
      <c r="Z6" t="inlineStr">
        <is>
          <t>IH0365</t>
        </is>
      </c>
      <c r="AA6" t="inlineStr">
        <is>
          <t>Preloved Green/Pink Spark/Ivory</t>
        </is>
      </c>
      <c r="AB6" t="inlineStr">
        <is>
          <t>0196478206126</t>
        </is>
      </c>
      <c r="AC6" t="inlineStr">
        <is>
          <t>no Amazon offer exists</t>
        </is>
      </c>
      <c r="AD6" t="inlineStr">
        <is>
          <t>adidas</t>
        </is>
      </c>
      <c r="AE6" t="inlineStr">
        <is>
          <t>7</t>
        </is>
      </c>
      <c r="AF6"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6"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7">
      <c r="A7" t="inlineStr">
        <is>
          <t>com</t>
        </is>
      </c>
      <c r="B7" t="inlineStr">
        <is>
          <t>B0CMGN46DT</t>
        </is>
      </c>
      <c r="C7" t="inlineStr">
        <is>
          <t>adidas Women's VL Court Sneaker, Preloved Green/Pink Spark/Ivory, 7.5</t>
        </is>
      </c>
      <c r="D7" t="n">
        <v>79.95</v>
      </c>
      <c r="E7" t="n">
        <v>79.95</v>
      </c>
      <c r="F7" t="n">
        <v>66267</v>
      </c>
      <c r="G7" t="n">
        <v>98637</v>
      </c>
      <c r="H7" t="n">
        <v>82.45</v>
      </c>
      <c r="I7" t="n">
        <v>89.25</v>
      </c>
      <c r="J7" t="n">
        <v>0.06</v>
      </c>
      <c r="K7" t="n">
        <v>1</v>
      </c>
      <c r="L7" t="n">
        <v>1</v>
      </c>
      <c r="M7" t="n">
        <v>1</v>
      </c>
      <c r="N7" t="n">
        <v>4.7</v>
      </c>
      <c r="O7" t="n">
        <v>1</v>
      </c>
      <c r="P7" t="n">
        <v>13</v>
      </c>
      <c r="Q7" t="n">
        <v>21</v>
      </c>
      <c r="R7" t="n">
        <v>63</v>
      </c>
      <c r="S7" t="inlineStr">
        <is>
          <t>B0D61TX9PB</t>
        </is>
      </c>
      <c r="T7" t="n">
        <v>50</v>
      </c>
      <c r="U7" t="n">
        <v>2.07013818</v>
      </c>
      <c r="V7" t="n">
        <v>7.54</v>
      </c>
      <c r="W7" t="n">
        <v>11.99</v>
      </c>
      <c r="X7" t="inlineStr">
        <is>
          <t>196478206119</t>
        </is>
      </c>
      <c r="Y7" t="inlineStr">
        <is>
          <t>IH0365</t>
        </is>
      </c>
      <c r="Z7" t="inlineStr">
        <is>
          <t>IH0365</t>
        </is>
      </c>
      <c r="AA7" t="inlineStr">
        <is>
          <t>Preloved Green/Pink Spark/Ivory</t>
        </is>
      </c>
      <c r="AB7" t="inlineStr">
        <is>
          <t>0196478206119</t>
        </is>
      </c>
      <c r="AC7" t="inlineStr">
        <is>
          <t>no Amazon offer exists</t>
        </is>
      </c>
      <c r="AD7" t="inlineStr">
        <is>
          <t>adidas</t>
        </is>
      </c>
      <c r="AE7" t="inlineStr">
        <is>
          <t>7.5</t>
        </is>
      </c>
      <c r="AF7"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7"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8">
      <c r="A8" t="inlineStr">
        <is>
          <t>com</t>
        </is>
      </c>
      <c r="B8" t="inlineStr">
        <is>
          <t>B0CMGNR2GD</t>
        </is>
      </c>
      <c r="C8" t="inlineStr">
        <is>
          <t>adidas Women's VL Court Sneaker, Preloved Green/Pink Spark/Ivory, 8</t>
        </is>
      </c>
      <c r="D8" t="n">
        <v>79.95</v>
      </c>
      <c r="E8" t="n">
        <v>79.95</v>
      </c>
      <c r="F8" t="n">
        <v>66267</v>
      </c>
      <c r="G8" t="n">
        <v>99961</v>
      </c>
      <c r="H8" t="n">
        <v>84.47</v>
      </c>
      <c r="I8" t="n">
        <v>89.04000000000001</v>
      </c>
      <c r="J8" t="n">
        <v>0</v>
      </c>
      <c r="K8" t="n">
        <v>1</v>
      </c>
      <c r="L8" t="n">
        <v>2</v>
      </c>
      <c r="M8" t="n">
        <v>1</v>
      </c>
      <c r="N8" t="n">
        <v>4.7</v>
      </c>
      <c r="O8" t="n">
        <v>3</v>
      </c>
      <c r="P8" t="n">
        <v>13</v>
      </c>
      <c r="Q8" t="n">
        <v>39</v>
      </c>
      <c r="R8" t="n">
        <v>101</v>
      </c>
      <c r="S8" t="inlineStr">
        <is>
          <t>B0D61TX9PB</t>
        </is>
      </c>
      <c r="T8" t="n">
        <v>50</v>
      </c>
      <c r="U8" t="n">
        <v>2.0502966</v>
      </c>
      <c r="V8" t="n">
        <v>7.54</v>
      </c>
      <c r="W8" t="n">
        <v>11.99</v>
      </c>
      <c r="X8" t="inlineStr">
        <is>
          <t>196478206881</t>
        </is>
      </c>
      <c r="Y8" t="inlineStr">
        <is>
          <t>IH0365</t>
        </is>
      </c>
      <c r="Z8" t="inlineStr">
        <is>
          <t>IH0365</t>
        </is>
      </c>
      <c r="AA8" t="inlineStr">
        <is>
          <t>Preloved Green/Pink Spark/Ivory</t>
        </is>
      </c>
      <c r="AB8" t="inlineStr">
        <is>
          <t>0196478206881</t>
        </is>
      </c>
      <c r="AC8" t="inlineStr">
        <is>
          <t>no Amazon offer exists</t>
        </is>
      </c>
      <c r="AD8" t="inlineStr">
        <is>
          <t>adidas</t>
        </is>
      </c>
      <c r="AE8" t="inlineStr">
        <is>
          <t>8</t>
        </is>
      </c>
      <c r="AF8"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8"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9">
      <c r="A9" t="inlineStr">
        <is>
          <t>com</t>
        </is>
      </c>
      <c r="B9" t="inlineStr">
        <is>
          <t>B0CMGN6BK3</t>
        </is>
      </c>
      <c r="C9" t="inlineStr">
        <is>
          <t>adidas Women's VL Court Sneaker, Preloved Green/Pink Spark/Ivory, 8.5</t>
        </is>
      </c>
      <c r="D9" t="n">
        <v>79.95</v>
      </c>
      <c r="E9" t="n">
        <v>79.95</v>
      </c>
      <c r="F9" t="n">
        <v>66267</v>
      </c>
      <c r="G9" t="n">
        <v>99914</v>
      </c>
      <c r="H9" t="n">
        <v>84.40000000000001</v>
      </c>
      <c r="I9" t="n">
        <v>88.95999999999999</v>
      </c>
      <c r="J9" t="n">
        <v>0</v>
      </c>
      <c r="K9" t="n">
        <v>1</v>
      </c>
      <c r="L9" t="n">
        <v>2</v>
      </c>
      <c r="M9" t="n">
        <v>1</v>
      </c>
      <c r="N9" t="n">
        <v>4.7</v>
      </c>
      <c r="O9" t="n">
        <v>2</v>
      </c>
      <c r="P9" t="n">
        <v>13</v>
      </c>
      <c r="Q9" t="n">
        <v>23</v>
      </c>
      <c r="R9" t="n">
        <v>60</v>
      </c>
      <c r="S9" t="inlineStr">
        <is>
          <t>B0D61TX9PB</t>
        </is>
      </c>
      <c r="T9" t="n">
        <v>50</v>
      </c>
      <c r="U9" t="n">
        <v>2.3589434</v>
      </c>
      <c r="V9" t="n">
        <v>7.7</v>
      </c>
      <c r="W9" t="n">
        <v>11.99</v>
      </c>
      <c r="X9" t="inlineStr">
        <is>
          <t>196478206072</t>
        </is>
      </c>
      <c r="Y9" t="inlineStr">
        <is>
          <t>IH0365</t>
        </is>
      </c>
      <c r="Z9" t="inlineStr">
        <is>
          <t>IH0365</t>
        </is>
      </c>
      <c r="AA9" t="inlineStr">
        <is>
          <t>Preloved Green/Pink Spark/Ivory</t>
        </is>
      </c>
      <c r="AB9" t="inlineStr">
        <is>
          <t>0196478206072</t>
        </is>
      </c>
      <c r="AC9" t="inlineStr">
        <is>
          <t>no Amazon offer exists</t>
        </is>
      </c>
      <c r="AD9" t="inlineStr">
        <is>
          <t>adidas</t>
        </is>
      </c>
      <c r="AE9" t="inlineStr">
        <is>
          <t>8.5</t>
        </is>
      </c>
      <c r="AF9"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9"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10">
      <c r="A10" t="inlineStr">
        <is>
          <t>com</t>
        </is>
      </c>
      <c r="B10" t="inlineStr">
        <is>
          <t>B0CMG9FGYW</t>
        </is>
      </c>
      <c r="C10" t="inlineStr">
        <is>
          <t>adidas Women's VL Court Sneaker, Preloved Green/Pink Spark/Ivory, 9</t>
        </is>
      </c>
      <c r="D10" t="n">
        <v>79.95</v>
      </c>
      <c r="E10" t="n">
        <v>79.95</v>
      </c>
      <c r="F10" t="n">
        <v>66267</v>
      </c>
      <c r="G10" t="n">
        <v>94382</v>
      </c>
      <c r="H10" t="n">
        <v>84.95</v>
      </c>
      <c r="I10" t="n">
        <v>88.37</v>
      </c>
      <c r="J10" t="n">
        <v>0</v>
      </c>
      <c r="K10" t="n">
        <v>1</v>
      </c>
      <c r="L10" t="n">
        <v>2</v>
      </c>
      <c r="M10" t="n">
        <v>2</v>
      </c>
      <c r="N10" t="n">
        <v>4.7</v>
      </c>
      <c r="O10" t="n">
        <v>1</v>
      </c>
      <c r="P10" t="n">
        <v>13</v>
      </c>
      <c r="Q10" t="n">
        <v>29</v>
      </c>
      <c r="R10" t="n">
        <v>78</v>
      </c>
      <c r="S10" t="inlineStr">
        <is>
          <t>B0D61TX9PB</t>
        </is>
      </c>
      <c r="T10" t="n">
        <v>50</v>
      </c>
      <c r="U10" t="n">
        <v>2.425082</v>
      </c>
      <c r="V10" t="n">
        <v>7.78</v>
      </c>
      <c r="W10" t="n">
        <v>11.99</v>
      </c>
      <c r="X10" t="inlineStr">
        <is>
          <t>196478206133</t>
        </is>
      </c>
      <c r="Y10" t="inlineStr">
        <is>
          <t>IH0365</t>
        </is>
      </c>
      <c r="Z10" t="inlineStr">
        <is>
          <t>IH0365</t>
        </is>
      </c>
      <c r="AA10" t="inlineStr">
        <is>
          <t>Preloved Green/Pink Spark/Ivory</t>
        </is>
      </c>
      <c r="AB10" t="inlineStr">
        <is>
          <t>0196478206133</t>
        </is>
      </c>
      <c r="AC10" t="inlineStr">
        <is>
          <t>no Amazon offer exists</t>
        </is>
      </c>
      <c r="AD10" t="inlineStr">
        <is>
          <t>adidas</t>
        </is>
      </c>
      <c r="AE10" t="inlineStr">
        <is>
          <t>9</t>
        </is>
      </c>
      <c r="AF10"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10"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11">
      <c r="A11" t="inlineStr">
        <is>
          <t>com</t>
        </is>
      </c>
      <c r="B11" t="inlineStr">
        <is>
          <t>B0CMGN1X9F</t>
        </is>
      </c>
      <c r="C11" t="inlineStr">
        <is>
          <t>adidas Women's VL Court Sneaker, Preloved Green/Pink Spark/Ivory, 9.5</t>
        </is>
      </c>
      <c r="D11" t="n">
        <v>79.95</v>
      </c>
      <c r="E11" t="n">
        <v>79.95</v>
      </c>
      <c r="F11" t="n">
        <v>66267</v>
      </c>
      <c r="G11" t="n">
        <v>99870</v>
      </c>
      <c r="H11" t="n">
        <v>84.81</v>
      </c>
      <c r="I11" t="n">
        <v>89.29000000000001</v>
      </c>
      <c r="J11" t="n">
        <v>0</v>
      </c>
      <c r="K11" t="n">
        <v>1</v>
      </c>
      <c r="L11" t="n">
        <v>2</v>
      </c>
      <c r="M11" t="n">
        <v>2</v>
      </c>
      <c r="N11" t="n">
        <v>4.7</v>
      </c>
      <c r="O11" t="n">
        <v>1</v>
      </c>
      <c r="P11" t="n">
        <v>13</v>
      </c>
      <c r="Q11" t="n">
        <v>16</v>
      </c>
      <c r="R11" t="n">
        <v>47</v>
      </c>
      <c r="S11" t="inlineStr">
        <is>
          <t>B0D61TX9PB</t>
        </is>
      </c>
      <c r="U11" t="n">
        <v>2.3589434</v>
      </c>
      <c r="V11" t="n">
        <v>7.78</v>
      </c>
      <c r="W11" t="n">
        <v>11.99</v>
      </c>
      <c r="X11" t="inlineStr">
        <is>
          <t>196478206911</t>
        </is>
      </c>
      <c r="Y11" t="inlineStr">
        <is>
          <t>IH0365</t>
        </is>
      </c>
      <c r="Z11" t="inlineStr">
        <is>
          <t>IH0365</t>
        </is>
      </c>
      <c r="AA11" t="inlineStr">
        <is>
          <t>Preloved Green/Pink Spark/Ivory</t>
        </is>
      </c>
      <c r="AB11" t="inlineStr">
        <is>
          <t>0196478206911</t>
        </is>
      </c>
      <c r="AC11" t="inlineStr">
        <is>
          <t>no Amazon offer exists</t>
        </is>
      </c>
      <c r="AD11" t="inlineStr">
        <is>
          <t>adidas</t>
        </is>
      </c>
      <c r="AE11" t="inlineStr">
        <is>
          <t>9.5</t>
        </is>
      </c>
      <c r="AF11"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11"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12">
      <c r="A12" t="inlineStr">
        <is>
          <t>com</t>
        </is>
      </c>
      <c r="B12" t="inlineStr">
        <is>
          <t>B0CMGTR7ZZ</t>
        </is>
      </c>
      <c r="C12" t="inlineStr">
        <is>
          <t>adidas Women's VL Court Sneaker, Preloved Green/Pink Spark/Ivory, 10</t>
        </is>
      </c>
      <c r="D12" t="n">
        <v>79.95</v>
      </c>
      <c r="E12" t="n">
        <v>79.95</v>
      </c>
      <c r="F12" t="n">
        <v>66267</v>
      </c>
      <c r="G12" t="n">
        <v>97112</v>
      </c>
      <c r="H12" t="n">
        <v>84.45</v>
      </c>
      <c r="I12" t="n">
        <v>90.34</v>
      </c>
      <c r="J12" t="n">
        <v>0</v>
      </c>
      <c r="K12" t="n">
        <v>1</v>
      </c>
      <c r="L12" t="n">
        <v>2</v>
      </c>
      <c r="M12" t="n">
        <v>1</v>
      </c>
      <c r="N12" t="n">
        <v>4.7</v>
      </c>
      <c r="O12" t="n">
        <v>2</v>
      </c>
      <c r="P12" t="n">
        <v>13</v>
      </c>
      <c r="Q12" t="n">
        <v>33</v>
      </c>
      <c r="R12" t="n">
        <v>90</v>
      </c>
      <c r="S12" t="inlineStr">
        <is>
          <t>B0D61TX9PB</t>
        </is>
      </c>
      <c r="U12" t="n">
        <v>2.5573592</v>
      </c>
      <c r="V12" t="n">
        <v>7.78</v>
      </c>
      <c r="W12" t="n">
        <v>11.99</v>
      </c>
      <c r="X12" t="inlineStr">
        <is>
          <t>196478206089</t>
        </is>
      </c>
      <c r="Y12" t="inlineStr">
        <is>
          <t>IH0365</t>
        </is>
      </c>
      <c r="Z12" t="inlineStr">
        <is>
          <t>IH0365</t>
        </is>
      </c>
      <c r="AA12" t="inlineStr">
        <is>
          <t>Preloved Green/Pink Spark/Ivory</t>
        </is>
      </c>
      <c r="AB12" t="inlineStr">
        <is>
          <t>0196478206089</t>
        </is>
      </c>
      <c r="AC12" t="inlineStr">
        <is>
          <t>no Amazon offer exists</t>
        </is>
      </c>
      <c r="AD12" t="inlineStr">
        <is>
          <t>adidas</t>
        </is>
      </c>
      <c r="AE12" t="inlineStr">
        <is>
          <t>10</t>
        </is>
      </c>
      <c r="AF12"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12"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13">
      <c r="A13" t="inlineStr">
        <is>
          <t>com</t>
        </is>
      </c>
      <c r="B13" t="inlineStr">
        <is>
          <t>B0CMGKTX16</t>
        </is>
      </c>
      <c r="C13" t="inlineStr">
        <is>
          <t>adidas Women's VL Court Sneaker, Preloved Green/Pink Spark/Ivory, 11</t>
        </is>
      </c>
      <c r="D13" t="n">
        <v>79.95</v>
      </c>
      <c r="E13" t="n">
        <v>79.95</v>
      </c>
      <c r="F13" t="n">
        <v>66267</v>
      </c>
      <c r="G13" t="n">
        <v>101590</v>
      </c>
      <c r="H13" t="n">
        <v>84.91</v>
      </c>
      <c r="I13" t="n">
        <v>85.72</v>
      </c>
      <c r="J13" t="n">
        <v>0.02</v>
      </c>
      <c r="K13" t="n">
        <v>1</v>
      </c>
      <c r="L13" t="n">
        <v>2</v>
      </c>
      <c r="M13" t="n">
        <v>1</v>
      </c>
      <c r="N13" t="n">
        <v>4.7</v>
      </c>
      <c r="O13" t="n">
        <v>0</v>
      </c>
      <c r="P13" t="n">
        <v>13</v>
      </c>
      <c r="Q13" t="n">
        <v>21</v>
      </c>
      <c r="R13" t="n">
        <v>54</v>
      </c>
      <c r="S13" t="inlineStr">
        <is>
          <t>B0D61TX9PB</t>
        </is>
      </c>
      <c r="U13" t="n">
        <v>2.66979482</v>
      </c>
      <c r="V13" t="n">
        <v>7.86</v>
      </c>
      <c r="W13" t="n">
        <v>11.99</v>
      </c>
      <c r="X13" t="inlineStr">
        <is>
          <t>196478206140</t>
        </is>
      </c>
      <c r="Y13" t="inlineStr">
        <is>
          <t>IH0365</t>
        </is>
      </c>
      <c r="Z13" t="inlineStr">
        <is>
          <t>IH0365</t>
        </is>
      </c>
      <c r="AA13" t="inlineStr">
        <is>
          <t>Preloved Green/Pink Spark/Ivory</t>
        </is>
      </c>
      <c r="AB13" t="inlineStr">
        <is>
          <t>0196478206140</t>
        </is>
      </c>
      <c r="AC13" t="inlineStr">
        <is>
          <t>no Amazon offer exists</t>
        </is>
      </c>
      <c r="AD13" t="inlineStr">
        <is>
          <t>adidas</t>
        </is>
      </c>
      <c r="AE13" t="inlineStr">
        <is>
          <t>11</t>
        </is>
      </c>
      <c r="AF13" t="inlineStr">
        <is>
          <t>https://m.media-amazon.com/images/I/5125uMGQ2kL.jpg;https://m.media-amazon.com/images/I/41e1n09lQ9L.jpg;https://m.media-amazon.com/images/I/41RmJstj4aL.jpg;https://m.media-amazon.com/images/I/413wvCeFCHL.jpg;https://m.media-amazon.com/images/I/41fK5W21PLL.jpg;https://m.media-amazon.com/images/I/514QV8kwYKL.jpg;https://m.media-amazon.com/images/I/6137CuZYr1L.jpg;https://m.media-amazon.com/images/I/61rfP72UrgL.jpg;https://m.media-amazon.com/images/I/41WuZHe+JAL.jpg</t>
        </is>
      </c>
      <c r="AG13" t="inlineStr">
        <is>
          <t>Description
It's all about balance with these adidas VL Court Bold Shoes. They have a low-profile design, sure, but that sits on an high platform that elevates the whole look - both literally and in style. A leather upper, textile lining and durable rubber outsole all come together to bring non-stop comfort to your daily moves.</t>
        </is>
      </c>
    </row>
    <row r="14">
      <c r="A14" t="inlineStr">
        <is>
          <t>com</t>
        </is>
      </c>
      <c r="B14" t="inlineStr">
        <is>
          <t>B0CMS2W8ZP</t>
        </is>
      </c>
      <c r="C14" t="inlineStr">
        <is>
          <t>adidas Women's VL Court Bold Sneaker, Wonder Quartz/Black/Wonder Beige, 5</t>
        </is>
      </c>
      <c r="D14" t="n">
        <v>80</v>
      </c>
      <c r="E14" t="n">
        <v>80</v>
      </c>
      <c r="F14" t="n">
        <v>112713</v>
      </c>
      <c r="G14" t="n">
        <v>122637</v>
      </c>
      <c r="H14" t="n">
        <v>79.04000000000001</v>
      </c>
      <c r="I14" t="n">
        <v>79.45</v>
      </c>
      <c r="J14" t="n">
        <v>0.27</v>
      </c>
      <c r="K14" t="n">
        <v>0.27</v>
      </c>
      <c r="L14" t="n">
        <v>1</v>
      </c>
      <c r="M14" t="n">
        <v>1</v>
      </c>
      <c r="N14" t="n">
        <v>3.6</v>
      </c>
      <c r="O14" t="n">
        <v>0</v>
      </c>
      <c r="P14" t="n">
        <v>5</v>
      </c>
      <c r="Q14" t="n">
        <v>13</v>
      </c>
      <c r="R14" t="n">
        <v>32</v>
      </c>
      <c r="S14" t="inlineStr">
        <is>
          <t>B0CCQ5Q8X7</t>
        </is>
      </c>
      <c r="U14" t="n">
        <v>1.9400656</v>
      </c>
      <c r="V14" t="n">
        <v>6.61</v>
      </c>
      <c r="W14" t="n">
        <v>12</v>
      </c>
      <c r="X14" t="inlineStr">
        <is>
          <t>196479358220</t>
        </is>
      </c>
      <c r="Y14" t="inlineStr">
        <is>
          <t>JI2910</t>
        </is>
      </c>
      <c r="Z14" t="inlineStr">
        <is>
          <t>NLK49</t>
        </is>
      </c>
      <c r="AA14" t="inlineStr">
        <is>
          <t>Wonder Quartz/Black/Wonder Beige</t>
        </is>
      </c>
      <c r="AB14" t="inlineStr">
        <is>
          <t>0196479358220</t>
        </is>
      </c>
      <c r="AC14" t="inlineStr">
        <is>
          <t>Amazon offer is in stock and shippable</t>
        </is>
      </c>
      <c r="AD14" t="inlineStr">
        <is>
          <t>adidas</t>
        </is>
      </c>
      <c r="AE14" t="inlineStr">
        <is>
          <t>5</t>
        </is>
      </c>
      <c r="AF14" t="inlineStr">
        <is>
          <t>https://m.media-amazon.com/images/I/51fIVPZyKRL.jpg;https://m.media-amazon.com/images/I/61ks5QGQMWL.jpg;https://m.media-amazon.com/images/I/51cV0wU1IPL.jpg;https://m.media-amazon.com/images/I/51OrLzk+rGL.jpg;https://m.media-amazon.com/images/I/61DygcpGkZL.jpg;https://m.media-amazon.com/images/I/61jtbXCOrCL.jpg</t>
        </is>
      </c>
      <c r="AG14" t="inlineStr">
        <is>
          <t>Description
adidas womens VL Court Bold</t>
        </is>
      </c>
    </row>
    <row r="15">
      <c r="A15" t="inlineStr">
        <is>
          <t>com</t>
        </is>
      </c>
      <c r="B15" t="inlineStr">
        <is>
          <t>B0CMS77LS3</t>
        </is>
      </c>
      <c r="C15" t="inlineStr">
        <is>
          <t>adidas Women's VL Court Bold Sneaker, Wonder Quartz/Black/Wonder Beige, 5.5</t>
        </is>
      </c>
      <c r="D15" t="n">
        <v>79.95999999999999</v>
      </c>
      <c r="E15" t="inlineStr"/>
      <c r="G15" t="n">
        <v>121091</v>
      </c>
      <c r="H15" t="n">
        <v>79.95999999999999</v>
      </c>
      <c r="I15" t="n">
        <v>79.95</v>
      </c>
      <c r="J15" t="n">
        <v>0.43</v>
      </c>
      <c r="K15" t="n">
        <v>0.5</v>
      </c>
      <c r="L15" t="n">
        <v>1</v>
      </c>
      <c r="M15" t="n">
        <v>1</v>
      </c>
      <c r="N15" t="n">
        <v>3.4</v>
      </c>
      <c r="O15" t="n">
        <v>0</v>
      </c>
      <c r="P15" t="n">
        <v>4</v>
      </c>
      <c r="Q15" t="n">
        <v>9</v>
      </c>
      <c r="R15" t="n">
        <v>27</v>
      </c>
      <c r="S15" t="inlineStr">
        <is>
          <t>B0CCQ5Q8X7</t>
        </is>
      </c>
      <c r="U15" t="n">
        <v>1.97974876</v>
      </c>
      <c r="V15" t="n">
        <v>6.61</v>
      </c>
      <c r="W15" t="inlineStr"/>
      <c r="X15" t="inlineStr">
        <is>
          <t>196479358152</t>
        </is>
      </c>
      <c r="Y15" t="inlineStr">
        <is>
          <t>JI2910</t>
        </is>
      </c>
      <c r="Z15" t="inlineStr">
        <is>
          <t>NLK49</t>
        </is>
      </c>
      <c r="AA15" t="inlineStr">
        <is>
          <t>Wonder Quartz/Black/Wonder Beige</t>
        </is>
      </c>
      <c r="AB15" t="inlineStr">
        <is>
          <t>0196479358152</t>
        </is>
      </c>
      <c r="AC15" t="inlineStr">
        <is>
          <t>no Amazon offer exists</t>
        </is>
      </c>
      <c r="AD15" t="inlineStr">
        <is>
          <t>adidas</t>
        </is>
      </c>
      <c r="AE15" t="inlineStr">
        <is>
          <t>5.5</t>
        </is>
      </c>
      <c r="AF15" t="inlineStr">
        <is>
          <t>https://m.media-amazon.com/images/I/51fIVPZyKRL.jpg;https://m.media-amazon.com/images/I/61ks5QGQMWL.jpg;https://m.media-amazon.com/images/I/51cV0wU1IPL.jpg;https://m.media-amazon.com/images/I/51OrLzk+rGL.jpg;https://m.media-amazon.com/images/I/61DygcpGkZL.jpg;https://m.media-amazon.com/images/I/61jtbXCOrCL.jpg</t>
        </is>
      </c>
      <c r="AG15" t="inlineStr">
        <is>
          <t>Description
adidas womens VL Court Bold</t>
        </is>
      </c>
    </row>
    <row r="16">
      <c r="A16" t="inlineStr">
        <is>
          <t>com</t>
        </is>
      </c>
      <c r="B16" t="inlineStr">
        <is>
          <t>B0CMS4JVC1</t>
        </is>
      </c>
      <c r="C16" t="inlineStr">
        <is>
          <t>adidas Women's VL Court Bold Sneaker, Wonder Quartz/Black/Wonder Beige, 6</t>
        </is>
      </c>
      <c r="D16" t="n">
        <v>80</v>
      </c>
      <c r="E16" t="n">
        <v>80</v>
      </c>
      <c r="F16" t="n">
        <v>112713</v>
      </c>
      <c r="G16" t="n">
        <v>394820</v>
      </c>
      <c r="H16" t="n">
        <v>78.36</v>
      </c>
      <c r="I16" t="n">
        <v>78.40000000000001</v>
      </c>
      <c r="J16" t="n">
        <v>0.45</v>
      </c>
      <c r="K16" t="n">
        <v>0.49</v>
      </c>
      <c r="L16" t="n">
        <v>1</v>
      </c>
      <c r="N16" t="n">
        <v>3.6</v>
      </c>
      <c r="O16" t="n">
        <v>0</v>
      </c>
      <c r="P16" t="n">
        <v>5</v>
      </c>
      <c r="Q16" t="n">
        <v>10</v>
      </c>
      <c r="R16" t="n">
        <v>45</v>
      </c>
      <c r="S16" t="inlineStr">
        <is>
          <t>B0CCQ5Q8X7</t>
        </is>
      </c>
      <c r="U16" t="n">
        <v>1.95990718</v>
      </c>
      <c r="V16" t="n">
        <v>6.61</v>
      </c>
      <c r="W16" t="n">
        <v>12</v>
      </c>
      <c r="X16" t="inlineStr">
        <is>
          <t>196479358138</t>
        </is>
      </c>
      <c r="Y16" t="inlineStr">
        <is>
          <t>JI2910</t>
        </is>
      </c>
      <c r="Z16" t="inlineStr">
        <is>
          <t>NLK49</t>
        </is>
      </c>
      <c r="AA16" t="inlineStr">
        <is>
          <t>Wonder Quartz/Black/Wonder Beige</t>
        </is>
      </c>
      <c r="AB16" t="inlineStr">
        <is>
          <t>0196479358138</t>
        </is>
      </c>
      <c r="AC16" t="inlineStr">
        <is>
          <t>Amazon offer is back-ordered</t>
        </is>
      </c>
      <c r="AD16" t="inlineStr">
        <is>
          <t>adidas</t>
        </is>
      </c>
      <c r="AE16" t="inlineStr">
        <is>
          <t>6</t>
        </is>
      </c>
      <c r="AF16" t="inlineStr">
        <is>
          <t>https://m.media-amazon.com/images/I/51fIVPZyKRL.jpg;https://m.media-amazon.com/images/I/61ks5QGQMWL.jpg;https://m.media-amazon.com/images/I/51cV0wU1IPL.jpg;https://m.media-amazon.com/images/I/51OrLzk+rGL.jpg;https://m.media-amazon.com/images/I/61DygcpGkZL.jpg;https://m.media-amazon.com/images/I/61jtbXCOrCL.jpg</t>
        </is>
      </c>
      <c r="AG16" t="inlineStr">
        <is>
          <t>Description
adidas womens VL Court Bold</t>
        </is>
      </c>
    </row>
    <row r="17">
      <c r="A17" t="inlineStr">
        <is>
          <t>com</t>
        </is>
      </c>
      <c r="B17" t="inlineStr">
        <is>
          <t>B0CMS2V1C1</t>
        </is>
      </c>
      <c r="C17" t="inlineStr">
        <is>
          <t>adidas Women's VL Court Bold Sneaker, Wonder Quartz/Black/Wonder Beige, 6.5</t>
        </is>
      </c>
      <c r="D17" t="n">
        <v>79.47</v>
      </c>
      <c r="E17" t="inlineStr"/>
      <c r="F17" t="n">
        <v>112713</v>
      </c>
      <c r="G17" t="n">
        <v>337129</v>
      </c>
      <c r="H17" t="n">
        <v>79.47</v>
      </c>
      <c r="I17" t="n">
        <v>79.13</v>
      </c>
      <c r="J17" t="n">
        <v>0.4</v>
      </c>
      <c r="K17" t="n">
        <v>0.5</v>
      </c>
      <c r="L17" t="n">
        <v>1</v>
      </c>
      <c r="N17" t="n">
        <v>3.6</v>
      </c>
      <c r="O17" t="n">
        <v>1</v>
      </c>
      <c r="P17" t="n">
        <v>5</v>
      </c>
      <c r="Q17" t="n">
        <v>24</v>
      </c>
      <c r="R17" t="n">
        <v>70</v>
      </c>
      <c r="S17" t="inlineStr">
        <is>
          <t>B0CCQ5Q8X7</t>
        </is>
      </c>
      <c r="U17" t="n">
        <v>1.9731349</v>
      </c>
      <c r="V17" t="n">
        <v>7.03</v>
      </c>
      <c r="W17" t="inlineStr"/>
      <c r="X17" t="inlineStr">
        <is>
          <t>196479358213</t>
        </is>
      </c>
      <c r="Y17" t="inlineStr">
        <is>
          <t>JI2910</t>
        </is>
      </c>
      <c r="Z17" t="inlineStr">
        <is>
          <t>NLK49</t>
        </is>
      </c>
      <c r="AA17" t="inlineStr">
        <is>
          <t>Wonder Quartz/Black/Wonder Beige</t>
        </is>
      </c>
      <c r="AB17" t="inlineStr">
        <is>
          <t>0196479358213</t>
        </is>
      </c>
      <c r="AC17" t="inlineStr">
        <is>
          <t>no Amazon offer exists</t>
        </is>
      </c>
      <c r="AD17" t="inlineStr">
        <is>
          <t>adidas</t>
        </is>
      </c>
      <c r="AE17" t="inlineStr">
        <is>
          <t>6.5</t>
        </is>
      </c>
      <c r="AF17" t="inlineStr">
        <is>
          <t>https://m.media-amazon.com/images/I/51fIVPZyKRL.jpg;https://m.media-amazon.com/images/I/61ks5QGQMWL.jpg;https://m.media-amazon.com/images/I/51cV0wU1IPL.jpg;https://m.media-amazon.com/images/I/51OrLzk+rGL.jpg;https://m.media-amazon.com/images/I/61DygcpGkZL.jpg;https://m.media-amazon.com/images/I/61jtbXCOrCL.jpg</t>
        </is>
      </c>
      <c r="AG17" t="inlineStr">
        <is>
          <t>Description
adidas womens VL Court Bold</t>
        </is>
      </c>
    </row>
    <row r="18">
      <c r="A18" t="inlineStr">
        <is>
          <t>com</t>
        </is>
      </c>
      <c r="B18" t="inlineStr">
        <is>
          <t>B0CMSRB7QY</t>
        </is>
      </c>
      <c r="C18" t="inlineStr">
        <is>
          <t>adidas Women's VL Court Bold Sneaker, Wonder Quartz/Black/Wonder Beige, 7</t>
        </is>
      </c>
      <c r="D18" t="n">
        <v>80.76000000000001</v>
      </c>
      <c r="E18" t="inlineStr"/>
      <c r="G18" t="n">
        <v>48829</v>
      </c>
      <c r="H18" t="n">
        <v>80.76000000000001</v>
      </c>
      <c r="I18" t="n">
        <v>89.33</v>
      </c>
      <c r="J18" t="n">
        <v>0.29</v>
      </c>
      <c r="K18" t="n">
        <v>0.48</v>
      </c>
      <c r="L18" t="n">
        <v>2</v>
      </c>
      <c r="M18" t="n">
        <v>1</v>
      </c>
      <c r="N18" t="n">
        <v>4.5</v>
      </c>
      <c r="O18" t="n">
        <v>2</v>
      </c>
      <c r="P18" t="n">
        <v>56</v>
      </c>
      <c r="Q18" t="n">
        <v>18</v>
      </c>
      <c r="R18" t="n">
        <v>94</v>
      </c>
      <c r="S18" t="inlineStr">
        <is>
          <t>B0DG337M34</t>
        </is>
      </c>
      <c r="U18" t="n">
        <v>2.20021076</v>
      </c>
      <c r="V18" t="n">
        <v>7.54</v>
      </c>
      <c r="W18" t="inlineStr"/>
      <c r="X18" t="inlineStr">
        <is>
          <t>196479358206</t>
        </is>
      </c>
      <c r="Y18" t="inlineStr">
        <is>
          <t>JI2910</t>
        </is>
      </c>
      <c r="Z18" t="inlineStr">
        <is>
          <t>NLK49</t>
        </is>
      </c>
      <c r="AA18" t="inlineStr">
        <is>
          <t>Wonder Quartz/Black/Wonder Beige</t>
        </is>
      </c>
      <c r="AB18" t="inlineStr">
        <is>
          <t>0196479358206</t>
        </is>
      </c>
      <c r="AC18" t="inlineStr">
        <is>
          <t>no Amazon offer exists</t>
        </is>
      </c>
      <c r="AD18" t="inlineStr">
        <is>
          <t>adidas</t>
        </is>
      </c>
      <c r="AE18" t="inlineStr">
        <is>
          <t>7</t>
        </is>
      </c>
      <c r="AF18" t="inlineStr">
        <is>
          <t>https://m.media-amazon.com/images/I/51fIVPZyKRL.jpg;https://m.media-amazon.com/images/I/61ks5QGQMWL.jpg;https://m.media-amazon.com/images/I/51cV0wU1IPL.jpg;https://m.media-amazon.com/images/I/51OrLzk+rGL.jpg;https://m.media-amazon.com/images/I/61DygcpGkZL.jpg;https://m.media-amazon.com/images/I/61jtbXCOrCL.jpg</t>
        </is>
      </c>
      <c r="AG18" t="inlineStr">
        <is>
          <t>Description
adidas womens VL Court Bold</t>
        </is>
      </c>
    </row>
    <row r="19">
      <c r="A19" t="inlineStr">
        <is>
          <t>com</t>
        </is>
      </c>
      <c r="B19" t="inlineStr">
        <is>
          <t>B0CMS2XRXD</t>
        </is>
      </c>
      <c r="C19" t="inlineStr">
        <is>
          <t>adidas Women's VL Court Bold Sneaker, Wonder Quartz/Black/Wonder Beige, 7.5</t>
        </is>
      </c>
      <c r="D19" t="n">
        <v>80</v>
      </c>
      <c r="E19" t="n">
        <v>80</v>
      </c>
      <c r="F19" t="n">
        <v>124456</v>
      </c>
      <c r="G19" t="n">
        <v>231539</v>
      </c>
      <c r="H19" t="n">
        <v>79.02</v>
      </c>
      <c r="I19" t="n">
        <v>78.65000000000001</v>
      </c>
      <c r="J19" t="n">
        <v>0.38</v>
      </c>
      <c r="K19" t="n">
        <v>0.4</v>
      </c>
      <c r="L19" t="n">
        <v>1</v>
      </c>
      <c r="N19" t="n">
        <v>3.6</v>
      </c>
      <c r="O19" t="n">
        <v>1</v>
      </c>
      <c r="P19" t="n">
        <v>5</v>
      </c>
      <c r="Q19" t="n">
        <v>20</v>
      </c>
      <c r="R19" t="n">
        <v>74</v>
      </c>
      <c r="S19" t="inlineStr">
        <is>
          <t>B0CCQ5Q8X7</t>
        </is>
      </c>
      <c r="U19" t="n">
        <v>2.25091702</v>
      </c>
      <c r="V19" t="n">
        <v>7.62</v>
      </c>
      <c r="W19" t="n">
        <v>12</v>
      </c>
      <c r="X19" t="inlineStr">
        <is>
          <t>196479358237</t>
        </is>
      </c>
      <c r="Y19" t="inlineStr">
        <is>
          <t>JI2910</t>
        </is>
      </c>
      <c r="Z19" t="inlineStr">
        <is>
          <t>NLK49</t>
        </is>
      </c>
      <c r="AA19" t="inlineStr">
        <is>
          <t>Wonder Quartz/Black/Wonder Beige</t>
        </is>
      </c>
      <c r="AB19" t="inlineStr">
        <is>
          <t>0196479358237</t>
        </is>
      </c>
      <c r="AC19" t="inlineStr">
        <is>
          <t>Amazon offer is in stock and shippable</t>
        </is>
      </c>
      <c r="AD19" t="inlineStr">
        <is>
          <t>adidas</t>
        </is>
      </c>
      <c r="AE19" t="inlineStr">
        <is>
          <t>7.5</t>
        </is>
      </c>
      <c r="AF19" t="inlineStr">
        <is>
          <t>https://m.media-amazon.com/images/I/51fIVPZyKRL.jpg;https://m.media-amazon.com/images/I/61ks5QGQMWL.jpg;https://m.media-amazon.com/images/I/51cV0wU1IPL.jpg;https://m.media-amazon.com/images/I/51OrLzk+rGL.jpg;https://m.media-amazon.com/images/I/61DygcpGkZL.jpg;https://m.media-amazon.com/images/I/61jtbXCOrCL.jpg</t>
        </is>
      </c>
      <c r="AG19" t="inlineStr">
        <is>
          <t>Description
adidas womens VL Court Bold</t>
        </is>
      </c>
    </row>
    <row r="20">
      <c r="A20" t="inlineStr">
        <is>
          <t>com</t>
        </is>
      </c>
      <c r="B20" t="inlineStr">
        <is>
          <t>B0CMSBL54D</t>
        </is>
      </c>
      <c r="C20" t="inlineStr">
        <is>
          <t>adidas Women's VL Court Bold Sneaker, Wonder Quartz/Black/Wonder Beige, 8</t>
        </is>
      </c>
      <c r="D20" t="n">
        <v>80</v>
      </c>
      <c r="E20" t="n">
        <v>79.95</v>
      </c>
      <c r="F20" t="n">
        <v>112713</v>
      </c>
      <c r="G20" t="n">
        <v>215448</v>
      </c>
      <c r="H20" t="n">
        <v>80.09999999999999</v>
      </c>
      <c r="I20" t="n">
        <v>79.11</v>
      </c>
      <c r="J20" t="n">
        <v>0.16</v>
      </c>
      <c r="K20" t="n">
        <v>0.34</v>
      </c>
      <c r="L20" t="n">
        <v>2</v>
      </c>
      <c r="M20" t="n">
        <v>1</v>
      </c>
      <c r="N20" t="n">
        <v>3.6</v>
      </c>
      <c r="O20" t="n">
        <v>2</v>
      </c>
      <c r="P20" t="n">
        <v>5</v>
      </c>
      <c r="Q20" t="n">
        <v>27</v>
      </c>
      <c r="R20" t="n">
        <v>86</v>
      </c>
      <c r="S20" t="inlineStr">
        <is>
          <t>B0CCQ5Q8X7</t>
        </is>
      </c>
      <c r="U20" t="n">
        <v>2.1605276</v>
      </c>
      <c r="V20" t="n">
        <v>7.54</v>
      </c>
      <c r="W20" t="n">
        <v>12</v>
      </c>
      <c r="X20" t="inlineStr">
        <is>
          <t>196479358145</t>
        </is>
      </c>
      <c r="Y20" t="inlineStr">
        <is>
          <t>JI2910</t>
        </is>
      </c>
      <c r="Z20" t="inlineStr">
        <is>
          <t>NLK49</t>
        </is>
      </c>
      <c r="AA20" t="inlineStr">
        <is>
          <t>Wonder Quartz/Black/Wonder Beige</t>
        </is>
      </c>
      <c r="AB20" t="inlineStr">
        <is>
          <t>0196479358145</t>
        </is>
      </c>
      <c r="AC20" t="inlineStr">
        <is>
          <t>Amazon offer is in stock and shippable</t>
        </is>
      </c>
      <c r="AD20" t="inlineStr">
        <is>
          <t>adidas</t>
        </is>
      </c>
      <c r="AE20" t="inlineStr">
        <is>
          <t>8</t>
        </is>
      </c>
      <c r="AF20" t="inlineStr">
        <is>
          <t>https://m.media-amazon.com/images/I/51fIVPZyKRL.jpg;https://m.media-amazon.com/images/I/61ks5QGQMWL.jpg;https://m.media-amazon.com/images/I/51cV0wU1IPL.jpg;https://m.media-amazon.com/images/I/51OrLzk+rGL.jpg;https://m.media-amazon.com/images/I/61DygcpGkZL.jpg;https://m.media-amazon.com/images/I/61jtbXCOrCL.jpg</t>
        </is>
      </c>
      <c r="AG20" t="inlineStr">
        <is>
          <t>Description
adidas womens VL Court Bold</t>
        </is>
      </c>
    </row>
    <row r="21">
      <c r="A21" t="inlineStr">
        <is>
          <t>com</t>
        </is>
      </c>
      <c r="B21" t="inlineStr">
        <is>
          <t>B0CMS6WXC6</t>
        </is>
      </c>
      <c r="C21" t="inlineStr">
        <is>
          <t>adidas Women's VL Court Bold Sneaker, Wonder Quartz/Black/Wonder Beige, 8.5</t>
        </is>
      </c>
      <c r="D21" t="n">
        <v>80</v>
      </c>
      <c r="E21" t="n">
        <v>80</v>
      </c>
      <c r="F21" t="n">
        <v>112713</v>
      </c>
      <c r="G21" t="n">
        <v>427028</v>
      </c>
      <c r="H21" t="n">
        <v>79.42</v>
      </c>
      <c r="I21" t="n">
        <v>80.27</v>
      </c>
      <c r="J21" t="n">
        <v>0.09</v>
      </c>
      <c r="K21" t="n">
        <v>0.18</v>
      </c>
      <c r="L21" t="n">
        <v>2</v>
      </c>
      <c r="M21" t="n">
        <v>1</v>
      </c>
      <c r="N21" t="n">
        <v>3.6</v>
      </c>
      <c r="O21" t="n">
        <v>1</v>
      </c>
      <c r="P21" t="n">
        <v>5</v>
      </c>
      <c r="Q21" t="n">
        <v>31</v>
      </c>
      <c r="R21" t="n">
        <v>87</v>
      </c>
      <c r="S21" t="inlineStr">
        <is>
          <t>B0CCQ5Q8X7</t>
        </is>
      </c>
      <c r="T21" t="n">
        <v>50</v>
      </c>
      <c r="U21" t="n">
        <v>2.33910182</v>
      </c>
      <c r="V21" t="n">
        <v>7.7</v>
      </c>
      <c r="W21" t="n">
        <v>12</v>
      </c>
      <c r="X21" t="inlineStr">
        <is>
          <t>196479358121</t>
        </is>
      </c>
      <c r="Y21" t="inlineStr">
        <is>
          <t>JI2910</t>
        </is>
      </c>
      <c r="Z21" t="inlineStr">
        <is>
          <t>NLK49</t>
        </is>
      </c>
      <c r="AA21" t="inlineStr">
        <is>
          <t>Wonder Quartz/Black/Wonder Beige</t>
        </is>
      </c>
      <c r="AB21" t="inlineStr">
        <is>
          <t>0196479358121</t>
        </is>
      </c>
      <c r="AC21" t="inlineStr">
        <is>
          <t>Amazon offer is back-ordered</t>
        </is>
      </c>
      <c r="AD21" t="inlineStr">
        <is>
          <t>adidas</t>
        </is>
      </c>
      <c r="AE21" t="inlineStr">
        <is>
          <t>8.5</t>
        </is>
      </c>
      <c r="AF21" t="inlineStr">
        <is>
          <t>https://m.media-amazon.com/images/I/51fIVPZyKRL.jpg;https://m.media-amazon.com/images/I/61ks5QGQMWL.jpg;https://m.media-amazon.com/images/I/51cV0wU1IPL.jpg;https://m.media-amazon.com/images/I/51OrLzk+rGL.jpg;https://m.media-amazon.com/images/I/61DygcpGkZL.jpg;https://m.media-amazon.com/images/I/61jtbXCOrCL.jpg</t>
        </is>
      </c>
      <c r="AG21" t="inlineStr">
        <is>
          <t>Description
adidas womens VL Court Bold</t>
        </is>
      </c>
    </row>
    <row r="22">
      <c r="A22" t="inlineStr">
        <is>
          <t>com</t>
        </is>
      </c>
      <c r="B22" t="inlineStr">
        <is>
          <t>B0CMSNG82Q</t>
        </is>
      </c>
      <c r="C22" t="inlineStr">
        <is>
          <t>adidas Women's VL Court Bold Sneaker, Wonder Quartz/Black/Wonder Beige, 9</t>
        </is>
      </c>
      <c r="D22" t="n">
        <v>80</v>
      </c>
      <c r="E22" t="n">
        <v>80</v>
      </c>
      <c r="F22" t="n">
        <v>112713</v>
      </c>
      <c r="G22" t="n">
        <v>263000</v>
      </c>
      <c r="H22" t="n">
        <v>79.22</v>
      </c>
      <c r="I22" t="n">
        <v>79.48</v>
      </c>
      <c r="J22" t="n">
        <v>0.2</v>
      </c>
      <c r="K22" t="n">
        <v>0.28</v>
      </c>
      <c r="L22" t="n">
        <v>2</v>
      </c>
      <c r="N22" t="n">
        <v>3.6</v>
      </c>
      <c r="O22" t="n">
        <v>0</v>
      </c>
      <c r="P22" t="n">
        <v>5</v>
      </c>
      <c r="Q22" t="n">
        <v>24</v>
      </c>
      <c r="R22" t="n">
        <v>77</v>
      </c>
      <c r="S22" t="inlineStr">
        <is>
          <t>B0CCQ5Q8X7</t>
        </is>
      </c>
      <c r="U22" t="n">
        <v>2.2707586</v>
      </c>
      <c r="V22" t="n">
        <v>7.7</v>
      </c>
      <c r="W22" t="n">
        <v>12</v>
      </c>
      <c r="X22" t="inlineStr">
        <is>
          <t>196479358190</t>
        </is>
      </c>
      <c r="Y22" t="inlineStr">
        <is>
          <t>JI2910</t>
        </is>
      </c>
      <c r="Z22" t="inlineStr">
        <is>
          <t>NLK49</t>
        </is>
      </c>
      <c r="AA22" t="inlineStr">
        <is>
          <t>Wonder Quartz/Black/Wonder Beige</t>
        </is>
      </c>
      <c r="AB22" t="inlineStr">
        <is>
          <t>0196479358190</t>
        </is>
      </c>
      <c r="AC22" t="inlineStr">
        <is>
          <t>Amazon offer is back-ordered</t>
        </is>
      </c>
      <c r="AD22" t="inlineStr">
        <is>
          <t>adidas</t>
        </is>
      </c>
      <c r="AE22" t="inlineStr">
        <is>
          <t>9</t>
        </is>
      </c>
      <c r="AF22" t="inlineStr">
        <is>
          <t>https://m.media-amazon.com/images/I/51fIVPZyKRL.jpg;https://m.media-amazon.com/images/I/61ks5QGQMWL.jpg;https://m.media-amazon.com/images/I/51cV0wU1IPL.jpg;https://m.media-amazon.com/images/I/51OrLzk+rGL.jpg;https://m.media-amazon.com/images/I/61DygcpGkZL.jpg;https://m.media-amazon.com/images/I/61jtbXCOrCL.jpg</t>
        </is>
      </c>
      <c r="AG22" t="inlineStr">
        <is>
          <t>Description
adidas womens VL Court Bold</t>
        </is>
      </c>
    </row>
    <row r="23">
      <c r="A23" t="inlineStr">
        <is>
          <t>com</t>
        </is>
      </c>
      <c r="B23" t="inlineStr">
        <is>
          <t>B0CMSC15WQ</t>
        </is>
      </c>
      <c r="C23" t="inlineStr">
        <is>
          <t>adidas Women's VL Court Bold Sneaker, Wonder Quartz/Black/Wonder Beige, 9.5</t>
        </is>
      </c>
      <c r="D23" t="n">
        <v>80</v>
      </c>
      <c r="E23" t="n">
        <v>80</v>
      </c>
      <c r="F23" t="n">
        <v>112713</v>
      </c>
      <c r="G23" t="n">
        <v>376576</v>
      </c>
      <c r="H23" t="n">
        <v>79.81</v>
      </c>
      <c r="I23" t="n">
        <v>79.63</v>
      </c>
      <c r="J23" t="n">
        <v>0.09</v>
      </c>
      <c r="K23" t="n">
        <v>0.28</v>
      </c>
      <c r="L23" t="n">
        <v>2</v>
      </c>
      <c r="N23" t="n">
        <v>3.6</v>
      </c>
      <c r="O23" t="n">
        <v>0</v>
      </c>
      <c r="P23" t="n">
        <v>5</v>
      </c>
      <c r="Q23" t="n">
        <v>27</v>
      </c>
      <c r="R23" t="n">
        <v>68</v>
      </c>
      <c r="S23" t="inlineStr">
        <is>
          <t>B0CCQ5Q8X7</t>
        </is>
      </c>
      <c r="U23" t="n">
        <v>2.5794054</v>
      </c>
      <c r="V23" t="n">
        <v>7.7</v>
      </c>
      <c r="W23" t="n">
        <v>12</v>
      </c>
      <c r="X23" t="inlineStr">
        <is>
          <t>196479358176</t>
        </is>
      </c>
      <c r="Y23" t="inlineStr">
        <is>
          <t>JI2910</t>
        </is>
      </c>
      <c r="Z23" t="inlineStr">
        <is>
          <t>NLK49</t>
        </is>
      </c>
      <c r="AA23" t="inlineStr">
        <is>
          <t>Wonder Quartz/Black/Wonder Beige</t>
        </is>
      </c>
      <c r="AB23" t="inlineStr">
        <is>
          <t>0196479358176</t>
        </is>
      </c>
      <c r="AC23" t="inlineStr">
        <is>
          <t>Amazon offer is in stock and shippable</t>
        </is>
      </c>
      <c r="AD23" t="inlineStr">
        <is>
          <t>adidas</t>
        </is>
      </c>
      <c r="AE23" t="inlineStr">
        <is>
          <t>9.5</t>
        </is>
      </c>
      <c r="AF23" t="inlineStr">
        <is>
          <t>https://m.media-amazon.com/images/I/51fIVPZyKRL.jpg;https://m.media-amazon.com/images/I/61ks5QGQMWL.jpg;https://m.media-amazon.com/images/I/51cV0wU1IPL.jpg;https://m.media-amazon.com/images/I/51OrLzk+rGL.jpg;https://m.media-amazon.com/images/I/61DygcpGkZL.jpg;https://m.media-amazon.com/images/I/61jtbXCOrCL.jpg</t>
        </is>
      </c>
      <c r="AG23" t="inlineStr">
        <is>
          <t>Description
adidas womens VL Court Bold</t>
        </is>
      </c>
    </row>
    <row r="24">
      <c r="A24" t="inlineStr">
        <is>
          <t>com</t>
        </is>
      </c>
      <c r="B24" t="inlineStr">
        <is>
          <t>B0CMS71HCX</t>
        </is>
      </c>
      <c r="C24" t="inlineStr">
        <is>
          <t>adidas Women's VL Court Bold Sneaker, Wonder Quartz/Black/Wonder Beige, 10</t>
        </is>
      </c>
      <c r="D24" t="n">
        <v>80</v>
      </c>
      <c r="E24" t="n">
        <v>80</v>
      </c>
      <c r="F24" t="n">
        <v>112713</v>
      </c>
      <c r="G24" t="n">
        <v>410662</v>
      </c>
      <c r="H24" t="n">
        <v>78.61</v>
      </c>
      <c r="I24" t="n">
        <v>78.64</v>
      </c>
      <c r="J24" t="n">
        <v>0.07000000000000001</v>
      </c>
      <c r="K24" t="n">
        <v>0.19</v>
      </c>
      <c r="L24" t="n">
        <v>3</v>
      </c>
      <c r="M24" t="n">
        <v>1</v>
      </c>
      <c r="N24" t="n">
        <v>3.6</v>
      </c>
      <c r="O24" t="n">
        <v>0</v>
      </c>
      <c r="P24" t="n">
        <v>5</v>
      </c>
      <c r="Q24" t="n">
        <v>27</v>
      </c>
      <c r="R24" t="n">
        <v>66</v>
      </c>
      <c r="S24" t="inlineStr">
        <is>
          <t>B0CCQ5Q8X7</t>
        </is>
      </c>
      <c r="U24" t="n">
        <v>2.55956382</v>
      </c>
      <c r="V24" t="n">
        <v>7.7</v>
      </c>
      <c r="W24" t="n">
        <v>12</v>
      </c>
      <c r="X24" t="inlineStr">
        <is>
          <t>196479358183</t>
        </is>
      </c>
      <c r="Y24" t="inlineStr">
        <is>
          <t>JI2910</t>
        </is>
      </c>
      <c r="Z24" t="inlineStr">
        <is>
          <t>NLK49</t>
        </is>
      </c>
      <c r="AA24" t="inlineStr">
        <is>
          <t>Wonder Quartz/Black/Wonder Beige</t>
        </is>
      </c>
      <c r="AB24" t="inlineStr">
        <is>
          <t>0196479358183</t>
        </is>
      </c>
      <c r="AC24" t="inlineStr">
        <is>
          <t>Amazon offer is in stock and shippable</t>
        </is>
      </c>
      <c r="AD24" t="inlineStr">
        <is>
          <t>adidas</t>
        </is>
      </c>
      <c r="AE24" t="inlineStr">
        <is>
          <t>10</t>
        </is>
      </c>
      <c r="AF24" t="inlineStr">
        <is>
          <t>https://m.media-amazon.com/images/I/51fIVPZyKRL.jpg;https://m.media-amazon.com/images/I/61ks5QGQMWL.jpg;https://m.media-amazon.com/images/I/51cV0wU1IPL.jpg;https://m.media-amazon.com/images/I/51OrLzk+rGL.jpg;https://m.media-amazon.com/images/I/61DygcpGkZL.jpg;https://m.media-amazon.com/images/I/61jtbXCOrCL.jpg</t>
        </is>
      </c>
      <c r="AG24" t="inlineStr">
        <is>
          <t>Description
adidas womens VL Court Bold</t>
        </is>
      </c>
    </row>
    <row r="25">
      <c r="A25" t="inlineStr">
        <is>
          <t>com</t>
        </is>
      </c>
      <c r="B25" t="inlineStr">
        <is>
          <t>B0CMS2VW1D</t>
        </is>
      </c>
      <c r="C25" t="inlineStr">
        <is>
          <t>adidas Women's VL Court Bold Sneaker, Wonder Quartz/Black/Wonder Beige, 11</t>
        </is>
      </c>
      <c r="D25" t="n">
        <v>80</v>
      </c>
      <c r="E25" t="n">
        <v>80</v>
      </c>
      <c r="F25" t="n">
        <v>124456</v>
      </c>
      <c r="G25" t="n">
        <v>610165</v>
      </c>
      <c r="H25" t="n">
        <v>78.37</v>
      </c>
      <c r="I25" t="n">
        <v>79.01000000000001</v>
      </c>
      <c r="J25" t="n">
        <v>0</v>
      </c>
      <c r="K25" t="n">
        <v>0.02</v>
      </c>
      <c r="L25" t="n">
        <v>2</v>
      </c>
      <c r="M25" t="n">
        <v>2</v>
      </c>
      <c r="N25" t="n">
        <v>3.6</v>
      </c>
      <c r="O25" t="n">
        <v>0</v>
      </c>
      <c r="P25" t="n">
        <v>5</v>
      </c>
      <c r="Q25" t="n">
        <v>41</v>
      </c>
      <c r="R25" t="n">
        <v>78</v>
      </c>
      <c r="S25" t="inlineStr">
        <is>
          <t>B0CCQ5Q8X7</t>
        </is>
      </c>
      <c r="U25" t="n">
        <v>2.5794054</v>
      </c>
      <c r="V25" t="n">
        <v>7.86</v>
      </c>
      <c r="W25" t="n">
        <v>12</v>
      </c>
      <c r="X25" t="inlineStr">
        <is>
          <t>196479358169</t>
        </is>
      </c>
      <c r="Y25" t="inlineStr">
        <is>
          <t>JI2910</t>
        </is>
      </c>
      <c r="Z25" t="inlineStr">
        <is>
          <t>NLK49</t>
        </is>
      </c>
      <c r="AA25" t="inlineStr">
        <is>
          <t>Wonder Quartz/Black/Wonder Beige</t>
        </is>
      </c>
      <c r="AB25" t="inlineStr">
        <is>
          <t>0196479358169</t>
        </is>
      </c>
      <c r="AC25" t="inlineStr">
        <is>
          <t>Amazon offer is in stock and shippable</t>
        </is>
      </c>
      <c r="AD25" t="inlineStr">
        <is>
          <t>adidas</t>
        </is>
      </c>
      <c r="AE25" t="inlineStr">
        <is>
          <t>11</t>
        </is>
      </c>
      <c r="AF25" t="inlineStr">
        <is>
          <t>https://m.media-amazon.com/images/I/51fIVPZyKRL.jpg;https://m.media-amazon.com/images/I/61ks5QGQMWL.jpg;https://m.media-amazon.com/images/I/51cV0wU1IPL.jpg;https://m.media-amazon.com/images/I/51OrLzk+rGL.jpg;https://m.media-amazon.com/images/I/61DygcpGkZL.jpg;https://m.media-amazon.com/images/I/61jtbXCOrCL.jpg</t>
        </is>
      </c>
      <c r="AG25" t="inlineStr">
        <is>
          <t>Description
adidas womens VL Court Bold</t>
        </is>
      </c>
    </row>
    <row r="26">
      <c r="A26" t="inlineStr">
        <is>
          <t>com</t>
        </is>
      </c>
      <c r="B26" t="inlineStr">
        <is>
          <t>B0CMGJ5TQW</t>
        </is>
      </c>
      <c r="C26" t="inlineStr">
        <is>
          <t>adidas Women's VL Court Bold Sneaker, Black/White/Clear Pink, 6</t>
        </is>
      </c>
      <c r="D26" t="n">
        <v>79.95</v>
      </c>
      <c r="E26" t="n">
        <v>79.95</v>
      </c>
      <c r="F26" t="n">
        <v>33534</v>
      </c>
      <c r="G26" t="n">
        <v>184710</v>
      </c>
      <c r="H26" t="n">
        <v>78.81</v>
      </c>
      <c r="I26" t="n">
        <v>78.81</v>
      </c>
      <c r="J26" t="n">
        <v>0.04</v>
      </c>
      <c r="K26" t="n">
        <v>0.04</v>
      </c>
      <c r="L26" t="n">
        <v>3</v>
      </c>
      <c r="M26" t="n">
        <v>4</v>
      </c>
      <c r="N26" t="n">
        <v>4.5</v>
      </c>
      <c r="O26" t="n">
        <v>0</v>
      </c>
      <c r="P26" t="n">
        <v>56</v>
      </c>
      <c r="Q26" t="n">
        <v>36</v>
      </c>
      <c r="R26" t="n">
        <v>64</v>
      </c>
      <c r="S26" t="inlineStr">
        <is>
          <t>B0DG337M34</t>
        </is>
      </c>
      <c r="U26" t="n">
        <v>1.92022402</v>
      </c>
      <c r="V26" t="n">
        <v>6.61</v>
      </c>
      <c r="W26" t="n">
        <v>11.99</v>
      </c>
      <c r="X26" t="inlineStr">
        <is>
          <t>197607002848</t>
        </is>
      </c>
      <c r="Y26" t="inlineStr">
        <is>
          <t>IH0754</t>
        </is>
      </c>
      <c r="Z26" t="inlineStr">
        <is>
          <t>NML95</t>
        </is>
      </c>
      <c r="AA26" t="inlineStr">
        <is>
          <t>Black/White/Clear Pink</t>
        </is>
      </c>
      <c r="AB26" t="inlineStr">
        <is>
          <t>0197607002848</t>
        </is>
      </c>
      <c r="AC26" t="inlineStr">
        <is>
          <t>Amazon offer is in stock and shippable</t>
        </is>
      </c>
      <c r="AD26" t="inlineStr">
        <is>
          <t>adidas</t>
        </is>
      </c>
      <c r="AE26" t="inlineStr">
        <is>
          <t>6</t>
        </is>
      </c>
      <c r="AF26" t="inlineStr">
        <is>
          <t>https://m.media-amazon.com/images/I/31gUbcB9mXL.jpg;https://m.media-amazon.com/images/I/318ZSW3vRiL.jpg;https://m.media-amazon.com/images/I/31Y3mXc4xML.jpg;https://m.media-amazon.com/images/I/31oknkUbTDL.jpg;https://m.media-amazon.com/images/I/31PomNHKm2L.jpg;https://m.media-amazon.com/images/I/41qyO7bp54L.jpg;https://m.media-amazon.com/images/I/31FawUssVpL.jpg</t>
        </is>
      </c>
      <c r="AG26" t="inlineStr">
        <is>
          <t>Make an entrance in these women's skate-inspired platform sneakers from adidas. Classic T-toe overlays lend an element of old-school heritage, while the platform outsole adds some vertical lift to your stylish profile. They've got a vintage look with the classic 3-Stripes on the sides, the perfect compliment to a sundress or jeans.</t>
        </is>
      </c>
    </row>
    <row r="27">
      <c r="A27" t="inlineStr">
        <is>
          <t>com</t>
        </is>
      </c>
      <c r="B27" t="inlineStr">
        <is>
          <t>B0CMGDHVMV</t>
        </is>
      </c>
      <c r="C27" t="inlineStr">
        <is>
          <t>adidas Women's VL Court Bold Sneaker, Black/White/Clear Pink, 6.5</t>
        </is>
      </c>
      <c r="D27" t="n">
        <v>79.95</v>
      </c>
      <c r="E27" t="n">
        <v>79.95</v>
      </c>
      <c r="F27" t="n">
        <v>32301</v>
      </c>
      <c r="G27" t="n">
        <v>200388</v>
      </c>
      <c r="H27" t="n">
        <v>78.52</v>
      </c>
      <c r="I27" t="n">
        <v>78.52</v>
      </c>
      <c r="J27" t="n">
        <v>0</v>
      </c>
      <c r="K27" t="n">
        <v>0</v>
      </c>
      <c r="L27" t="n">
        <v>5</v>
      </c>
      <c r="M27" t="n">
        <v>6</v>
      </c>
      <c r="N27" t="n">
        <v>4.4</v>
      </c>
      <c r="O27" t="n">
        <v>0</v>
      </c>
      <c r="P27" t="n">
        <v>56</v>
      </c>
      <c r="Q27" t="n">
        <v>34</v>
      </c>
      <c r="R27" t="n">
        <v>67</v>
      </c>
      <c r="S27" t="inlineStr">
        <is>
          <t>B0DG337M34</t>
        </is>
      </c>
      <c r="U27" t="n">
        <v>1.90038244</v>
      </c>
      <c r="V27" t="n">
        <v>6.61</v>
      </c>
      <c r="W27" t="n">
        <v>11.99</v>
      </c>
      <c r="X27" t="inlineStr">
        <is>
          <t>197607002800</t>
        </is>
      </c>
      <c r="Y27" t="inlineStr">
        <is>
          <t>IH0754</t>
        </is>
      </c>
      <c r="Z27" t="inlineStr">
        <is>
          <t>NML95</t>
        </is>
      </c>
      <c r="AA27" t="inlineStr">
        <is>
          <t>Black/White/Clear Pink</t>
        </is>
      </c>
      <c r="AB27" t="inlineStr">
        <is>
          <t>0197607002800</t>
        </is>
      </c>
      <c r="AC27" t="inlineStr">
        <is>
          <t>Amazon offer is in stock and shippable</t>
        </is>
      </c>
      <c r="AD27" t="inlineStr">
        <is>
          <t>adidas</t>
        </is>
      </c>
      <c r="AE27" t="inlineStr">
        <is>
          <t>6.5</t>
        </is>
      </c>
      <c r="AF27" t="inlineStr">
        <is>
          <t>https://m.media-amazon.com/images/I/31gUbcB9mXL.jpg;https://m.media-amazon.com/images/I/318ZSW3vRiL.jpg;https://m.media-amazon.com/images/I/31Y3mXc4xML.jpg;https://m.media-amazon.com/images/I/31oknkUbTDL.jpg;https://m.media-amazon.com/images/I/31PomNHKm2L.jpg;https://m.media-amazon.com/images/I/41qyO7bp54L.jpg;https://m.media-amazon.com/images/I/31FawUssVpL.jpg</t>
        </is>
      </c>
      <c r="AG27" t="inlineStr">
        <is>
          <t>Description
Make an entrance in these women's skate-inspired platform sneakers from adidas. Classic T-toe overlays lend an element of old-school heritage, while the platform outsole adds some vertical lift to your stylish profile. They've got a vintage look with the classic 3-Stripes on the sides, the perfect compliment to a sundress or jeans.</t>
        </is>
      </c>
    </row>
    <row r="28">
      <c r="A28" t="inlineStr">
        <is>
          <t>com</t>
        </is>
      </c>
      <c r="B28" t="inlineStr">
        <is>
          <t>B0CMGFK5VZ</t>
        </is>
      </c>
      <c r="C28" t="inlineStr">
        <is>
          <t>adidas Women's VL Court Bold Sneaker, Black/White/Clear Pink, 7</t>
        </is>
      </c>
      <c r="D28" t="n">
        <v>79.95</v>
      </c>
      <c r="E28" t="n">
        <v>79.95</v>
      </c>
      <c r="F28" t="n">
        <v>33534</v>
      </c>
      <c r="G28" t="n">
        <v>70339</v>
      </c>
      <c r="H28" t="n">
        <v>79.95</v>
      </c>
      <c r="I28" t="n">
        <v>79.95</v>
      </c>
      <c r="J28" t="n">
        <v>0</v>
      </c>
      <c r="K28" t="n">
        <v>0</v>
      </c>
      <c r="L28" t="n">
        <v>4</v>
      </c>
      <c r="M28" t="n">
        <v>5</v>
      </c>
      <c r="N28" t="n">
        <v>4.4</v>
      </c>
      <c r="O28" t="n">
        <v>0</v>
      </c>
      <c r="P28" t="n">
        <v>56</v>
      </c>
      <c r="Q28" t="n">
        <v>40</v>
      </c>
      <c r="R28" t="n">
        <v>76</v>
      </c>
      <c r="S28" t="inlineStr">
        <is>
          <t>B0DG337M34</t>
        </is>
      </c>
      <c r="U28" t="n">
        <v>1.9400656</v>
      </c>
      <c r="V28" t="n">
        <v>7.54</v>
      </c>
      <c r="W28" t="n">
        <v>11.99</v>
      </c>
      <c r="X28" t="inlineStr">
        <is>
          <t>197607002770</t>
        </is>
      </c>
      <c r="Y28" t="inlineStr">
        <is>
          <t>IH0754</t>
        </is>
      </c>
      <c r="Z28" t="inlineStr">
        <is>
          <t>NML95</t>
        </is>
      </c>
      <c r="AA28" t="inlineStr">
        <is>
          <t>Black/White/Clear Pink</t>
        </is>
      </c>
      <c r="AB28" t="inlineStr">
        <is>
          <t>0197607002770</t>
        </is>
      </c>
      <c r="AC28" t="inlineStr">
        <is>
          <t>Amazon offer is in stock and shippable</t>
        </is>
      </c>
      <c r="AD28" t="inlineStr">
        <is>
          <t>adidas</t>
        </is>
      </c>
      <c r="AE28" t="inlineStr">
        <is>
          <t>7</t>
        </is>
      </c>
      <c r="AF28"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28" t="inlineStr"/>
    </row>
    <row r="29">
      <c r="A29" t="inlineStr">
        <is>
          <t>com</t>
        </is>
      </c>
      <c r="B29" t="inlineStr">
        <is>
          <t>B0CMGJX23M</t>
        </is>
      </c>
      <c r="C29" t="inlineStr">
        <is>
          <t>adidas Women's VL Court Bold Sneaker, Black/White/Clear Pink, 7.5</t>
        </is>
      </c>
      <c r="D29" t="n">
        <v>79.95</v>
      </c>
      <c r="E29" t="n">
        <v>79.95</v>
      </c>
      <c r="F29" t="n">
        <v>32687</v>
      </c>
      <c r="G29" t="n">
        <v>181521</v>
      </c>
      <c r="H29" t="n">
        <v>78.64</v>
      </c>
      <c r="I29" t="n">
        <v>78.64</v>
      </c>
      <c r="J29" t="n">
        <v>0</v>
      </c>
      <c r="K29" t="n">
        <v>0.07000000000000001</v>
      </c>
      <c r="L29" t="n">
        <v>4</v>
      </c>
      <c r="M29" t="n">
        <v>5</v>
      </c>
      <c r="N29" t="n">
        <v>4.4</v>
      </c>
      <c r="O29" t="n">
        <v>0</v>
      </c>
      <c r="P29" t="n">
        <v>56</v>
      </c>
      <c r="Q29" t="n">
        <v>39</v>
      </c>
      <c r="R29" t="n">
        <v>78</v>
      </c>
      <c r="S29" t="inlineStr">
        <is>
          <t>B0DG337M34</t>
        </is>
      </c>
      <c r="U29" t="n">
        <v>2.01061344</v>
      </c>
      <c r="V29" t="n">
        <v>7.54</v>
      </c>
      <c r="W29" t="n">
        <v>11.99</v>
      </c>
      <c r="X29" t="inlineStr">
        <is>
          <t>197607002817</t>
        </is>
      </c>
      <c r="Y29" t="inlineStr">
        <is>
          <t>IH0754</t>
        </is>
      </c>
      <c r="Z29" t="inlineStr">
        <is>
          <t>NML95</t>
        </is>
      </c>
      <c r="AA29" t="inlineStr">
        <is>
          <t>Black/White/Clear Pink</t>
        </is>
      </c>
      <c r="AB29" t="inlineStr">
        <is>
          <t>0197607002817</t>
        </is>
      </c>
      <c r="AC29" t="inlineStr">
        <is>
          <t>Amazon offer is in stock and shippable</t>
        </is>
      </c>
      <c r="AD29" t="inlineStr">
        <is>
          <t>adidas</t>
        </is>
      </c>
      <c r="AE29" t="inlineStr">
        <is>
          <t>7.5</t>
        </is>
      </c>
      <c r="AF29"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29" t="inlineStr">
        <is>
          <t>Description
Make an entrance in these women's skate-inspired platform sneakers from adidas. Classic T-toe overlays lend an element of old-school heritage, while the platform outsole adds some vertical lift to your stylish profile. They've got a vintage look with the classic 3-Stripes on the sides, the perfect compliment to a sundress or jeans.</t>
        </is>
      </c>
    </row>
    <row r="30">
      <c r="A30" t="inlineStr">
        <is>
          <t>com</t>
        </is>
      </c>
      <c r="B30" t="inlineStr">
        <is>
          <t>B0CMGP56ZK</t>
        </is>
      </c>
      <c r="C30" t="inlineStr">
        <is>
          <t>adidas Women's VL Court Bold Sneaker, Black/White/Clear Pink, 8</t>
        </is>
      </c>
      <c r="D30" t="n">
        <v>79.95</v>
      </c>
      <c r="E30" t="n">
        <v>79.95</v>
      </c>
      <c r="F30" t="n">
        <v>33534</v>
      </c>
      <c r="G30" t="n">
        <v>43959</v>
      </c>
      <c r="H30" t="n">
        <v>79.95</v>
      </c>
      <c r="I30" t="n">
        <v>79.95</v>
      </c>
      <c r="J30" t="n">
        <v>0</v>
      </c>
      <c r="K30" t="n">
        <v>0</v>
      </c>
      <c r="L30" t="n">
        <v>4</v>
      </c>
      <c r="M30" t="n">
        <v>5</v>
      </c>
      <c r="N30" t="n">
        <v>4.4</v>
      </c>
      <c r="O30" t="n">
        <v>0</v>
      </c>
      <c r="P30" t="n">
        <v>56</v>
      </c>
      <c r="Q30" t="n">
        <v>36</v>
      </c>
      <c r="R30" t="n">
        <v>64</v>
      </c>
      <c r="S30" t="inlineStr">
        <is>
          <t>B0DG337M34</t>
        </is>
      </c>
      <c r="U30" t="n">
        <v>2.18036918</v>
      </c>
      <c r="V30" t="n">
        <v>7.62</v>
      </c>
      <c r="W30" t="n">
        <v>11.99</v>
      </c>
      <c r="X30" t="inlineStr">
        <is>
          <t>197607002763</t>
        </is>
      </c>
      <c r="Y30" t="inlineStr">
        <is>
          <t>IH0754</t>
        </is>
      </c>
      <c r="Z30" t="inlineStr">
        <is>
          <t>NML95</t>
        </is>
      </c>
      <c r="AA30" t="inlineStr">
        <is>
          <t>Black/White/Clear Pink</t>
        </is>
      </c>
      <c r="AB30" t="inlineStr">
        <is>
          <t>0197607002763</t>
        </is>
      </c>
      <c r="AC30" t="inlineStr">
        <is>
          <t>Amazon offer is in stock and shippable</t>
        </is>
      </c>
      <c r="AD30" t="inlineStr">
        <is>
          <t>adidas</t>
        </is>
      </c>
      <c r="AE30" t="inlineStr">
        <is>
          <t>8</t>
        </is>
      </c>
      <c r="AF30"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0" t="inlineStr"/>
    </row>
    <row r="31">
      <c r="A31" t="inlineStr">
        <is>
          <t>com</t>
        </is>
      </c>
      <c r="B31" t="inlineStr">
        <is>
          <t>B0CMGJ7X9R</t>
        </is>
      </c>
      <c r="C31" t="inlineStr">
        <is>
          <t>adidas Women's VL Court Bold Sneaker, Black/White/Clear Pink, 8.5</t>
        </is>
      </c>
      <c r="D31" t="n">
        <v>79.95</v>
      </c>
      <c r="E31" t="n">
        <v>79.95</v>
      </c>
      <c r="F31" t="n">
        <v>33534</v>
      </c>
      <c r="G31" t="n">
        <v>73961</v>
      </c>
      <c r="H31" t="n">
        <v>79.95</v>
      </c>
      <c r="I31" t="n">
        <v>79.95</v>
      </c>
      <c r="J31" t="n">
        <v>0</v>
      </c>
      <c r="K31" t="n">
        <v>0.3</v>
      </c>
      <c r="L31" t="n">
        <v>4</v>
      </c>
      <c r="M31" t="n">
        <v>5</v>
      </c>
      <c r="N31" t="n">
        <v>4.4</v>
      </c>
      <c r="O31" t="n">
        <v>0</v>
      </c>
      <c r="P31" t="n">
        <v>56</v>
      </c>
      <c r="Q31" t="n">
        <v>27</v>
      </c>
      <c r="R31" t="n">
        <v>49</v>
      </c>
      <c r="S31" t="inlineStr">
        <is>
          <t>B0DG337M34</t>
        </is>
      </c>
      <c r="U31" t="n">
        <v>2.08997976</v>
      </c>
      <c r="V31" t="n">
        <v>7.7</v>
      </c>
      <c r="W31" t="n">
        <v>11.99</v>
      </c>
      <c r="X31" t="inlineStr">
        <is>
          <t>197607002886</t>
        </is>
      </c>
      <c r="Y31" t="inlineStr">
        <is>
          <t>IH0754</t>
        </is>
      </c>
      <c r="Z31" t="inlineStr">
        <is>
          <t>NML95</t>
        </is>
      </c>
      <c r="AA31" t="inlineStr">
        <is>
          <t>Black/White/Clear Pink</t>
        </is>
      </c>
      <c r="AB31" t="inlineStr">
        <is>
          <t>0197607002886</t>
        </is>
      </c>
      <c r="AC31" t="inlineStr">
        <is>
          <t>no Amazon offer exists</t>
        </is>
      </c>
      <c r="AD31" t="inlineStr">
        <is>
          <t>adidas</t>
        </is>
      </c>
      <c r="AE31" t="inlineStr">
        <is>
          <t>8.5</t>
        </is>
      </c>
      <c r="AF31"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1" t="inlineStr"/>
    </row>
    <row r="32">
      <c r="A32" t="inlineStr">
        <is>
          <t>com</t>
        </is>
      </c>
      <c r="B32" t="inlineStr">
        <is>
          <t>B0CMGN46D4</t>
        </is>
      </c>
      <c r="C32" t="inlineStr">
        <is>
          <t>adidas Women's VL Court Bold Sneaker, Black/White/Clear Pink, 9</t>
        </is>
      </c>
      <c r="D32" t="n">
        <v>79.95</v>
      </c>
      <c r="E32" t="n">
        <v>79.95</v>
      </c>
      <c r="F32" t="n">
        <v>32687</v>
      </c>
      <c r="G32" t="n">
        <v>77990</v>
      </c>
      <c r="H32" t="n">
        <v>79.95</v>
      </c>
      <c r="I32" t="n">
        <v>79.95</v>
      </c>
      <c r="J32" t="n">
        <v>0</v>
      </c>
      <c r="K32" t="n">
        <v>0</v>
      </c>
      <c r="L32" t="n">
        <v>4</v>
      </c>
      <c r="M32" t="n">
        <v>5</v>
      </c>
      <c r="N32" t="n">
        <v>4.4</v>
      </c>
      <c r="O32" t="n">
        <v>0</v>
      </c>
      <c r="P32" t="n">
        <v>56</v>
      </c>
      <c r="Q32" t="n">
        <v>32</v>
      </c>
      <c r="R32" t="n">
        <v>52</v>
      </c>
      <c r="S32" t="inlineStr">
        <is>
          <t>B0DG337M34</t>
        </is>
      </c>
      <c r="U32" t="n">
        <v>2.23107544</v>
      </c>
      <c r="V32" t="n">
        <v>7.7</v>
      </c>
      <c r="W32" t="n">
        <v>11.99</v>
      </c>
      <c r="X32" t="inlineStr">
        <is>
          <t>197607002862</t>
        </is>
      </c>
      <c r="Y32" t="inlineStr">
        <is>
          <t>IH0754</t>
        </is>
      </c>
      <c r="Z32" t="inlineStr">
        <is>
          <t>NML95</t>
        </is>
      </c>
      <c r="AA32" t="inlineStr">
        <is>
          <t>Black/White/Clear Pink</t>
        </is>
      </c>
      <c r="AB32" t="inlineStr">
        <is>
          <t>0197607002862</t>
        </is>
      </c>
      <c r="AC32" t="inlineStr">
        <is>
          <t>Amazon offer is in stock and shippable</t>
        </is>
      </c>
      <c r="AD32" t="inlineStr">
        <is>
          <t>adidas</t>
        </is>
      </c>
      <c r="AE32" t="inlineStr">
        <is>
          <t>9</t>
        </is>
      </c>
      <c r="AF32"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2" t="inlineStr"/>
    </row>
    <row r="33">
      <c r="A33" t="inlineStr">
        <is>
          <t>com</t>
        </is>
      </c>
      <c r="B33" t="inlineStr">
        <is>
          <t>B0CMGVFP1R</t>
        </is>
      </c>
      <c r="C33" t="inlineStr">
        <is>
          <t>adidas Women's VL Court Bold Sneaker, Black/White/Clear Pink, 9.5</t>
        </is>
      </c>
      <c r="D33" t="n">
        <v>79.95</v>
      </c>
      <c r="E33" t="n">
        <v>79.95</v>
      </c>
      <c r="F33" t="n">
        <v>33534</v>
      </c>
      <c r="G33" t="n">
        <v>72853</v>
      </c>
      <c r="H33" t="n">
        <v>77.91</v>
      </c>
      <c r="I33" t="n">
        <v>77.91</v>
      </c>
      <c r="J33" t="n">
        <v>0</v>
      </c>
      <c r="K33" t="n">
        <v>0</v>
      </c>
      <c r="L33" t="n">
        <v>2</v>
      </c>
      <c r="M33" t="n">
        <v>3</v>
      </c>
      <c r="N33" t="n">
        <v>4.5</v>
      </c>
      <c r="O33" t="n">
        <v>0</v>
      </c>
      <c r="P33" t="n">
        <v>56</v>
      </c>
      <c r="Q33" t="n">
        <v>23</v>
      </c>
      <c r="R33" t="n">
        <v>43</v>
      </c>
      <c r="S33" t="inlineStr">
        <is>
          <t>B0DG337M34</t>
        </is>
      </c>
      <c r="U33" t="n">
        <v>2.5794054</v>
      </c>
      <c r="V33" t="n">
        <v>7.7</v>
      </c>
      <c r="W33" t="n">
        <v>11.99</v>
      </c>
      <c r="X33" t="inlineStr">
        <is>
          <t>197607002831</t>
        </is>
      </c>
      <c r="Y33" t="inlineStr">
        <is>
          <t>IH0754</t>
        </is>
      </c>
      <c r="Z33" t="inlineStr">
        <is>
          <t>NML95</t>
        </is>
      </c>
      <c r="AA33" t="inlineStr">
        <is>
          <t>Black/White/Clear Pink</t>
        </is>
      </c>
      <c r="AB33" t="inlineStr">
        <is>
          <t>0197607002831</t>
        </is>
      </c>
      <c r="AC33" t="inlineStr">
        <is>
          <t>Amazon offer is in stock and shippable</t>
        </is>
      </c>
      <c r="AD33" t="inlineStr">
        <is>
          <t>adidas</t>
        </is>
      </c>
      <c r="AE33" t="inlineStr">
        <is>
          <t>9.5</t>
        </is>
      </c>
      <c r="AF33"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3" t="inlineStr"/>
    </row>
    <row r="34">
      <c r="A34" t="inlineStr">
        <is>
          <t>com</t>
        </is>
      </c>
      <c r="B34" t="inlineStr">
        <is>
          <t>B0CMG7P89S</t>
        </is>
      </c>
      <c r="C34" t="inlineStr">
        <is>
          <t>adidas Women's VL Court Bold Sneaker, Black/White/Clear Pink, 10</t>
        </is>
      </c>
      <c r="D34" t="n">
        <v>79.95</v>
      </c>
      <c r="E34" t="n">
        <v>79.95</v>
      </c>
      <c r="F34" t="n">
        <v>33534</v>
      </c>
      <c r="G34" t="n">
        <v>44175</v>
      </c>
      <c r="H34" t="n">
        <v>79.95</v>
      </c>
      <c r="I34" t="n">
        <v>79.95</v>
      </c>
      <c r="J34" t="n">
        <v>0</v>
      </c>
      <c r="K34" t="n">
        <v>0</v>
      </c>
      <c r="L34" t="n">
        <v>4</v>
      </c>
      <c r="M34" t="n">
        <v>5</v>
      </c>
      <c r="N34" t="n">
        <v>4.4</v>
      </c>
      <c r="O34" t="n">
        <v>0</v>
      </c>
      <c r="P34" t="n">
        <v>56</v>
      </c>
      <c r="Q34" t="n">
        <v>29</v>
      </c>
      <c r="R34" t="n">
        <v>58</v>
      </c>
      <c r="S34" t="inlineStr">
        <is>
          <t>B0DG337M34</t>
        </is>
      </c>
      <c r="U34" t="n">
        <v>2.29060018</v>
      </c>
      <c r="V34" t="n">
        <v>7.7</v>
      </c>
      <c r="W34" t="n">
        <v>11.99</v>
      </c>
      <c r="X34" t="inlineStr">
        <is>
          <t>197607002787</t>
        </is>
      </c>
      <c r="Y34" t="inlineStr">
        <is>
          <t>IH0754</t>
        </is>
      </c>
      <c r="Z34" t="inlineStr">
        <is>
          <t>NML95</t>
        </is>
      </c>
      <c r="AA34" t="inlineStr">
        <is>
          <t>Black/White/Clear Pink</t>
        </is>
      </c>
      <c r="AB34" t="inlineStr">
        <is>
          <t>0197607002787</t>
        </is>
      </c>
      <c r="AC34" t="inlineStr">
        <is>
          <t>Amazon offer is in stock and shippable</t>
        </is>
      </c>
      <c r="AD34" t="inlineStr">
        <is>
          <t>adidas</t>
        </is>
      </c>
      <c r="AE34" t="inlineStr">
        <is>
          <t>10</t>
        </is>
      </c>
      <c r="AF34"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4" t="inlineStr"/>
    </row>
    <row r="35">
      <c r="A35" t="inlineStr">
        <is>
          <t>com</t>
        </is>
      </c>
      <c r="B35" t="inlineStr">
        <is>
          <t>B0CMG7P89V</t>
        </is>
      </c>
      <c r="C35" t="inlineStr">
        <is>
          <t>adidas Women's VL Court Bold Sneaker, Black/White/Clear Pink, 11</t>
        </is>
      </c>
      <c r="D35" t="n">
        <v>79.95</v>
      </c>
      <c r="E35" t="n">
        <v>79.95</v>
      </c>
      <c r="F35" t="n">
        <v>33534</v>
      </c>
      <c r="G35" t="n">
        <v>87525</v>
      </c>
      <c r="H35" t="n">
        <v>77.27</v>
      </c>
      <c r="I35" t="n">
        <v>77.27</v>
      </c>
      <c r="J35" t="n">
        <v>0</v>
      </c>
      <c r="K35" t="n">
        <v>0</v>
      </c>
      <c r="L35" t="n">
        <v>2</v>
      </c>
      <c r="M35" t="n">
        <v>3</v>
      </c>
      <c r="N35" t="n">
        <v>4.5</v>
      </c>
      <c r="O35" t="n">
        <v>0</v>
      </c>
      <c r="P35" t="n">
        <v>55</v>
      </c>
      <c r="Q35" t="n">
        <v>36</v>
      </c>
      <c r="R35" t="n">
        <v>67</v>
      </c>
      <c r="S35" t="inlineStr">
        <is>
          <t>B0DG337M34</t>
        </is>
      </c>
      <c r="U35" t="n">
        <v>2.66979482</v>
      </c>
      <c r="V35" t="n">
        <v>7.86</v>
      </c>
      <c r="W35" t="n">
        <v>11.99</v>
      </c>
      <c r="X35" t="inlineStr">
        <is>
          <t>197607002879</t>
        </is>
      </c>
      <c r="Y35" t="inlineStr">
        <is>
          <t>IH0754</t>
        </is>
      </c>
      <c r="Z35" t="inlineStr">
        <is>
          <t>NML95</t>
        </is>
      </c>
      <c r="AA35" t="inlineStr">
        <is>
          <t>Black/White/Clear Pink</t>
        </is>
      </c>
      <c r="AB35" t="inlineStr">
        <is>
          <t>0197607002879</t>
        </is>
      </c>
      <c r="AC35" t="inlineStr">
        <is>
          <t>Amazon offer is in stock and shippable</t>
        </is>
      </c>
      <c r="AD35" t="inlineStr">
        <is>
          <t>adidas</t>
        </is>
      </c>
      <c r="AE35" t="inlineStr">
        <is>
          <t>11</t>
        </is>
      </c>
      <c r="AF35" t="inlineStr">
        <is>
          <t>https://m.media-amazon.com/images/I/61SfWjeC5tL.jpg;https://m.media-amazon.com/images/I/719K1jsGXaL.jpg;https://m.media-amazon.com/images/I/51MqIYlACkL.jpg;https://m.media-amazon.com/images/I/61LUBQ4UWoL.jpg;https://m.media-amazon.com/images/I/61cRKa6X8TL.jpg;https://m.media-amazon.com/images/I/71c+PVR9fIL.jpg;https://m.media-amazon.com/images/I/61q972+ORIL.jpg</t>
        </is>
      </c>
      <c r="AG35" t="inlineStr"/>
    </row>
    <row r="36">
      <c r="A36" t="inlineStr">
        <is>
          <t>com</t>
        </is>
      </c>
      <c r="B36" t="inlineStr">
        <is>
          <t>B0CCQ15K5H</t>
        </is>
      </c>
      <c r="C36" t="inlineStr">
        <is>
          <t>adidas Women's VL Court Bold Sneaker, Wonder Quartz/White/White, 5</t>
        </is>
      </c>
      <c r="D36" t="n">
        <v>79.98999999999999</v>
      </c>
      <c r="E36" t="n">
        <v>79.98999999999999</v>
      </c>
      <c r="F36" t="n">
        <v>35359</v>
      </c>
      <c r="G36" t="n">
        <v>49956</v>
      </c>
      <c r="H36" t="n">
        <v>65.86</v>
      </c>
      <c r="I36" t="n">
        <v>72.58</v>
      </c>
      <c r="J36" t="n">
        <v>0.43</v>
      </c>
      <c r="K36" t="n">
        <v>0.91</v>
      </c>
      <c r="L36" t="n">
        <v>1</v>
      </c>
      <c r="N36" t="n">
        <v>4.5</v>
      </c>
      <c r="O36" t="n">
        <v>1</v>
      </c>
      <c r="P36" t="n">
        <v>53</v>
      </c>
      <c r="Q36" t="n">
        <v>17</v>
      </c>
      <c r="R36" t="n">
        <v>57</v>
      </c>
      <c r="S36" t="inlineStr">
        <is>
          <t>B0DG337M34</t>
        </is>
      </c>
      <c r="U36" t="n">
        <v>1.9400656</v>
      </c>
      <c r="V36" t="n">
        <v>6.61</v>
      </c>
      <c r="W36" t="n">
        <v>12</v>
      </c>
      <c r="X36" t="inlineStr">
        <is>
          <t>196478047170</t>
        </is>
      </c>
      <c r="Y36" t="inlineStr">
        <is>
          <t>NLK49</t>
        </is>
      </c>
      <c r="Z36" t="inlineStr">
        <is>
          <t>NLK49</t>
        </is>
      </c>
      <c r="AA36" t="inlineStr">
        <is>
          <t>Wonder Quartz/White/White</t>
        </is>
      </c>
      <c r="AB36" t="inlineStr">
        <is>
          <t>0196478047170</t>
        </is>
      </c>
      <c r="AC36" t="inlineStr">
        <is>
          <t>Amazon offer is back-ordered</t>
        </is>
      </c>
      <c r="AD36" t="inlineStr">
        <is>
          <t>adidas</t>
        </is>
      </c>
      <c r="AE36" t="inlineStr">
        <is>
          <t>5</t>
        </is>
      </c>
      <c r="AF36" t="inlineStr">
        <is>
          <t>https://m.media-amazon.com/images/I/41w-3GTyxwL.jpg;https://m.media-amazon.com/images/I/31ofPrDyn2L.jpg;https://m.media-amazon.com/images/I/31OSWe0kEiL.jpg;https://m.media-amazon.com/images/I/312fG9Z8BpL.jpg;https://m.media-amazon.com/images/I/413EsUn0eJL.jpg;https://m.media-amazon.com/images/I/3169p-Vd78L.jpg;https://m.media-amazon.com/images/I/31NCPe0fJML.jpg</t>
        </is>
      </c>
      <c r="AG36" t="inlineStr">
        <is>
          <t>Description
adidas womens VL Court Bold</t>
        </is>
      </c>
    </row>
    <row r="37">
      <c r="A37" t="inlineStr">
        <is>
          <t>com</t>
        </is>
      </c>
      <c r="B37" t="inlineStr">
        <is>
          <t>B0CCQ149M3</t>
        </is>
      </c>
      <c r="C37" t="inlineStr">
        <is>
          <t>adidas Women's VL Court Bold Sneaker, Wonder Quartz/White/White, 5.5</t>
        </is>
      </c>
      <c r="D37" t="n">
        <v>79.98999999999999</v>
      </c>
      <c r="E37" t="n">
        <v>79.98999999999999</v>
      </c>
      <c r="F37" t="n">
        <v>36477</v>
      </c>
      <c r="G37" t="n">
        <v>50439</v>
      </c>
      <c r="H37" t="n">
        <v>64.13</v>
      </c>
      <c r="I37" t="n">
        <v>72.16</v>
      </c>
      <c r="J37" t="n">
        <v>0.19</v>
      </c>
      <c r="K37" t="n">
        <v>0.92</v>
      </c>
      <c r="L37" t="n">
        <v>1</v>
      </c>
      <c r="M37" t="n">
        <v>1</v>
      </c>
      <c r="N37" t="n">
        <v>4.5</v>
      </c>
      <c r="O37" t="n">
        <v>1</v>
      </c>
      <c r="P37" t="n">
        <v>56</v>
      </c>
      <c r="Q37" t="n">
        <v>17</v>
      </c>
      <c r="R37" t="n">
        <v>51</v>
      </c>
      <c r="S37" t="inlineStr">
        <is>
          <t>B0DG337M34</t>
        </is>
      </c>
      <c r="U37" t="n">
        <v>1.97974876</v>
      </c>
      <c r="V37" t="n">
        <v>6.61</v>
      </c>
      <c r="W37" t="n">
        <v>12</v>
      </c>
      <c r="X37" t="inlineStr">
        <is>
          <t>196478047163</t>
        </is>
      </c>
      <c r="Y37" t="inlineStr">
        <is>
          <t>NLK49</t>
        </is>
      </c>
      <c r="Z37" t="inlineStr">
        <is>
          <t>NLK49</t>
        </is>
      </c>
      <c r="AA37" t="inlineStr">
        <is>
          <t>Wonder Quartz/White/White</t>
        </is>
      </c>
      <c r="AB37" t="inlineStr">
        <is>
          <t>0196478047163</t>
        </is>
      </c>
      <c r="AC37" t="inlineStr">
        <is>
          <t>Amazon offer is back-ordered</t>
        </is>
      </c>
      <c r="AD37" t="inlineStr">
        <is>
          <t>adidas</t>
        </is>
      </c>
      <c r="AE37" t="inlineStr">
        <is>
          <t>5.5</t>
        </is>
      </c>
      <c r="AF37"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37" t="inlineStr">
        <is>
          <t>adidas womens VL Court Bold</t>
        </is>
      </c>
    </row>
    <row r="38">
      <c r="A38" t="inlineStr">
        <is>
          <t>com</t>
        </is>
      </c>
      <c r="B38" t="inlineStr">
        <is>
          <t>B0CCQTLV8F</t>
        </is>
      </c>
      <c r="C38" t="inlineStr">
        <is>
          <t>adidas Women's VL Court Bold Sneaker, Wonder Quartz/White/White, 6.5</t>
        </is>
      </c>
      <c r="D38" t="n">
        <v>79.98999999999999</v>
      </c>
      <c r="E38" t="n">
        <v>79.98999999999999</v>
      </c>
      <c r="F38" t="n">
        <v>32687</v>
      </c>
      <c r="G38" t="n">
        <v>48763</v>
      </c>
      <c r="H38" t="n">
        <v>71.56999999999999</v>
      </c>
      <c r="I38" t="n">
        <v>73.29000000000001</v>
      </c>
      <c r="J38" t="n">
        <v>0</v>
      </c>
      <c r="K38" t="n">
        <v>0.9399999999999999</v>
      </c>
      <c r="L38" t="n">
        <v>4</v>
      </c>
      <c r="M38" t="n">
        <v>5</v>
      </c>
      <c r="N38" t="n">
        <v>4.5</v>
      </c>
      <c r="O38" t="n">
        <v>0</v>
      </c>
      <c r="P38" t="n">
        <v>55</v>
      </c>
      <c r="Q38" t="n">
        <v>19</v>
      </c>
      <c r="R38" t="n">
        <v>64</v>
      </c>
      <c r="S38" t="inlineStr">
        <is>
          <t>B0DG337M34</t>
        </is>
      </c>
      <c r="U38" t="n">
        <v>2.14068602</v>
      </c>
      <c r="V38" t="n">
        <v>7.78</v>
      </c>
      <c r="W38" t="n">
        <v>12</v>
      </c>
      <c r="X38" t="inlineStr">
        <is>
          <t>196478047156</t>
        </is>
      </c>
      <c r="Y38" t="inlineStr">
        <is>
          <t>NLK49</t>
        </is>
      </c>
      <c r="Z38" t="inlineStr">
        <is>
          <t>NLK49</t>
        </is>
      </c>
      <c r="AA38" t="inlineStr">
        <is>
          <t>Wonder Quartz/White/White</t>
        </is>
      </c>
      <c r="AB38" t="inlineStr">
        <is>
          <t>0196478047156</t>
        </is>
      </c>
      <c r="AC38" t="inlineStr">
        <is>
          <t>Amazon offer is back-ordered</t>
        </is>
      </c>
      <c r="AD38" t="inlineStr">
        <is>
          <t>adidas</t>
        </is>
      </c>
      <c r="AE38" t="inlineStr">
        <is>
          <t>6.5</t>
        </is>
      </c>
      <c r="AF38"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38" t="inlineStr">
        <is>
          <t>Description
adidas womens VL Court Bold</t>
        </is>
      </c>
    </row>
    <row r="39">
      <c r="A39" t="inlineStr">
        <is>
          <t>com</t>
        </is>
      </c>
      <c r="B39" t="inlineStr">
        <is>
          <t>B0CCQ1PYRV</t>
        </is>
      </c>
      <c r="C39" t="inlineStr">
        <is>
          <t>adidas Women's VL Court Bold Sneaker, Wonder Quartz/White/White, 7</t>
        </is>
      </c>
      <c r="D39" t="n">
        <v>79.98999999999999</v>
      </c>
      <c r="E39" t="n">
        <v>79.98999999999999</v>
      </c>
      <c r="F39" t="n">
        <v>33534</v>
      </c>
      <c r="G39" t="n">
        <v>47622</v>
      </c>
      <c r="H39" t="n">
        <v>79.98999999999999</v>
      </c>
      <c r="I39" t="n">
        <v>72.59</v>
      </c>
      <c r="J39" t="n">
        <v>0</v>
      </c>
      <c r="K39" t="n">
        <v>0.97</v>
      </c>
      <c r="L39" t="n">
        <v>4</v>
      </c>
      <c r="M39" t="n">
        <v>6</v>
      </c>
      <c r="N39" t="n">
        <v>4.4</v>
      </c>
      <c r="O39" t="n">
        <v>0</v>
      </c>
      <c r="P39" t="n">
        <v>56</v>
      </c>
      <c r="Q39" t="n">
        <v>25</v>
      </c>
      <c r="R39" t="n">
        <v>72</v>
      </c>
      <c r="S39" t="inlineStr">
        <is>
          <t>B0DG337M34</t>
        </is>
      </c>
      <c r="U39" t="n">
        <v>2.20021076</v>
      </c>
      <c r="V39" t="n">
        <v>7.54</v>
      </c>
      <c r="W39" t="n">
        <v>12</v>
      </c>
      <c r="X39" t="inlineStr">
        <is>
          <t>196478047088</t>
        </is>
      </c>
      <c r="Y39" t="inlineStr">
        <is>
          <t>NLK49</t>
        </is>
      </c>
      <c r="Z39" t="inlineStr">
        <is>
          <t>NLK49</t>
        </is>
      </c>
      <c r="AA39" t="inlineStr">
        <is>
          <t>Wonder Quartz/White/White</t>
        </is>
      </c>
      <c r="AB39" t="inlineStr">
        <is>
          <t>0196478047088</t>
        </is>
      </c>
      <c r="AC39" t="inlineStr">
        <is>
          <t>Amazon offer is back-ordered</t>
        </is>
      </c>
      <c r="AD39" t="inlineStr">
        <is>
          <t>adidas</t>
        </is>
      </c>
      <c r="AE39" t="inlineStr">
        <is>
          <t>7</t>
        </is>
      </c>
      <c r="AF39"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39" t="inlineStr">
        <is>
          <t>Description
adidas womens VL Court Bold</t>
        </is>
      </c>
    </row>
    <row r="40">
      <c r="A40" t="inlineStr">
        <is>
          <t>com</t>
        </is>
      </c>
      <c r="B40" t="inlineStr">
        <is>
          <t>B0CCQCFSGY</t>
        </is>
      </c>
      <c r="C40" t="inlineStr">
        <is>
          <t>adidas Women's VL Court Bold Sneaker, Wonder Quartz/White/White, 7.5</t>
        </is>
      </c>
      <c r="D40" t="n">
        <v>94.22</v>
      </c>
      <c r="E40" t="n">
        <v>94.22</v>
      </c>
      <c r="F40" t="n">
        <v>33534</v>
      </c>
      <c r="G40" t="n">
        <v>48583</v>
      </c>
      <c r="H40" t="n">
        <v>78.91</v>
      </c>
      <c r="I40" t="n">
        <v>73.2</v>
      </c>
      <c r="J40" t="n">
        <v>0</v>
      </c>
      <c r="K40" t="n">
        <v>0.86</v>
      </c>
      <c r="L40" t="n">
        <v>5</v>
      </c>
      <c r="M40" t="n">
        <v>4</v>
      </c>
      <c r="N40" t="n">
        <v>4.5</v>
      </c>
      <c r="O40" t="n">
        <v>1</v>
      </c>
      <c r="P40" t="n">
        <v>56</v>
      </c>
      <c r="Q40" t="n">
        <v>25</v>
      </c>
      <c r="R40" t="n">
        <v>74</v>
      </c>
      <c r="S40" t="inlineStr">
        <is>
          <t>B0DG337M34</t>
        </is>
      </c>
      <c r="U40" t="n">
        <v>2.25091702</v>
      </c>
      <c r="V40" t="n">
        <v>7.62</v>
      </c>
      <c r="W40" t="inlineStr"/>
      <c r="X40" t="inlineStr">
        <is>
          <t>196478047132</t>
        </is>
      </c>
      <c r="Y40" t="inlineStr">
        <is>
          <t>NLK49</t>
        </is>
      </c>
      <c r="Z40" t="inlineStr">
        <is>
          <t>NLK49</t>
        </is>
      </c>
      <c r="AA40" t="inlineStr">
        <is>
          <t>Wonder Quartz/White/White</t>
        </is>
      </c>
      <c r="AB40" t="inlineStr">
        <is>
          <t>0196478047132</t>
        </is>
      </c>
      <c r="AC40" t="inlineStr">
        <is>
          <t>no Amazon offer exists</t>
        </is>
      </c>
      <c r="AD40" t="inlineStr">
        <is>
          <t>adidas</t>
        </is>
      </c>
      <c r="AE40" t="inlineStr">
        <is>
          <t>7.5</t>
        </is>
      </c>
      <c r="AF40"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0" t="inlineStr">
        <is>
          <t>Description
adidas womens VL Court Bold</t>
        </is>
      </c>
    </row>
    <row r="41">
      <c r="A41" t="inlineStr">
        <is>
          <t>com</t>
        </is>
      </c>
      <c r="B41" t="inlineStr">
        <is>
          <t>B0CCQD2FKK</t>
        </is>
      </c>
      <c r="C41" t="inlineStr">
        <is>
          <t>adidas Women's VL Court Bold Sneaker, Wonder Quartz/White/White, 8</t>
        </is>
      </c>
      <c r="D41" t="n">
        <v>79.98999999999999</v>
      </c>
      <c r="E41" t="n">
        <v>79.98999999999999</v>
      </c>
      <c r="F41" t="n">
        <v>32687</v>
      </c>
      <c r="G41" t="n">
        <v>48396</v>
      </c>
      <c r="H41" t="n">
        <v>80</v>
      </c>
      <c r="I41" t="n">
        <v>74.25</v>
      </c>
      <c r="J41" t="n">
        <v>0</v>
      </c>
      <c r="K41" t="n">
        <v>0.93</v>
      </c>
      <c r="L41" t="n">
        <v>7</v>
      </c>
      <c r="M41" t="n">
        <v>8</v>
      </c>
      <c r="N41" t="n">
        <v>4.5</v>
      </c>
      <c r="O41" t="n">
        <v>0</v>
      </c>
      <c r="P41" t="n">
        <v>53</v>
      </c>
      <c r="Q41" t="n">
        <v>24</v>
      </c>
      <c r="R41" t="n">
        <v>75</v>
      </c>
      <c r="S41" t="inlineStr">
        <is>
          <t>B0DG337M34</t>
        </is>
      </c>
      <c r="U41" t="n">
        <v>2.33910182</v>
      </c>
      <c r="V41" t="n">
        <v>7.54</v>
      </c>
      <c r="W41" t="n">
        <v>12</v>
      </c>
      <c r="X41" t="inlineStr">
        <is>
          <t>196478047118</t>
        </is>
      </c>
      <c r="Y41" t="inlineStr">
        <is>
          <t>NLK49</t>
        </is>
      </c>
      <c r="Z41" t="inlineStr">
        <is>
          <t>NLK49</t>
        </is>
      </c>
      <c r="AA41" t="inlineStr">
        <is>
          <t>Wonder Quartz/White/White</t>
        </is>
      </c>
      <c r="AB41" t="inlineStr">
        <is>
          <t>0196478047118</t>
        </is>
      </c>
      <c r="AC41" t="inlineStr">
        <is>
          <t>Amazon offer is back-ordered</t>
        </is>
      </c>
      <c r="AD41" t="inlineStr">
        <is>
          <t>adidas</t>
        </is>
      </c>
      <c r="AE41" t="inlineStr">
        <is>
          <t>8</t>
        </is>
      </c>
      <c r="AF41"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1" t="inlineStr">
        <is>
          <t>Description
adidas womens VL Court Bold</t>
        </is>
      </c>
    </row>
    <row r="42">
      <c r="A42" t="inlineStr">
        <is>
          <t>com</t>
        </is>
      </c>
      <c r="B42" t="inlineStr">
        <is>
          <t>B0CCQLXW8T</t>
        </is>
      </c>
      <c r="C42" t="inlineStr">
        <is>
          <t>adidas Women's VL Court Bold Sneaker, Wonder Quartz/White/White, 8.5</t>
        </is>
      </c>
      <c r="D42" t="n">
        <v>79.98999999999999</v>
      </c>
      <c r="E42" t="n">
        <v>79.98999999999999</v>
      </c>
      <c r="F42" t="n">
        <v>32687</v>
      </c>
      <c r="G42" t="n">
        <v>47691</v>
      </c>
      <c r="H42" t="n">
        <v>79.98999999999999</v>
      </c>
      <c r="I42" t="n">
        <v>73.17</v>
      </c>
      <c r="J42" t="n">
        <v>0</v>
      </c>
      <c r="K42" t="n">
        <v>0.97</v>
      </c>
      <c r="L42" t="n">
        <v>4</v>
      </c>
      <c r="M42" t="n">
        <v>4</v>
      </c>
      <c r="N42" t="n">
        <v>4.5</v>
      </c>
      <c r="O42" t="n">
        <v>2</v>
      </c>
      <c r="P42" t="n">
        <v>55</v>
      </c>
      <c r="Q42" t="n">
        <v>20</v>
      </c>
      <c r="R42" t="n">
        <v>63</v>
      </c>
      <c r="S42" t="inlineStr">
        <is>
          <t>B0DG337M34</t>
        </is>
      </c>
      <c r="U42" t="n">
        <v>2.36555726</v>
      </c>
      <c r="V42" t="n">
        <v>7.86</v>
      </c>
      <c r="W42" t="n">
        <v>12</v>
      </c>
      <c r="X42" t="inlineStr">
        <is>
          <t>196478047101</t>
        </is>
      </c>
      <c r="Y42" t="inlineStr">
        <is>
          <t>NLK49</t>
        </is>
      </c>
      <c r="Z42" t="inlineStr">
        <is>
          <t>NLK49</t>
        </is>
      </c>
      <c r="AA42" t="inlineStr">
        <is>
          <t>Wonder Quartz/White/White</t>
        </is>
      </c>
      <c r="AB42" t="inlineStr">
        <is>
          <t>0196478047101</t>
        </is>
      </c>
      <c r="AC42" t="inlineStr">
        <is>
          <t>Amazon offer is back-ordered</t>
        </is>
      </c>
      <c r="AD42" t="inlineStr">
        <is>
          <t>adidas</t>
        </is>
      </c>
      <c r="AE42" t="inlineStr">
        <is>
          <t>8.5</t>
        </is>
      </c>
      <c r="AF42"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2" t="inlineStr">
        <is>
          <t>Description
adidas womens VL Court Bold</t>
        </is>
      </c>
    </row>
    <row r="43">
      <c r="A43" t="inlineStr">
        <is>
          <t>com</t>
        </is>
      </c>
      <c r="B43" t="inlineStr">
        <is>
          <t>B0CCQFYDS6</t>
        </is>
      </c>
      <c r="C43" t="inlineStr">
        <is>
          <t>adidas Women's VL Court Bold Sneaker, Wonder Quartz/White/White, 9</t>
        </is>
      </c>
      <c r="D43" t="n">
        <v>79.98999999999999</v>
      </c>
      <c r="E43" t="n">
        <v>79.98999999999999</v>
      </c>
      <c r="F43" t="n">
        <v>33534</v>
      </c>
      <c r="G43" t="n">
        <v>49904</v>
      </c>
      <c r="H43" t="n">
        <v>78.66</v>
      </c>
      <c r="I43" t="n">
        <v>75.11</v>
      </c>
      <c r="J43" t="n">
        <v>0</v>
      </c>
      <c r="K43" t="n">
        <v>0.91</v>
      </c>
      <c r="L43" t="n">
        <v>5</v>
      </c>
      <c r="M43" t="n">
        <v>8</v>
      </c>
      <c r="N43" t="n">
        <v>4.5</v>
      </c>
      <c r="O43" t="n">
        <v>1</v>
      </c>
      <c r="P43" t="n">
        <v>54</v>
      </c>
      <c r="Q43" t="n">
        <v>29</v>
      </c>
      <c r="R43" t="n">
        <v>72</v>
      </c>
      <c r="S43" t="inlineStr">
        <is>
          <t>B0DG337M34</t>
        </is>
      </c>
      <c r="U43" t="n">
        <v>2.3809896</v>
      </c>
      <c r="V43" t="n">
        <v>7.78</v>
      </c>
      <c r="W43" t="n">
        <v>12</v>
      </c>
      <c r="X43" t="inlineStr">
        <is>
          <t>196478047095</t>
        </is>
      </c>
      <c r="Y43" t="inlineStr">
        <is>
          <t>NLK49</t>
        </is>
      </c>
      <c r="Z43" t="inlineStr">
        <is>
          <t>NLK49</t>
        </is>
      </c>
      <c r="AA43" t="inlineStr">
        <is>
          <t>Wonder Quartz/White/White</t>
        </is>
      </c>
      <c r="AB43" t="inlineStr">
        <is>
          <t>0196478047095</t>
        </is>
      </c>
      <c r="AC43" t="inlineStr">
        <is>
          <t>Amazon offer is back-ordered</t>
        </is>
      </c>
      <c r="AD43" t="inlineStr">
        <is>
          <t>adidas</t>
        </is>
      </c>
      <c r="AE43" t="inlineStr">
        <is>
          <t>9</t>
        </is>
      </c>
      <c r="AF43"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3" t="inlineStr">
        <is>
          <t>Description
adidas womens VL Court Bold</t>
        </is>
      </c>
    </row>
    <row r="44">
      <c r="A44" t="inlineStr">
        <is>
          <t>com</t>
        </is>
      </c>
      <c r="B44" t="inlineStr">
        <is>
          <t>B0CCQDLGF8</t>
        </is>
      </c>
      <c r="C44" t="inlineStr">
        <is>
          <t>adidas Women's VL Court Bold Sneaker, Wonder Quartz/White/White, 9.5</t>
        </is>
      </c>
      <c r="D44" t="n">
        <v>79.98999999999999</v>
      </c>
      <c r="E44" t="n">
        <v>79.98999999999999</v>
      </c>
      <c r="F44" t="n">
        <v>33534</v>
      </c>
      <c r="G44" t="n">
        <v>48011</v>
      </c>
      <c r="H44" t="n">
        <v>75.53</v>
      </c>
      <c r="I44" t="n">
        <v>75.05</v>
      </c>
      <c r="J44" t="n">
        <v>0.08</v>
      </c>
      <c r="K44" t="n">
        <v>0.46</v>
      </c>
      <c r="L44" t="n">
        <v>3</v>
      </c>
      <c r="M44" t="n">
        <v>2</v>
      </c>
      <c r="N44" t="n">
        <v>4.5</v>
      </c>
      <c r="O44" t="n">
        <v>0</v>
      </c>
      <c r="P44" t="n">
        <v>56</v>
      </c>
      <c r="Q44" t="n">
        <v>37</v>
      </c>
      <c r="R44" t="n">
        <v>86</v>
      </c>
      <c r="S44" t="inlineStr">
        <is>
          <t>B0DG337M34</t>
        </is>
      </c>
      <c r="U44" t="n">
        <v>2.5794054</v>
      </c>
      <c r="V44" t="n">
        <v>7.7</v>
      </c>
      <c r="W44" t="n">
        <v>12</v>
      </c>
      <c r="X44" t="inlineStr">
        <is>
          <t>196478047071</t>
        </is>
      </c>
      <c r="Y44" t="inlineStr">
        <is>
          <t>NLK49</t>
        </is>
      </c>
      <c r="Z44" t="inlineStr">
        <is>
          <t>NLK49</t>
        </is>
      </c>
      <c r="AA44" t="inlineStr">
        <is>
          <t>Wonder Quartz/White/White</t>
        </is>
      </c>
      <c r="AB44" t="inlineStr">
        <is>
          <t>0196478047071</t>
        </is>
      </c>
      <c r="AC44" t="inlineStr">
        <is>
          <t>Amazon offer is back-ordered</t>
        </is>
      </c>
      <c r="AD44" t="inlineStr">
        <is>
          <t>adidas</t>
        </is>
      </c>
      <c r="AE44" t="inlineStr">
        <is>
          <t>9.5</t>
        </is>
      </c>
      <c r="AF44"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4" t="inlineStr">
        <is>
          <t>adidas womens VL Court Bold</t>
        </is>
      </c>
    </row>
    <row r="45">
      <c r="A45" t="inlineStr">
        <is>
          <t>com</t>
        </is>
      </c>
      <c r="B45" t="inlineStr">
        <is>
          <t>B0CCQWDNYZ</t>
        </is>
      </c>
      <c r="C45" t="inlineStr">
        <is>
          <t>adidas Women's VL Court Bold Sneaker, Wonder Quartz/White/White, 10</t>
        </is>
      </c>
      <c r="D45" t="n">
        <v>79.98999999999999</v>
      </c>
      <c r="E45" t="n">
        <v>79.98999999999999</v>
      </c>
      <c r="F45" t="n">
        <v>33534</v>
      </c>
      <c r="G45" t="n">
        <v>48226</v>
      </c>
      <c r="H45" t="n">
        <v>77.53</v>
      </c>
      <c r="I45" t="n">
        <v>75.89</v>
      </c>
      <c r="J45" t="n">
        <v>0</v>
      </c>
      <c r="K45" t="n">
        <v>0.37</v>
      </c>
      <c r="L45" t="n">
        <v>2</v>
      </c>
      <c r="M45" t="n">
        <v>1</v>
      </c>
      <c r="N45" t="n">
        <v>4.5</v>
      </c>
      <c r="O45" t="n">
        <v>0</v>
      </c>
      <c r="P45" t="n">
        <v>56</v>
      </c>
      <c r="Q45" t="n">
        <v>26</v>
      </c>
      <c r="R45" t="n">
        <v>100</v>
      </c>
      <c r="S45" t="inlineStr">
        <is>
          <t>B0DG337M34</t>
        </is>
      </c>
      <c r="U45" t="n">
        <v>2.55956382</v>
      </c>
      <c r="V45" t="n">
        <v>7.7</v>
      </c>
      <c r="W45" t="n">
        <v>12</v>
      </c>
      <c r="X45" t="inlineStr">
        <is>
          <t>196478047057</t>
        </is>
      </c>
      <c r="Y45" t="inlineStr">
        <is>
          <t>NLK49</t>
        </is>
      </c>
      <c r="Z45" t="inlineStr">
        <is>
          <t>NLK49</t>
        </is>
      </c>
      <c r="AA45" t="inlineStr">
        <is>
          <t>Wonder Quartz/White/White</t>
        </is>
      </c>
      <c r="AB45" t="inlineStr">
        <is>
          <t>0196478047057</t>
        </is>
      </c>
      <c r="AC45" t="inlineStr">
        <is>
          <t>Amazon offer is in stock and shippable</t>
        </is>
      </c>
      <c r="AD45" t="inlineStr">
        <is>
          <t>adidas</t>
        </is>
      </c>
      <c r="AE45" t="inlineStr">
        <is>
          <t>10</t>
        </is>
      </c>
      <c r="AF45"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5" t="inlineStr">
        <is>
          <t>Description
adidas womens VL Court Bold</t>
        </is>
      </c>
    </row>
    <row r="46">
      <c r="A46" t="inlineStr">
        <is>
          <t>com</t>
        </is>
      </c>
      <c r="B46" t="inlineStr">
        <is>
          <t>B0CCQ5XHND</t>
        </is>
      </c>
      <c r="C46" t="inlineStr">
        <is>
          <t>adidas Women's VL Court Bold Sneaker, Wonder Quartz/White/White, 11</t>
        </is>
      </c>
      <c r="D46" t="n">
        <v>79.98999999999999</v>
      </c>
      <c r="E46" t="n">
        <v>79.98999999999999</v>
      </c>
      <c r="F46" t="n">
        <v>32971</v>
      </c>
      <c r="G46" t="n">
        <v>48852</v>
      </c>
      <c r="H46" t="n">
        <v>77.48999999999999</v>
      </c>
      <c r="I46" t="n">
        <v>75.65000000000001</v>
      </c>
      <c r="J46" t="n">
        <v>0.47</v>
      </c>
      <c r="K46" t="n">
        <v>0.47</v>
      </c>
      <c r="L46" t="n">
        <v>1</v>
      </c>
      <c r="N46" t="n">
        <v>4.5</v>
      </c>
      <c r="O46" t="n">
        <v>0</v>
      </c>
      <c r="P46" t="n">
        <v>53</v>
      </c>
      <c r="Q46" t="n">
        <v>8</v>
      </c>
      <c r="R46" t="n">
        <v>49</v>
      </c>
      <c r="S46" t="inlineStr">
        <is>
          <t>B0DG337M34</t>
        </is>
      </c>
      <c r="U46" t="n">
        <v>2.66979482</v>
      </c>
      <c r="V46" t="n">
        <v>7.86</v>
      </c>
      <c r="W46" t="n">
        <v>12</v>
      </c>
      <c r="X46" t="inlineStr">
        <is>
          <t>196478047187</t>
        </is>
      </c>
      <c r="Y46" t="inlineStr">
        <is>
          <t>NLK49</t>
        </is>
      </c>
      <c r="Z46" t="inlineStr">
        <is>
          <t>NLK49</t>
        </is>
      </c>
      <c r="AA46" t="inlineStr">
        <is>
          <t>Wonder Quartz/White/White</t>
        </is>
      </c>
      <c r="AB46" t="inlineStr">
        <is>
          <t>0196478047187</t>
        </is>
      </c>
      <c r="AC46" t="inlineStr">
        <is>
          <t>Amazon offer is back-ordered</t>
        </is>
      </c>
      <c r="AD46" t="inlineStr">
        <is>
          <t>adidas</t>
        </is>
      </c>
      <c r="AE46" t="inlineStr">
        <is>
          <t>11</t>
        </is>
      </c>
      <c r="AF46" t="inlineStr">
        <is>
          <t>https://m.media-amazon.com/images/I/71B7xYawH5L.jpg;https://m.media-amazon.com/images/I/71EX4TTtUiL.jpg;https://m.media-amazon.com/images/I/716ocBrqIfL.jpg;https://m.media-amazon.com/images/I/71vuOKW+sdL.jpg;https://m.media-amazon.com/images/I/915t74QjjSL.jpg;https://m.media-amazon.com/images/I/71szsF7dOgL.jpg;https://m.media-amazon.com/images/I/71TSJTBw2iL.jpg</t>
        </is>
      </c>
      <c r="AG46" t="inlineStr">
        <is>
          <t>adidas womens VL Court Bold</t>
        </is>
      </c>
    </row>
    <row r="47">
      <c r="A47" t="inlineStr">
        <is>
          <t>com</t>
        </is>
      </c>
      <c r="B47" t="inlineStr">
        <is>
          <t>B0CKMQ71MT</t>
        </is>
      </c>
      <c r="C47" t="inlineStr">
        <is>
          <t>adidas Women's VL Court Bold Sneaker, Pink Spark/Lucid Lemon/Lucid Blue, 5</t>
        </is>
      </c>
      <c r="D47" t="n">
        <v>114.93</v>
      </c>
      <c r="E47" t="n">
        <v>99.98</v>
      </c>
      <c r="F47" t="n">
        <v>32301</v>
      </c>
      <c r="G47" t="n">
        <v>48876</v>
      </c>
      <c r="H47" t="n">
        <v>107.61</v>
      </c>
      <c r="I47" t="n">
        <v>107.61</v>
      </c>
      <c r="J47" t="n">
        <v>0.52</v>
      </c>
      <c r="K47" t="n">
        <v>0.85</v>
      </c>
      <c r="L47" t="n">
        <v>2</v>
      </c>
      <c r="M47" t="n">
        <v>2</v>
      </c>
      <c r="N47" t="n">
        <v>4.5</v>
      </c>
      <c r="O47" t="n">
        <v>1</v>
      </c>
      <c r="P47" t="n">
        <v>56</v>
      </c>
      <c r="Q47" t="n">
        <v>28</v>
      </c>
      <c r="R47" t="n">
        <v>59</v>
      </c>
      <c r="S47" t="inlineStr">
        <is>
          <t>B0DG337M34</t>
        </is>
      </c>
      <c r="U47" t="n">
        <v>1.9400656</v>
      </c>
      <c r="V47" t="n">
        <v>6.61</v>
      </c>
      <c r="W47" t="n">
        <v>17.24</v>
      </c>
      <c r="X47" t="inlineStr">
        <is>
          <t>196478207956</t>
        </is>
      </c>
      <c r="Y47" t="inlineStr">
        <is>
          <t>NLK49</t>
        </is>
      </c>
      <c r="Z47" t="inlineStr">
        <is>
          <t>NLK49</t>
        </is>
      </c>
      <c r="AA47" t="inlineStr">
        <is>
          <t>Pink Spark/Lucid Lemon/Lucid Blue</t>
        </is>
      </c>
      <c r="AB47" t="inlineStr">
        <is>
          <t>0196478207956</t>
        </is>
      </c>
      <c r="AC47" t="inlineStr">
        <is>
          <t>no Amazon offer exists</t>
        </is>
      </c>
      <c r="AD47" t="inlineStr">
        <is>
          <t>adidas</t>
        </is>
      </c>
      <c r="AE47" t="inlineStr">
        <is>
          <t>5</t>
        </is>
      </c>
      <c r="AF47" t="inlineStr">
        <is>
          <t>https://m.media-amazon.com/images/I/31Vj4jWp-yL.jpg;https://m.media-amazon.com/images/I/31OpqsOcezL.jpg;https://m.media-amazon.com/images/I/31u4Nu0vAjL.jpg;https://m.media-amazon.com/images/I/5102Y7desFL.jpg;https://m.media-amazon.com/images/I/31et1KIziOL.jpg;https://m.media-amazon.com/images/I/31V-jf3jTPL.jpg</t>
        </is>
      </c>
      <c r="AG47" t="inlineStr">
        <is>
          <t>adidas womens VL Court Bold</t>
        </is>
      </c>
    </row>
    <row r="48">
      <c r="A48" t="inlineStr">
        <is>
          <t>com</t>
        </is>
      </c>
      <c r="B48" t="inlineStr">
        <is>
          <t>B0CKMPXYBD</t>
        </is>
      </c>
      <c r="C48" t="inlineStr">
        <is>
          <t>adidas Women's VL Court Bold Sneaker, Pink Spark/Lucid Lemon/Lucid Blue, 5.5</t>
        </is>
      </c>
      <c r="D48" t="n">
        <v>99.98</v>
      </c>
      <c r="E48" t="n">
        <v>99.98</v>
      </c>
      <c r="F48" t="n">
        <v>32728</v>
      </c>
      <c r="G48" t="n">
        <v>48064</v>
      </c>
      <c r="H48" t="n">
        <v>112.36</v>
      </c>
      <c r="I48" t="n">
        <v>112.36</v>
      </c>
      <c r="J48" t="n">
        <v>0.7</v>
      </c>
      <c r="K48" t="n">
        <v>1</v>
      </c>
      <c r="L48" t="n">
        <v>1</v>
      </c>
      <c r="M48" t="n">
        <v>1</v>
      </c>
      <c r="N48" t="n">
        <v>4.4</v>
      </c>
      <c r="O48" t="n">
        <v>0</v>
      </c>
      <c r="P48" t="n">
        <v>56</v>
      </c>
      <c r="Q48" t="n">
        <v>19</v>
      </c>
      <c r="R48" t="n">
        <v>37</v>
      </c>
      <c r="S48" t="inlineStr">
        <is>
          <t>B0DG337M34</t>
        </is>
      </c>
      <c r="U48" t="n">
        <v>1.97974876</v>
      </c>
      <c r="V48" t="n">
        <v>6.61</v>
      </c>
      <c r="W48" t="inlineStr"/>
      <c r="X48" t="inlineStr">
        <is>
          <t>196478207970</t>
        </is>
      </c>
      <c r="Y48" t="inlineStr">
        <is>
          <t>NLK49</t>
        </is>
      </c>
      <c r="Z48" t="inlineStr">
        <is>
          <t>NLK49</t>
        </is>
      </c>
      <c r="AA48" t="inlineStr">
        <is>
          <t>Pink Spark/Lucid Lemon/Lucid Blue</t>
        </is>
      </c>
      <c r="AB48" t="inlineStr">
        <is>
          <t>0196478207970</t>
        </is>
      </c>
      <c r="AC48" t="inlineStr">
        <is>
          <t>no Amazon offer exists</t>
        </is>
      </c>
      <c r="AD48" t="inlineStr">
        <is>
          <t>adidas</t>
        </is>
      </c>
      <c r="AE48" t="inlineStr">
        <is>
          <t>5.5</t>
        </is>
      </c>
      <c r="AF48" t="inlineStr">
        <is>
          <t>https://m.media-amazon.com/images/I/61jOa2tsTIL.jpg;https://m.media-amazon.com/images/I/71S0p6FjELL.jpg;https://m.media-amazon.com/images/I/71mC9YJAHPL.jpg;https://m.media-amazon.com/images/I/91NdLPOJh2L.jpg;https://m.media-amazon.com/images/I/71Jn6yWAGmL.jpg;https://m.media-amazon.com/images/I/71TCuykiCwL.jpg</t>
        </is>
      </c>
      <c r="AG48" t="inlineStr">
        <is>
          <t>adidas womens VL Court Bold</t>
        </is>
      </c>
    </row>
    <row r="49">
      <c r="A49" t="inlineStr">
        <is>
          <t>com</t>
        </is>
      </c>
      <c r="B49" t="inlineStr">
        <is>
          <t>B0CKMNG7DN</t>
        </is>
      </c>
      <c r="C49" t="inlineStr">
        <is>
          <t>adidas Women's VL Court Bold Sneaker, Pink Spark/Lucid Lemon/Lucid Blue, 6</t>
        </is>
      </c>
      <c r="D49" t="n">
        <v>80</v>
      </c>
      <c r="E49" t="n">
        <v>80</v>
      </c>
      <c r="F49" t="n">
        <v>32687</v>
      </c>
      <c r="G49" t="n">
        <v>49647</v>
      </c>
      <c r="H49" t="n">
        <v>90.62</v>
      </c>
      <c r="I49" t="n">
        <v>93.5</v>
      </c>
      <c r="J49" t="n">
        <v>0.09</v>
      </c>
      <c r="K49" t="n">
        <v>0.48</v>
      </c>
      <c r="L49" t="n">
        <v>4</v>
      </c>
      <c r="M49" t="n">
        <v>6</v>
      </c>
      <c r="N49" t="n">
        <v>4.4</v>
      </c>
      <c r="O49" t="n">
        <v>0</v>
      </c>
      <c r="P49" t="n">
        <v>56</v>
      </c>
      <c r="Q49" t="n">
        <v>35</v>
      </c>
      <c r="R49" t="n">
        <v>95</v>
      </c>
      <c r="S49" t="inlineStr">
        <is>
          <t>B0DG337M34</t>
        </is>
      </c>
      <c r="U49" t="n">
        <v>1.95990718</v>
      </c>
      <c r="V49" t="n">
        <v>6.61</v>
      </c>
      <c r="W49" t="n">
        <v>12</v>
      </c>
      <c r="X49" t="inlineStr">
        <is>
          <t>196478207932</t>
        </is>
      </c>
      <c r="Y49" t="inlineStr">
        <is>
          <t>NLK49</t>
        </is>
      </c>
      <c r="Z49" t="inlineStr">
        <is>
          <t>NLK49</t>
        </is>
      </c>
      <c r="AA49" t="inlineStr">
        <is>
          <t>Pink Spark/Lucid Lemon/Lucid Blue</t>
        </is>
      </c>
      <c r="AB49" t="inlineStr">
        <is>
          <t>0196478207932</t>
        </is>
      </c>
      <c r="AC49" t="inlineStr">
        <is>
          <t>Amazon offer is in stock and shippable</t>
        </is>
      </c>
      <c r="AD49" t="inlineStr">
        <is>
          <t>adidas</t>
        </is>
      </c>
      <c r="AE49" t="inlineStr">
        <is>
          <t>6</t>
        </is>
      </c>
      <c r="AF49" t="inlineStr">
        <is>
          <t>https://m.media-amazon.com/images/I/31Vj4jWp-yL.jpg;https://m.media-amazon.com/images/I/31OpqsOcezL.jpg;https://m.media-amazon.com/images/I/31u4Nu0vAjL.jpg;https://m.media-amazon.com/images/I/5102Y7desFL.jpg;https://m.media-amazon.com/images/I/31et1KIziOL.jpg;https://m.media-amazon.com/images/I/31V-jf3jTPL.jpg</t>
        </is>
      </c>
      <c r="AG49" t="inlineStr">
        <is>
          <t>Description
adidas womens VL Court Bold</t>
        </is>
      </c>
    </row>
    <row r="50">
      <c r="A50" t="inlineStr">
        <is>
          <t>com</t>
        </is>
      </c>
      <c r="B50" t="inlineStr">
        <is>
          <t>B0CKMM8LGJ</t>
        </is>
      </c>
      <c r="C50" t="inlineStr">
        <is>
          <t>adidas Women's VL Court Bold Sneaker, Pink Spark/Lucid Lemon/Lucid Blue, 6.5</t>
        </is>
      </c>
      <c r="D50" t="n">
        <v>80</v>
      </c>
      <c r="E50" t="n">
        <v>80</v>
      </c>
      <c r="F50" t="n">
        <v>33534</v>
      </c>
      <c r="G50" t="n">
        <v>46727</v>
      </c>
      <c r="H50" t="n">
        <v>85.59999999999999</v>
      </c>
      <c r="I50" t="n">
        <v>90.83</v>
      </c>
      <c r="J50" t="n">
        <v>0.07000000000000001</v>
      </c>
      <c r="K50" t="n">
        <v>0.59</v>
      </c>
      <c r="L50" t="n">
        <v>4</v>
      </c>
      <c r="M50" t="n">
        <v>6</v>
      </c>
      <c r="N50" t="n">
        <v>4.5</v>
      </c>
      <c r="O50" t="n">
        <v>0</v>
      </c>
      <c r="P50" t="n">
        <v>56</v>
      </c>
      <c r="Q50" t="n">
        <v>43</v>
      </c>
      <c r="R50" t="n">
        <v>107</v>
      </c>
      <c r="S50" t="inlineStr">
        <is>
          <t>B0DG337M34</t>
        </is>
      </c>
      <c r="U50" t="n">
        <v>2.14068602</v>
      </c>
      <c r="V50" t="n">
        <v>7.78</v>
      </c>
      <c r="W50" t="n">
        <v>12</v>
      </c>
      <c r="X50" t="inlineStr">
        <is>
          <t>196478207888</t>
        </is>
      </c>
      <c r="Y50" t="inlineStr">
        <is>
          <t>NLK49</t>
        </is>
      </c>
      <c r="Z50" t="inlineStr">
        <is>
          <t>NLK49</t>
        </is>
      </c>
      <c r="AA50" t="inlineStr">
        <is>
          <t>Pink Spark/Lucid Lemon/Lucid Blue</t>
        </is>
      </c>
      <c r="AB50" t="inlineStr">
        <is>
          <t>0196478207888</t>
        </is>
      </c>
      <c r="AC50" t="inlineStr">
        <is>
          <t>Amazon offer is in stock and shippable</t>
        </is>
      </c>
      <c r="AD50" t="inlineStr">
        <is>
          <t>adidas</t>
        </is>
      </c>
      <c r="AE50" t="inlineStr">
        <is>
          <t>6.5</t>
        </is>
      </c>
      <c r="AF50" t="inlineStr">
        <is>
          <t>https://m.media-amazon.com/images/I/61jOa2tsTIL.jpg;https://m.media-amazon.com/images/I/71S0p6FjELL.jpg;https://m.media-amazon.com/images/I/71mC9YJAHPL.jpg;https://m.media-amazon.com/images/I/91NdLPOJh2L.jpg;https://m.media-amazon.com/images/I/71Jn6yWAGmL.jpg;https://m.media-amazon.com/images/I/71TCuykiCwL.jpg</t>
        </is>
      </c>
      <c r="AG50" t="inlineStr">
        <is>
          <t>adidas womens VL Court Bold</t>
        </is>
      </c>
    </row>
    <row r="51">
      <c r="A51" t="inlineStr">
        <is>
          <t>com</t>
        </is>
      </c>
      <c r="B51" t="inlineStr">
        <is>
          <t>B0CKMNNHMM</t>
        </is>
      </c>
      <c r="C51" t="inlineStr">
        <is>
          <t>adidas Women's VL Court Bold Sneaker, Pink Spark/Lucid Lemon/Lucid Blue, 7</t>
        </is>
      </c>
      <c r="D51" t="n">
        <v>80</v>
      </c>
      <c r="E51" t="n">
        <v>80</v>
      </c>
      <c r="F51" t="n">
        <v>36477</v>
      </c>
      <c r="G51" t="n">
        <v>48978</v>
      </c>
      <c r="H51" t="n">
        <v>100.56</v>
      </c>
      <c r="I51" t="n">
        <v>97.28</v>
      </c>
      <c r="J51" t="n">
        <v>0.06</v>
      </c>
      <c r="K51" t="n">
        <v>0.48</v>
      </c>
      <c r="L51" t="n">
        <v>3</v>
      </c>
      <c r="M51" t="n">
        <v>7</v>
      </c>
      <c r="N51" t="n">
        <v>4.4</v>
      </c>
      <c r="O51" t="n">
        <v>1</v>
      </c>
      <c r="P51" t="n">
        <v>56</v>
      </c>
      <c r="Q51" t="n">
        <v>33</v>
      </c>
      <c r="R51" t="n">
        <v>83</v>
      </c>
      <c r="S51" t="inlineStr">
        <is>
          <t>B0DG337M34</t>
        </is>
      </c>
      <c r="U51" t="n">
        <v>1.9731349</v>
      </c>
      <c r="V51" t="n">
        <v>7.62</v>
      </c>
      <c r="W51" t="n">
        <v>12</v>
      </c>
      <c r="X51" t="inlineStr">
        <is>
          <t>196478207901</t>
        </is>
      </c>
      <c r="Y51" t="inlineStr">
        <is>
          <t>NLK49</t>
        </is>
      </c>
      <c r="Z51" t="inlineStr">
        <is>
          <t>NLK49</t>
        </is>
      </c>
      <c r="AA51" t="inlineStr">
        <is>
          <t>Pink Spark/Lucid Lemon/Lucid Blue</t>
        </is>
      </c>
      <c r="AB51" t="inlineStr">
        <is>
          <t>0196478207901</t>
        </is>
      </c>
      <c r="AC51" t="inlineStr">
        <is>
          <t>Amazon offer is in stock and shippable</t>
        </is>
      </c>
      <c r="AD51" t="inlineStr">
        <is>
          <t>adidas</t>
        </is>
      </c>
      <c r="AE51" t="inlineStr">
        <is>
          <t>7</t>
        </is>
      </c>
      <c r="AF51" t="inlineStr">
        <is>
          <t>https://m.media-amazon.com/images/I/61jOa2tsTIL.jpg;https://m.media-amazon.com/images/I/71S0p6FjELL.jpg;https://m.media-amazon.com/images/I/71mC9YJAHPL.jpg;https://m.media-amazon.com/images/I/91NdLPOJh2L.jpg;https://m.media-amazon.com/images/I/71Jn6yWAGmL.jpg;https://m.media-amazon.com/images/I/71TCuykiCwL.jpg</t>
        </is>
      </c>
      <c r="AG51" t="inlineStr">
        <is>
          <t>adidas womens VL Court Bold</t>
        </is>
      </c>
    </row>
    <row r="52">
      <c r="A52" t="inlineStr">
        <is>
          <t>com</t>
        </is>
      </c>
      <c r="B52" t="inlineStr">
        <is>
          <t>B0CKMQ4CSY</t>
        </is>
      </c>
      <c r="C52" t="inlineStr">
        <is>
          <t>adidas Women's VL Court Bold Sneaker, Pink Spark/Lucid Lemon/Lucid Blue, 7.5</t>
        </is>
      </c>
      <c r="D52" t="n">
        <v>80</v>
      </c>
      <c r="E52" t="n">
        <v>80</v>
      </c>
      <c r="F52" t="n">
        <v>32687</v>
      </c>
      <c r="G52" t="n">
        <v>46928</v>
      </c>
      <c r="H52" t="n">
        <v>88.31999999999999</v>
      </c>
      <c r="I52" t="n">
        <v>89.90000000000001</v>
      </c>
      <c r="J52" t="n">
        <v>0.13</v>
      </c>
      <c r="K52" t="n">
        <v>0.44</v>
      </c>
      <c r="L52" t="n">
        <v>4</v>
      </c>
      <c r="M52" t="n">
        <v>7</v>
      </c>
      <c r="N52" t="n">
        <v>4.4</v>
      </c>
      <c r="O52" t="n">
        <v>1</v>
      </c>
      <c r="P52" t="n">
        <v>56</v>
      </c>
      <c r="Q52" t="n">
        <v>35</v>
      </c>
      <c r="R52" t="n">
        <v>92</v>
      </c>
      <c r="S52" t="inlineStr">
        <is>
          <t>B0DG337M34</t>
        </is>
      </c>
      <c r="U52" t="n">
        <v>2.25091702</v>
      </c>
      <c r="V52" t="n">
        <v>7.62</v>
      </c>
      <c r="W52" t="n">
        <v>12</v>
      </c>
      <c r="X52" t="inlineStr">
        <is>
          <t>196478207963</t>
        </is>
      </c>
      <c r="Y52" t="inlineStr">
        <is>
          <t>NLK49</t>
        </is>
      </c>
      <c r="Z52" t="inlineStr">
        <is>
          <t>NLK49</t>
        </is>
      </c>
      <c r="AA52" t="inlineStr">
        <is>
          <t>Pink Spark/Lucid Lemon/Lucid Blue</t>
        </is>
      </c>
      <c r="AB52" t="inlineStr">
        <is>
          <t>0196478207963</t>
        </is>
      </c>
      <c r="AC52" t="inlineStr">
        <is>
          <t>Amazon offer is in stock and shippable</t>
        </is>
      </c>
      <c r="AD52" t="inlineStr">
        <is>
          <t>adidas</t>
        </is>
      </c>
      <c r="AE52" t="inlineStr">
        <is>
          <t>7.5</t>
        </is>
      </c>
      <c r="AF52" t="inlineStr">
        <is>
          <t>https://m.media-amazon.com/images/I/61jOa2tsTIL.jpg;https://m.media-amazon.com/images/I/71S0p6FjELL.jpg;https://m.media-amazon.com/images/I/71mC9YJAHPL.jpg;https://m.media-amazon.com/images/I/91NdLPOJh2L.jpg;https://m.media-amazon.com/images/I/71Jn6yWAGmL.jpg;https://m.media-amazon.com/images/I/71TCuykiCwL.jpg</t>
        </is>
      </c>
      <c r="AG52" t="inlineStr">
        <is>
          <t>adidas womens VL Court Bold</t>
        </is>
      </c>
    </row>
    <row r="53">
      <c r="A53" t="inlineStr">
        <is>
          <t>com</t>
        </is>
      </c>
      <c r="B53" t="inlineStr">
        <is>
          <t>B0CKMNP8SR</t>
        </is>
      </c>
      <c r="C53" t="inlineStr">
        <is>
          <t>adidas Women's VL Court Bold Sneaker, Pink Spark/Lucid Lemon/Lucid Blue, 8</t>
        </is>
      </c>
      <c r="D53" t="n">
        <v>80</v>
      </c>
      <c r="E53" t="n">
        <v>80</v>
      </c>
      <c r="F53" t="n">
        <v>33534</v>
      </c>
      <c r="G53" t="n">
        <v>47961</v>
      </c>
      <c r="H53" t="n">
        <v>91.31</v>
      </c>
      <c r="I53" t="n">
        <v>92.5</v>
      </c>
      <c r="J53" t="n">
        <v>0.06</v>
      </c>
      <c r="K53" t="n">
        <v>0.46</v>
      </c>
      <c r="L53" t="n">
        <v>4</v>
      </c>
      <c r="M53" t="n">
        <v>7</v>
      </c>
      <c r="N53" t="n">
        <v>4.4</v>
      </c>
      <c r="O53" t="n">
        <v>0</v>
      </c>
      <c r="P53" t="n">
        <v>56</v>
      </c>
      <c r="Q53" t="n">
        <v>45</v>
      </c>
      <c r="R53" t="n">
        <v>110</v>
      </c>
      <c r="S53" t="inlineStr">
        <is>
          <t>B0DG337M34</t>
        </is>
      </c>
      <c r="U53" t="n">
        <v>2.33910182</v>
      </c>
      <c r="V53" t="n">
        <v>7.54</v>
      </c>
      <c r="W53" t="n">
        <v>12</v>
      </c>
      <c r="X53" t="inlineStr">
        <is>
          <t>196478207925</t>
        </is>
      </c>
      <c r="Y53" t="inlineStr">
        <is>
          <t>NLK49</t>
        </is>
      </c>
      <c r="Z53" t="inlineStr">
        <is>
          <t>NLK49</t>
        </is>
      </c>
      <c r="AA53" t="inlineStr">
        <is>
          <t>Pink Spark/Lucid Lemon/Lucid Blue</t>
        </is>
      </c>
      <c r="AB53" t="inlineStr">
        <is>
          <t>0196478207925</t>
        </is>
      </c>
      <c r="AC53" t="inlineStr">
        <is>
          <t>Amazon offer is in stock and shippable</t>
        </is>
      </c>
      <c r="AD53" t="inlineStr">
        <is>
          <t>adidas</t>
        </is>
      </c>
      <c r="AE53" t="inlineStr">
        <is>
          <t>8</t>
        </is>
      </c>
      <c r="AF53" t="inlineStr">
        <is>
          <t>https://m.media-amazon.com/images/I/61jOa2tsTIL.jpg;https://m.media-amazon.com/images/I/71S0p6FjELL.jpg;https://m.media-amazon.com/images/I/71mC9YJAHPL.jpg;https://m.media-amazon.com/images/I/91NdLPOJh2L.jpg;https://m.media-amazon.com/images/I/71Jn6yWAGmL.jpg;https://m.media-amazon.com/images/I/71TCuykiCwL.jpg</t>
        </is>
      </c>
      <c r="AG53" t="inlineStr">
        <is>
          <t>Description
adidas womens VL Court Bold</t>
        </is>
      </c>
    </row>
    <row r="54">
      <c r="A54" t="inlineStr">
        <is>
          <t>com</t>
        </is>
      </c>
      <c r="B54" t="inlineStr">
        <is>
          <t>B0CKMMK874</t>
        </is>
      </c>
      <c r="C54" t="inlineStr">
        <is>
          <t>adidas Women's VL Court Bold Sneaker, Pink Spark/Lucid Lemon/Lucid Blue, 8.5</t>
        </is>
      </c>
      <c r="D54" t="n">
        <v>80</v>
      </c>
      <c r="E54" t="n">
        <v>80</v>
      </c>
      <c r="F54" t="n">
        <v>33534</v>
      </c>
      <c r="G54" t="n">
        <v>49159</v>
      </c>
      <c r="H54" t="n">
        <v>88.86</v>
      </c>
      <c r="I54" t="n">
        <v>89.45999999999999</v>
      </c>
      <c r="J54" t="n">
        <v>0.06</v>
      </c>
      <c r="K54" t="n">
        <v>0.48</v>
      </c>
      <c r="L54" t="n">
        <v>4</v>
      </c>
      <c r="M54" t="n">
        <v>7</v>
      </c>
      <c r="N54" t="n">
        <v>4.4</v>
      </c>
      <c r="O54" t="n">
        <v>0</v>
      </c>
      <c r="P54" t="n">
        <v>56</v>
      </c>
      <c r="Q54" t="n">
        <v>37</v>
      </c>
      <c r="R54" t="n">
        <v>99</v>
      </c>
      <c r="S54" t="inlineStr">
        <is>
          <t>B0DG337M34</t>
        </is>
      </c>
      <c r="U54" t="n">
        <v>2.3809896</v>
      </c>
      <c r="V54" t="n">
        <v>7.7</v>
      </c>
      <c r="W54" t="n">
        <v>12</v>
      </c>
      <c r="X54" t="inlineStr">
        <is>
          <t>196478207949</t>
        </is>
      </c>
      <c r="Y54" t="inlineStr">
        <is>
          <t>NLK49</t>
        </is>
      </c>
      <c r="Z54" t="inlineStr">
        <is>
          <t>NLK49</t>
        </is>
      </c>
      <c r="AA54" t="inlineStr">
        <is>
          <t>Pink Spark/Lucid Lemon/Lucid Blue</t>
        </is>
      </c>
      <c r="AB54" t="inlineStr">
        <is>
          <t>0196478207949</t>
        </is>
      </c>
      <c r="AC54" t="inlineStr">
        <is>
          <t>Amazon offer is in stock and shippable</t>
        </is>
      </c>
      <c r="AD54" t="inlineStr">
        <is>
          <t>adidas</t>
        </is>
      </c>
      <c r="AE54" t="inlineStr">
        <is>
          <t>8.5</t>
        </is>
      </c>
      <c r="AF54" t="inlineStr">
        <is>
          <t>https://m.media-amazon.com/images/I/61jOa2tsTIL.jpg;https://m.media-amazon.com/images/I/71S0p6FjELL.jpg;https://m.media-amazon.com/images/I/71mC9YJAHPL.jpg;https://m.media-amazon.com/images/I/91NdLPOJh2L.jpg;https://m.media-amazon.com/images/I/71Jn6yWAGmL.jpg;https://m.media-amazon.com/images/I/71TCuykiCwL.jpg</t>
        </is>
      </c>
      <c r="AG54" t="inlineStr">
        <is>
          <t>Description
adidas womens VL Court Bold</t>
        </is>
      </c>
    </row>
    <row r="55">
      <c r="A55" t="inlineStr">
        <is>
          <t>com</t>
        </is>
      </c>
      <c r="B55" t="inlineStr">
        <is>
          <t>B0CKMP3GGJ</t>
        </is>
      </c>
      <c r="C55" t="inlineStr">
        <is>
          <t>adidas Women's VL Court Bold Sneaker, Pink Spark/Lucid Lemon/Lucid Blue, 9</t>
        </is>
      </c>
      <c r="D55" t="n">
        <v>80</v>
      </c>
      <c r="E55" t="n">
        <v>80</v>
      </c>
      <c r="F55" t="n">
        <v>33534</v>
      </c>
      <c r="G55" t="n">
        <v>49734</v>
      </c>
      <c r="H55" t="n">
        <v>95.63</v>
      </c>
      <c r="I55" t="n">
        <v>94.3</v>
      </c>
      <c r="J55" t="n">
        <v>0.07000000000000001</v>
      </c>
      <c r="K55" t="n">
        <v>0.57</v>
      </c>
      <c r="L55" t="n">
        <v>4</v>
      </c>
      <c r="M55" t="n">
        <v>9</v>
      </c>
      <c r="N55" t="n">
        <v>4.4</v>
      </c>
      <c r="O55" t="n">
        <v>2</v>
      </c>
      <c r="P55" t="n">
        <v>56</v>
      </c>
      <c r="Q55" t="n">
        <v>49</v>
      </c>
      <c r="R55" t="n">
        <v>109</v>
      </c>
      <c r="S55" t="inlineStr">
        <is>
          <t>B0DG337M34</t>
        </is>
      </c>
      <c r="U55" t="n">
        <v>2.51106218</v>
      </c>
      <c r="V55" t="n">
        <v>7.94</v>
      </c>
      <c r="W55" t="n">
        <v>12</v>
      </c>
      <c r="X55" t="inlineStr">
        <is>
          <t>196478207918</t>
        </is>
      </c>
      <c r="Y55" t="inlineStr">
        <is>
          <t>NLK49</t>
        </is>
      </c>
      <c r="Z55" t="inlineStr">
        <is>
          <t>NLK49</t>
        </is>
      </c>
      <c r="AA55" t="inlineStr">
        <is>
          <t>Pink Spark/Lucid Lemon/Lucid Blue</t>
        </is>
      </c>
      <c r="AB55" t="inlineStr">
        <is>
          <t>0196478207918</t>
        </is>
      </c>
      <c r="AC55" t="inlineStr">
        <is>
          <t>Amazon offer is in stock and shippable</t>
        </is>
      </c>
      <c r="AD55" t="inlineStr">
        <is>
          <t>adidas</t>
        </is>
      </c>
      <c r="AE55" t="inlineStr">
        <is>
          <t>9</t>
        </is>
      </c>
      <c r="AF55" t="inlineStr">
        <is>
          <t>https://m.media-amazon.com/images/I/61jOa2tsTIL.jpg;https://m.media-amazon.com/images/I/71S0p6FjELL.jpg;https://m.media-amazon.com/images/I/71mC9YJAHPL.jpg;https://m.media-amazon.com/images/I/91NdLPOJh2L.jpg;https://m.media-amazon.com/images/I/71Jn6yWAGmL.jpg;https://m.media-amazon.com/images/I/71TCuykiCwL.jpg</t>
        </is>
      </c>
      <c r="AG55" t="inlineStr">
        <is>
          <t>adidas womens VL Court Bold</t>
        </is>
      </c>
    </row>
    <row r="56">
      <c r="A56" t="inlineStr">
        <is>
          <t>com</t>
        </is>
      </c>
      <c r="B56" t="inlineStr">
        <is>
          <t>B0CKMRB4KR</t>
        </is>
      </c>
      <c r="C56" t="inlineStr">
        <is>
          <t>adidas Women's VL Court Bold Sneaker, Pink Spark/Lucid Lemon/Lucid Blue, 9.5</t>
        </is>
      </c>
      <c r="D56" t="n">
        <v>80</v>
      </c>
      <c r="E56" t="n">
        <v>80</v>
      </c>
      <c r="F56" t="n">
        <v>33534</v>
      </c>
      <c r="G56" t="n">
        <v>49066</v>
      </c>
      <c r="H56" t="n">
        <v>91.63</v>
      </c>
      <c r="I56" t="n">
        <v>90.15000000000001</v>
      </c>
      <c r="J56" t="n">
        <v>0.05</v>
      </c>
      <c r="K56" t="n">
        <v>0.45</v>
      </c>
      <c r="L56" t="n">
        <v>3</v>
      </c>
      <c r="M56" t="n">
        <v>7</v>
      </c>
      <c r="N56" t="n">
        <v>4.4</v>
      </c>
      <c r="O56" t="n">
        <v>1</v>
      </c>
      <c r="P56" t="n">
        <v>56</v>
      </c>
      <c r="Q56" t="n">
        <v>36</v>
      </c>
      <c r="R56" t="n">
        <v>95</v>
      </c>
      <c r="S56" t="inlineStr">
        <is>
          <t>B0DG337M34</t>
        </is>
      </c>
      <c r="U56" t="n">
        <v>2.5794054</v>
      </c>
      <c r="V56" t="n">
        <v>7.7</v>
      </c>
      <c r="W56" t="n">
        <v>12</v>
      </c>
      <c r="X56" t="inlineStr">
        <is>
          <t>196478208007</t>
        </is>
      </c>
      <c r="Y56" t="inlineStr">
        <is>
          <t>NLK49</t>
        </is>
      </c>
      <c r="Z56" t="inlineStr">
        <is>
          <t>NLK49</t>
        </is>
      </c>
      <c r="AA56" t="inlineStr">
        <is>
          <t>Pink Spark/Lucid Lemon/Lucid Blue</t>
        </is>
      </c>
      <c r="AB56" t="inlineStr">
        <is>
          <t>0196478208007</t>
        </is>
      </c>
      <c r="AC56" t="inlineStr">
        <is>
          <t>Amazon offer is in stock and shippable</t>
        </is>
      </c>
      <c r="AD56" t="inlineStr">
        <is>
          <t>adidas</t>
        </is>
      </c>
      <c r="AE56" t="inlineStr">
        <is>
          <t>9.5</t>
        </is>
      </c>
      <c r="AF56" t="inlineStr">
        <is>
          <t>https://m.media-amazon.com/images/I/61jOa2tsTIL.jpg;https://m.media-amazon.com/images/I/71S0p6FjELL.jpg;https://m.media-amazon.com/images/I/71mC9YJAHPL.jpg;https://m.media-amazon.com/images/I/91NdLPOJh2L.jpg;https://m.media-amazon.com/images/I/71Jn6yWAGmL.jpg;https://m.media-amazon.com/images/I/71TCuykiCwL.jpg</t>
        </is>
      </c>
      <c r="AG56" t="inlineStr">
        <is>
          <t>adidas womens VL Court Bold</t>
        </is>
      </c>
    </row>
    <row r="57">
      <c r="A57" t="inlineStr">
        <is>
          <t>com</t>
        </is>
      </c>
      <c r="B57" t="inlineStr">
        <is>
          <t>B0CKMQ6Y8G</t>
        </is>
      </c>
      <c r="C57" t="inlineStr">
        <is>
          <t>adidas Women's VL Court Bold Sneaker, Pink Spark/Lucid Lemon/Lucid Blue, 10</t>
        </is>
      </c>
      <c r="D57" t="n">
        <v>80</v>
      </c>
      <c r="E57" t="n">
        <v>80</v>
      </c>
      <c r="F57" t="n">
        <v>33534</v>
      </c>
      <c r="G57" t="n">
        <v>49382</v>
      </c>
      <c r="H57" t="n">
        <v>95.83</v>
      </c>
      <c r="I57" t="n">
        <v>95.66</v>
      </c>
      <c r="J57" t="n">
        <v>0.1</v>
      </c>
      <c r="K57" t="n">
        <v>0.5600000000000001</v>
      </c>
      <c r="L57" t="n">
        <v>3</v>
      </c>
      <c r="M57" t="n">
        <v>6</v>
      </c>
      <c r="N57" t="n">
        <v>4.5</v>
      </c>
      <c r="O57" t="n">
        <v>1</v>
      </c>
      <c r="P57" t="n">
        <v>53</v>
      </c>
      <c r="Q57" t="n">
        <v>29</v>
      </c>
      <c r="R57" t="n">
        <v>72</v>
      </c>
      <c r="S57" t="inlineStr">
        <is>
          <t>B0DG337M34</t>
        </is>
      </c>
      <c r="U57" t="n">
        <v>2.55956382</v>
      </c>
      <c r="V57" t="n">
        <v>7.7</v>
      </c>
      <c r="W57" t="n">
        <v>12</v>
      </c>
      <c r="X57" t="inlineStr">
        <is>
          <t>196478207994</t>
        </is>
      </c>
      <c r="Y57" t="inlineStr">
        <is>
          <t>NLK49</t>
        </is>
      </c>
      <c r="Z57" t="inlineStr">
        <is>
          <t>NLK49</t>
        </is>
      </c>
      <c r="AA57" t="inlineStr">
        <is>
          <t>Pink Spark/Lucid Lemon/Lucid Blue</t>
        </is>
      </c>
      <c r="AB57" t="inlineStr">
        <is>
          <t>0196478207994</t>
        </is>
      </c>
      <c r="AC57" t="inlineStr">
        <is>
          <t>Amazon offer is in stock and shippable</t>
        </is>
      </c>
      <c r="AD57" t="inlineStr">
        <is>
          <t>adidas</t>
        </is>
      </c>
      <c r="AE57" t="inlineStr">
        <is>
          <t>10</t>
        </is>
      </c>
      <c r="AF57" t="inlineStr">
        <is>
          <t>https://m.media-amazon.com/images/I/61jOa2tsTIL.jpg;https://m.media-amazon.com/images/I/71S0p6FjELL.jpg;https://m.media-amazon.com/images/I/71mC9YJAHPL.jpg;https://m.media-amazon.com/images/I/91NdLPOJh2L.jpg;https://m.media-amazon.com/images/I/71Jn6yWAGmL.jpg;https://m.media-amazon.com/images/I/71TCuykiCwL.jpg</t>
        </is>
      </c>
      <c r="AG57" t="inlineStr">
        <is>
          <t>adidas womens VL Court Bold</t>
        </is>
      </c>
    </row>
    <row r="58">
      <c r="A58" t="inlineStr">
        <is>
          <t>com</t>
        </is>
      </c>
      <c r="B58" t="inlineStr">
        <is>
          <t>B0CMGF6ZYN</t>
        </is>
      </c>
      <c r="C58" t="inlineStr">
        <is>
          <t>adidas Women's VL Court Sneaker, Crew Orange/Blue/Purple Burst, 5</t>
        </is>
      </c>
      <c r="D58" t="inlineStr"/>
      <c r="E58" t="inlineStr"/>
      <c r="H58" t="inlineStr"/>
      <c r="I58" t="inlineStr"/>
      <c r="J58" t="n">
        <v>1</v>
      </c>
      <c r="K58" t="n">
        <v>1</v>
      </c>
      <c r="Q58" t="n">
        <v>-1</v>
      </c>
      <c r="R58" t="n">
        <v>-1</v>
      </c>
      <c r="S58" t="inlineStr"/>
      <c r="U58" t="n">
        <v>1.8959732</v>
      </c>
      <c r="V58" t="n">
        <v>6.61</v>
      </c>
      <c r="W58" t="inlineStr"/>
      <c r="X58" t="inlineStr">
        <is>
          <t>196478209059</t>
        </is>
      </c>
      <c r="Y58" t="inlineStr">
        <is>
          <t>IH8090</t>
        </is>
      </c>
      <c r="Z58" t="inlineStr">
        <is>
          <t>IH8090</t>
        </is>
      </c>
      <c r="AA58" t="inlineStr">
        <is>
          <t>Crew Orange/Blue/Purple Burst</t>
        </is>
      </c>
      <c r="AB58" t="inlineStr">
        <is>
          <t>0196478209059</t>
        </is>
      </c>
      <c r="AC58" t="inlineStr">
        <is>
          <t>no Amazon offer exists</t>
        </is>
      </c>
      <c r="AD58" t="inlineStr">
        <is>
          <t>adidas</t>
        </is>
      </c>
      <c r="AE58" t="inlineStr">
        <is>
          <t>5</t>
        </is>
      </c>
      <c r="AF58" t="inlineStr">
        <is>
          <t>https://m.media-amazon.com/images/I/61XHJlqFRuL.jpg;https://m.media-amazon.com/images/I/71Q-eRgJyLL.jpg;https://m.media-amazon.com/images/I/71jS8OoapJL.jpg;https://m.media-amazon.com/images/I/81Qutvp2WHL.jpg;https://m.media-amazon.com/images/I/71W8js0+3FL.jpg;https://m.media-amazon.com/images/I/71oR13+EmwL.jpg</t>
        </is>
      </c>
      <c r="AG58" t="inlineStr"/>
    </row>
    <row r="59">
      <c r="A59" t="inlineStr">
        <is>
          <t>com</t>
        </is>
      </c>
      <c r="B59" t="inlineStr">
        <is>
          <t>B0CMGKGZVL</t>
        </is>
      </c>
      <c r="C59" t="inlineStr">
        <is>
          <t>adidas Women's VL Court Sneaker, Crew Orange/Blue/Purple Burst, 5.5</t>
        </is>
      </c>
      <c r="D59" t="n">
        <v>101.46</v>
      </c>
      <c r="E59" t="n">
        <v>101.46</v>
      </c>
      <c r="H59" t="n">
        <v>155.06</v>
      </c>
      <c r="I59" t="n">
        <v>155.06</v>
      </c>
      <c r="J59" t="n">
        <v>0.5600000000000001</v>
      </c>
      <c r="K59" t="n">
        <v>1</v>
      </c>
      <c r="L59" t="n">
        <v>3</v>
      </c>
      <c r="M59" t="n">
        <v>3</v>
      </c>
      <c r="Q59" t="n">
        <v>-1</v>
      </c>
      <c r="R59" t="n">
        <v>-1</v>
      </c>
      <c r="S59" t="inlineStr"/>
      <c r="U59" t="n">
        <v>1.99959034</v>
      </c>
      <c r="V59" t="n">
        <v>7.86</v>
      </c>
      <c r="W59" t="inlineStr"/>
      <c r="X59" t="inlineStr">
        <is>
          <t>196478208069</t>
        </is>
      </c>
      <c r="Y59" t="inlineStr">
        <is>
          <t>IH8090</t>
        </is>
      </c>
      <c r="Z59" t="inlineStr">
        <is>
          <t>IH8090</t>
        </is>
      </c>
      <c r="AA59" t="inlineStr">
        <is>
          <t>Crew Orange/Blue/Purple Burst</t>
        </is>
      </c>
      <c r="AB59" t="inlineStr">
        <is>
          <t>0196478208069</t>
        </is>
      </c>
      <c r="AC59" t="inlineStr">
        <is>
          <t>no Amazon offer exists</t>
        </is>
      </c>
      <c r="AD59" t="inlineStr">
        <is>
          <t>adidas</t>
        </is>
      </c>
      <c r="AE59" t="inlineStr">
        <is>
          <t>5.5</t>
        </is>
      </c>
      <c r="AF59" t="inlineStr">
        <is>
          <t>https://m.media-amazon.com/images/I/61XHJlqFRuL.jpg;https://m.media-amazon.com/images/I/71Q-eRgJyLL.jpg;https://m.media-amazon.com/images/I/71jS8OoapJL.jpg;https://m.media-amazon.com/images/I/81Qutvp2WHL.jpg;https://m.media-amazon.com/images/I/71W8js0+3FL.jpg;https://m.media-amazon.com/images/I/71oR13+EmwL.jpg</t>
        </is>
      </c>
      <c r="AG59"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0">
      <c r="A60" t="inlineStr">
        <is>
          <t>com</t>
        </is>
      </c>
      <c r="B60" t="inlineStr">
        <is>
          <t>B0CMGRVWD2</t>
        </is>
      </c>
      <c r="C60" t="inlineStr">
        <is>
          <t>adidas Women's VL Court Sneaker, Crew Orange/Blue/Purple Burst, 6</t>
        </is>
      </c>
      <c r="D60" t="n">
        <v>106.21</v>
      </c>
      <c r="E60" t="n">
        <v>91.26000000000001</v>
      </c>
      <c r="H60" t="n">
        <v>105.7</v>
      </c>
      <c r="I60" t="n">
        <v>105.7</v>
      </c>
      <c r="J60" t="n">
        <v>0.33</v>
      </c>
      <c r="K60" t="n">
        <v>1</v>
      </c>
      <c r="L60" t="n">
        <v>4</v>
      </c>
      <c r="M60" t="n">
        <v>5</v>
      </c>
      <c r="Q60" t="n">
        <v>-1</v>
      </c>
      <c r="R60" t="n">
        <v>-1</v>
      </c>
      <c r="S60" t="inlineStr"/>
      <c r="U60" t="n">
        <v>1.984158</v>
      </c>
      <c r="V60" t="n">
        <v>6.61</v>
      </c>
      <c r="W60" t="n">
        <v>15.93</v>
      </c>
      <c r="X60" t="inlineStr">
        <is>
          <t>196478208014</t>
        </is>
      </c>
      <c r="Y60" t="inlineStr">
        <is>
          <t>IH8090</t>
        </is>
      </c>
      <c r="Z60" t="inlineStr">
        <is>
          <t>IH8090</t>
        </is>
      </c>
      <c r="AA60" t="inlineStr">
        <is>
          <t>Crew Orange/Blue/Purple Burst</t>
        </is>
      </c>
      <c r="AB60" t="inlineStr">
        <is>
          <t>0196478208014</t>
        </is>
      </c>
      <c r="AC60" t="inlineStr">
        <is>
          <t>no Amazon offer exists</t>
        </is>
      </c>
      <c r="AD60" t="inlineStr">
        <is>
          <t>adidas</t>
        </is>
      </c>
      <c r="AE60" t="inlineStr">
        <is>
          <t>6</t>
        </is>
      </c>
      <c r="AF60" t="inlineStr">
        <is>
          <t>https://m.media-amazon.com/images/I/61XHJlqFRuL.jpg;https://m.media-amazon.com/images/I/71Q-eRgJyLL.jpg;https://m.media-amazon.com/images/I/71jS8OoapJL.jpg;https://m.media-amazon.com/images/I/81Qutvp2WHL.jpg;https://m.media-amazon.com/images/I/71W8js0+3FL.jpg;https://m.media-amazon.com/images/I/71oR13+EmwL.jpg</t>
        </is>
      </c>
      <c r="AG60"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1">
      <c r="A61" t="inlineStr">
        <is>
          <t>com</t>
        </is>
      </c>
      <c r="B61" t="inlineStr">
        <is>
          <t>B0CMGN4PXX</t>
        </is>
      </c>
      <c r="C61" t="inlineStr">
        <is>
          <t>adidas Women's VL Court Sneaker, Crew Orange/Blue/Purple Burst, 6.5</t>
        </is>
      </c>
      <c r="D61" t="n">
        <v>106.35</v>
      </c>
      <c r="E61" t="n">
        <v>91.40000000000001</v>
      </c>
      <c r="H61" t="n">
        <v>105.64</v>
      </c>
      <c r="I61" t="n">
        <v>105.64</v>
      </c>
      <c r="J61" t="n">
        <v>0.33</v>
      </c>
      <c r="K61" t="n">
        <v>1</v>
      </c>
      <c r="L61" t="n">
        <v>4</v>
      </c>
      <c r="M61" t="n">
        <v>5</v>
      </c>
      <c r="Q61" t="n">
        <v>-1</v>
      </c>
      <c r="R61" t="n">
        <v>-1</v>
      </c>
      <c r="S61" t="inlineStr"/>
      <c r="U61" t="n">
        <v>2.0502966</v>
      </c>
      <c r="V61" t="n">
        <v>7.03</v>
      </c>
      <c r="W61" t="n">
        <v>15.95</v>
      </c>
      <c r="X61" t="inlineStr">
        <is>
          <t>196478208038</t>
        </is>
      </c>
      <c r="Y61" t="inlineStr">
        <is>
          <t>IH8090</t>
        </is>
      </c>
      <c r="Z61" t="inlineStr">
        <is>
          <t>IH8090</t>
        </is>
      </c>
      <c r="AA61" t="inlineStr">
        <is>
          <t>Crew Orange/Blue/Purple Burst</t>
        </is>
      </c>
      <c r="AB61" t="inlineStr">
        <is>
          <t>0196478208038</t>
        </is>
      </c>
      <c r="AC61" t="inlineStr">
        <is>
          <t>no Amazon offer exists</t>
        </is>
      </c>
      <c r="AD61" t="inlineStr">
        <is>
          <t>adidas</t>
        </is>
      </c>
      <c r="AE61" t="inlineStr">
        <is>
          <t>6.5</t>
        </is>
      </c>
      <c r="AF61" t="inlineStr">
        <is>
          <t>https://m.media-amazon.com/images/I/61XHJlqFRuL.jpg;https://m.media-amazon.com/images/I/71Q-eRgJyLL.jpg;https://m.media-amazon.com/images/I/71jS8OoapJL.jpg;https://m.media-amazon.com/images/I/81Qutvp2WHL.jpg;https://m.media-amazon.com/images/I/71W8js0+3FL.jpg;https://m.media-amazon.com/images/I/71oR13+EmwL.jpg</t>
        </is>
      </c>
      <c r="AG61"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2">
      <c r="A62" t="inlineStr">
        <is>
          <t>com</t>
        </is>
      </c>
      <c r="B62" t="inlineStr">
        <is>
          <t>B0CMGDHJ33</t>
        </is>
      </c>
      <c r="C62" t="inlineStr">
        <is>
          <t>adidas Women's VL Court Sneaker, Crew Orange/Blue/Purple Burst, 7</t>
        </is>
      </c>
      <c r="D62" t="n">
        <v>106.34</v>
      </c>
      <c r="E62" t="n">
        <v>91.39</v>
      </c>
      <c r="H62" t="n">
        <v>107.49</v>
      </c>
      <c r="I62" t="n">
        <v>107.49</v>
      </c>
      <c r="J62" t="n">
        <v>0.35</v>
      </c>
      <c r="K62" t="n">
        <v>1</v>
      </c>
      <c r="L62" t="n">
        <v>3</v>
      </c>
      <c r="M62" t="n">
        <v>4</v>
      </c>
      <c r="Q62" t="n">
        <v>-1</v>
      </c>
      <c r="R62" t="n">
        <v>-1</v>
      </c>
      <c r="S62" t="inlineStr"/>
      <c r="U62" t="n">
        <v>2.0502966</v>
      </c>
      <c r="V62" t="n">
        <v>7.54</v>
      </c>
      <c r="W62" t="n">
        <v>15.95</v>
      </c>
      <c r="X62" t="inlineStr">
        <is>
          <t>196478209097</t>
        </is>
      </c>
      <c r="Y62" t="inlineStr">
        <is>
          <t>IH8090</t>
        </is>
      </c>
      <c r="Z62" t="inlineStr">
        <is>
          <t>IH8090</t>
        </is>
      </c>
      <c r="AA62" t="inlineStr">
        <is>
          <t>Crew Orange/Blue/Purple Burst</t>
        </is>
      </c>
      <c r="AB62" t="inlineStr">
        <is>
          <t>0196478209097</t>
        </is>
      </c>
      <c r="AC62" t="inlineStr">
        <is>
          <t>no Amazon offer exists</t>
        </is>
      </c>
      <c r="AD62" t="inlineStr">
        <is>
          <t>adidas</t>
        </is>
      </c>
      <c r="AE62" t="inlineStr">
        <is>
          <t>7</t>
        </is>
      </c>
      <c r="AF62" t="inlineStr">
        <is>
          <t>https://m.media-amazon.com/images/I/61XHJlqFRuL.jpg;https://m.media-amazon.com/images/I/71Q-eRgJyLL.jpg;https://m.media-amazon.com/images/I/71jS8OoapJL.jpg;https://m.media-amazon.com/images/I/81Qutvp2WHL.jpg;https://m.media-amazon.com/images/I/71W8js0+3FL.jpg;https://m.media-amazon.com/images/I/71oR13+EmwL.jpg</t>
        </is>
      </c>
      <c r="AG62"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3">
      <c r="A63" t="inlineStr">
        <is>
          <t>com</t>
        </is>
      </c>
      <c r="B63" t="inlineStr">
        <is>
          <t>B0CMGX9T8S</t>
        </is>
      </c>
      <c r="C63" t="inlineStr">
        <is>
          <t>adidas Women's VL Court Sneaker, Crew Orange/Blue/Purple Burst, 7.5</t>
        </is>
      </c>
      <c r="D63" t="n">
        <v>106.34</v>
      </c>
      <c r="E63" t="n">
        <v>91.39</v>
      </c>
      <c r="H63" t="n">
        <v>107.31</v>
      </c>
      <c r="I63" t="n">
        <v>107.31</v>
      </c>
      <c r="J63" t="n">
        <v>0.33</v>
      </c>
      <c r="K63" t="n">
        <v>1</v>
      </c>
      <c r="L63" t="n">
        <v>3</v>
      </c>
      <c r="M63" t="n">
        <v>4</v>
      </c>
      <c r="Q63" t="n">
        <v>-1</v>
      </c>
      <c r="R63" t="n">
        <v>-1</v>
      </c>
      <c r="S63" t="inlineStr"/>
      <c r="U63" t="n">
        <v>2.07013818</v>
      </c>
      <c r="V63" t="n">
        <v>7.54</v>
      </c>
      <c r="W63" t="n">
        <v>15.95</v>
      </c>
      <c r="X63" t="inlineStr">
        <is>
          <t>196478209080</t>
        </is>
      </c>
      <c r="Y63" t="inlineStr">
        <is>
          <t>IH8090</t>
        </is>
      </c>
      <c r="Z63" t="inlineStr">
        <is>
          <t>IH8090</t>
        </is>
      </c>
      <c r="AA63" t="inlineStr">
        <is>
          <t>Crew Orange/Blue/Purple Burst</t>
        </is>
      </c>
      <c r="AB63" t="inlineStr">
        <is>
          <t>0196478209080</t>
        </is>
      </c>
      <c r="AC63" t="inlineStr">
        <is>
          <t>no Amazon offer exists</t>
        </is>
      </c>
      <c r="AD63" t="inlineStr">
        <is>
          <t>adidas</t>
        </is>
      </c>
      <c r="AE63" t="inlineStr">
        <is>
          <t>7.5</t>
        </is>
      </c>
      <c r="AF63" t="inlineStr">
        <is>
          <t>https://m.media-amazon.com/images/I/61XHJlqFRuL.jpg;https://m.media-amazon.com/images/I/71Q-eRgJyLL.jpg;https://m.media-amazon.com/images/I/71jS8OoapJL.jpg;https://m.media-amazon.com/images/I/81Qutvp2WHL.jpg;https://m.media-amazon.com/images/I/71W8js0+3FL.jpg;https://m.media-amazon.com/images/I/71oR13+EmwL.jpg</t>
        </is>
      </c>
      <c r="AG63"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4">
      <c r="A64" t="inlineStr">
        <is>
          <t>com</t>
        </is>
      </c>
      <c r="B64" t="inlineStr">
        <is>
          <t>B0CMGLWCBR</t>
        </is>
      </c>
      <c r="C64" t="inlineStr">
        <is>
          <t>adidas Women's VL Court Sneaker, Crew Orange/Blue/Purple Burst, 8</t>
        </is>
      </c>
      <c r="D64" t="n">
        <v>106.35</v>
      </c>
      <c r="E64" t="n">
        <v>91.40000000000001</v>
      </c>
      <c r="H64" t="n">
        <v>105.66</v>
      </c>
      <c r="I64" t="n">
        <v>105.66</v>
      </c>
      <c r="J64" t="n">
        <v>0.33</v>
      </c>
      <c r="K64" t="n">
        <v>1</v>
      </c>
      <c r="L64" t="n">
        <v>4</v>
      </c>
      <c r="M64" t="n">
        <v>5</v>
      </c>
      <c r="Q64" t="n">
        <v>-1</v>
      </c>
      <c r="R64" t="n">
        <v>-1</v>
      </c>
      <c r="S64" t="inlineStr"/>
      <c r="U64" t="n">
        <v>2.0502966</v>
      </c>
      <c r="V64" t="n">
        <v>7.54</v>
      </c>
      <c r="W64" t="n">
        <v>15.95</v>
      </c>
      <c r="X64" t="inlineStr">
        <is>
          <t>196478208052</t>
        </is>
      </c>
      <c r="Y64" t="inlineStr">
        <is>
          <t>IH8090</t>
        </is>
      </c>
      <c r="Z64" t="inlineStr">
        <is>
          <t>IH8090</t>
        </is>
      </c>
      <c r="AA64" t="inlineStr">
        <is>
          <t>Crew Orange/Blue/Purple Burst</t>
        </is>
      </c>
      <c r="AB64" t="inlineStr">
        <is>
          <t>0196478208052</t>
        </is>
      </c>
      <c r="AC64" t="inlineStr">
        <is>
          <t>no Amazon offer exists</t>
        </is>
      </c>
      <c r="AD64" t="inlineStr">
        <is>
          <t>adidas</t>
        </is>
      </c>
      <c r="AE64" t="inlineStr">
        <is>
          <t>8</t>
        </is>
      </c>
      <c r="AF64" t="inlineStr">
        <is>
          <t>https://m.media-amazon.com/images/I/61XHJlqFRuL.jpg;https://m.media-amazon.com/images/I/71Q-eRgJyLL.jpg;https://m.media-amazon.com/images/I/71jS8OoapJL.jpg;https://m.media-amazon.com/images/I/81Qutvp2WHL.jpg;https://m.media-amazon.com/images/I/71W8js0+3FL.jpg;https://m.media-amazon.com/images/I/71oR13+EmwL.jpg</t>
        </is>
      </c>
      <c r="AG64"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5">
      <c r="A65" t="inlineStr">
        <is>
          <t>com</t>
        </is>
      </c>
      <c r="B65" t="inlineStr">
        <is>
          <t>B0CMGSV8K5</t>
        </is>
      </c>
      <c r="C65" t="inlineStr">
        <is>
          <t>adidas Women's VL Court Sneaker, Crew Orange/Blue/Purple Burst, 8.5</t>
        </is>
      </c>
      <c r="D65" t="n">
        <v>106.35</v>
      </c>
      <c r="E65" t="n">
        <v>91.40000000000001</v>
      </c>
      <c r="F65" t="n">
        <v>3321756</v>
      </c>
      <c r="G65" t="n">
        <v>2179954</v>
      </c>
      <c r="H65" t="n">
        <v>105.6</v>
      </c>
      <c r="I65" t="n">
        <v>105.6</v>
      </c>
      <c r="J65" t="n">
        <v>0.33</v>
      </c>
      <c r="K65" t="n">
        <v>1</v>
      </c>
      <c r="L65" t="n">
        <v>4</v>
      </c>
      <c r="M65" t="n">
        <v>5</v>
      </c>
      <c r="Q65" t="n">
        <v>0</v>
      </c>
      <c r="R65" t="n">
        <v>0</v>
      </c>
      <c r="S65" t="inlineStr"/>
      <c r="U65" t="n">
        <v>2.3589434</v>
      </c>
      <c r="V65" t="n">
        <v>7.7</v>
      </c>
      <c r="W65" t="n">
        <v>15.95</v>
      </c>
      <c r="X65" t="inlineStr">
        <is>
          <t>196478209042</t>
        </is>
      </c>
      <c r="Y65" t="inlineStr">
        <is>
          <t>IH8090</t>
        </is>
      </c>
      <c r="Z65" t="inlineStr">
        <is>
          <t>IH8090</t>
        </is>
      </c>
      <c r="AA65" t="inlineStr">
        <is>
          <t>Crew Orange/Blue/Purple Burst</t>
        </is>
      </c>
      <c r="AB65" t="inlineStr">
        <is>
          <t>0196478209042</t>
        </is>
      </c>
      <c r="AC65" t="inlineStr">
        <is>
          <t>no Amazon offer exists</t>
        </is>
      </c>
      <c r="AD65" t="inlineStr">
        <is>
          <t>adidas</t>
        </is>
      </c>
      <c r="AE65" t="inlineStr">
        <is>
          <t>8.5</t>
        </is>
      </c>
      <c r="AF65" t="inlineStr">
        <is>
          <t>https://m.media-amazon.com/images/I/61XHJlqFRuL.jpg;https://m.media-amazon.com/images/I/71Q-eRgJyLL.jpg;https://m.media-amazon.com/images/I/71jS8OoapJL.jpg;https://m.media-amazon.com/images/I/81Qutvp2WHL.jpg;https://m.media-amazon.com/images/I/71W8js0+3FL.jpg;https://m.media-amazon.com/images/I/71oR13+EmwL.jpg</t>
        </is>
      </c>
      <c r="AG65"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6">
      <c r="A66" t="inlineStr">
        <is>
          <t>com</t>
        </is>
      </c>
      <c r="B66" t="inlineStr">
        <is>
          <t>B0CMGKFF9Z</t>
        </is>
      </c>
      <c r="C66" t="inlineStr">
        <is>
          <t>adidas Women's VL Court Sneaker, Crew Orange/Blue/Purple Burst, 9</t>
        </is>
      </c>
      <c r="D66" t="n">
        <v>106.35</v>
      </c>
      <c r="E66" t="n">
        <v>91.40000000000001</v>
      </c>
      <c r="H66" t="n">
        <v>105.66</v>
      </c>
      <c r="I66" t="n">
        <v>105.66</v>
      </c>
      <c r="J66" t="n">
        <v>0.33</v>
      </c>
      <c r="K66" t="n">
        <v>1</v>
      </c>
      <c r="L66" t="n">
        <v>4</v>
      </c>
      <c r="M66" t="n">
        <v>5</v>
      </c>
      <c r="Q66" t="n">
        <v>-1</v>
      </c>
      <c r="R66" t="n">
        <v>-1</v>
      </c>
      <c r="S66" t="inlineStr"/>
      <c r="U66" t="n">
        <v>2.425082</v>
      </c>
      <c r="V66" t="n">
        <v>7.78</v>
      </c>
      <c r="W66" t="n">
        <v>15.95</v>
      </c>
      <c r="X66" t="inlineStr">
        <is>
          <t>196478208076</t>
        </is>
      </c>
      <c r="Y66" t="inlineStr">
        <is>
          <t>IH8090</t>
        </is>
      </c>
      <c r="Z66" t="inlineStr">
        <is>
          <t>IH8090</t>
        </is>
      </c>
      <c r="AA66" t="inlineStr">
        <is>
          <t>Crew Orange/Blue/Purple Burst</t>
        </is>
      </c>
      <c r="AB66" t="inlineStr">
        <is>
          <t>0196478208076</t>
        </is>
      </c>
      <c r="AC66" t="inlineStr">
        <is>
          <t>no Amazon offer exists</t>
        </is>
      </c>
      <c r="AD66" t="inlineStr">
        <is>
          <t>adidas</t>
        </is>
      </c>
      <c r="AE66" t="inlineStr">
        <is>
          <t>9</t>
        </is>
      </c>
      <c r="AF66" t="inlineStr">
        <is>
          <t>https://m.media-amazon.com/images/I/61XHJlqFRuL.jpg;https://m.media-amazon.com/images/I/71Q-eRgJyLL.jpg;https://m.media-amazon.com/images/I/71jS8OoapJL.jpg;https://m.media-amazon.com/images/I/81Qutvp2WHL.jpg;https://m.media-amazon.com/images/I/71W8js0+3FL.jpg;https://m.media-amazon.com/images/I/71oR13+EmwL.jpg</t>
        </is>
      </c>
      <c r="AG66" t="inlineStr">
        <is>
          <t>Description
Introducing the Vl Court Bold Shoes, ideal for the woman with a casual yet vibrant lifestyle. These low-cut shoes blend skateboarding style with streetwear aesthetics, featuring a regular fit and lace closure. Crafted from synthetics and textiles, with a sturdy rubber outsole, these shoes are designed for comfort, durability and timeless appeal.</t>
        </is>
      </c>
    </row>
    <row r="67">
      <c r="A67" t="inlineStr">
        <is>
          <t>com</t>
        </is>
      </c>
      <c r="B67" t="inlineStr">
        <is>
          <t>B0CMGFK5WK</t>
        </is>
      </c>
      <c r="C67" t="inlineStr">
        <is>
          <t>adidas Women's VL Court Sneaker, Crew Orange/Blue/Purple Burst, 9.5</t>
        </is>
      </c>
      <c r="D67" t="n">
        <v>106.35</v>
      </c>
      <c r="E67" t="n">
        <v>91.40000000000001</v>
      </c>
      <c r="H67" t="n">
        <v>105.67</v>
      </c>
      <c r="I67" t="n">
        <v>105.67</v>
      </c>
      <c r="J67" t="n">
        <v>0.33</v>
      </c>
      <c r="K67" t="n">
        <v>1</v>
      </c>
      <c r="L67" t="n">
        <v>4</v>
      </c>
      <c r="M67" t="n">
        <v>5</v>
      </c>
      <c r="Q67" t="n">
        <v>-1</v>
      </c>
      <c r="R67" t="n">
        <v>-1</v>
      </c>
      <c r="S67" t="inlineStr"/>
      <c r="U67" t="n">
        <v>2.3589434</v>
      </c>
      <c r="V67" t="n">
        <v>7.78</v>
      </c>
      <c r="W67" t="n">
        <v>15.95</v>
      </c>
      <c r="X67" t="inlineStr">
        <is>
          <t>196478208045</t>
        </is>
      </c>
      <c r="Y67" t="inlineStr">
        <is>
          <t>IH8090</t>
        </is>
      </c>
      <c r="Z67" t="inlineStr">
        <is>
          <t>IH8090</t>
        </is>
      </c>
      <c r="AA67" t="inlineStr">
        <is>
          <t>Crew Orange/Blue/Purple Burst</t>
        </is>
      </c>
      <c r="AB67" t="inlineStr">
        <is>
          <t>0196478208045</t>
        </is>
      </c>
      <c r="AC67" t="inlineStr">
        <is>
          <t>no Amazon offer exists</t>
        </is>
      </c>
      <c r="AD67" t="inlineStr">
        <is>
          <t>adidas</t>
        </is>
      </c>
      <c r="AE67" t="inlineStr">
        <is>
          <t>9.5</t>
        </is>
      </c>
      <c r="AF67" t="inlineStr">
        <is>
          <t>https://m.media-amazon.com/images/I/61XHJlqFRuL.jpg;https://m.media-amazon.com/images/I/71Q-eRgJyLL.jpg;https://m.media-amazon.com/images/I/71jS8OoapJL.jpg;https://m.media-amazon.com/images/I/81Qutvp2WHL.jpg;https://m.media-amazon.com/images/I/71W8js0+3FL.jpg;https://m.media-amazon.com/images/I/71oR13+EmwL.jpg</t>
        </is>
      </c>
      <c r="AG67" t="inlineStr"/>
    </row>
    <row r="68">
      <c r="A68" t="inlineStr">
        <is>
          <t>com</t>
        </is>
      </c>
      <c r="B68" t="inlineStr">
        <is>
          <t>B0CMGH153J</t>
        </is>
      </c>
      <c r="C68" t="inlineStr">
        <is>
          <t>adidas Women's VL Court Sneaker, Crew Orange/Blue/Purple Burst, 10</t>
        </is>
      </c>
      <c r="D68" t="n">
        <v>106.75</v>
      </c>
      <c r="E68" t="n">
        <v>91.8</v>
      </c>
      <c r="H68" t="n">
        <v>105.75</v>
      </c>
      <c r="I68" t="n">
        <v>105.75</v>
      </c>
      <c r="J68" t="n">
        <v>0.33</v>
      </c>
      <c r="K68" t="n">
        <v>1</v>
      </c>
      <c r="L68" t="n">
        <v>4</v>
      </c>
      <c r="M68" t="n">
        <v>5</v>
      </c>
      <c r="Q68" t="n">
        <v>-1</v>
      </c>
      <c r="R68" t="n">
        <v>-1</v>
      </c>
      <c r="S68" t="inlineStr"/>
      <c r="U68" t="n">
        <v>2.5573592</v>
      </c>
      <c r="V68" t="n">
        <v>7.78</v>
      </c>
      <c r="W68" t="n">
        <v>16.01</v>
      </c>
      <c r="X68" t="inlineStr">
        <is>
          <t>196478208021</t>
        </is>
      </c>
      <c r="Y68" t="inlineStr">
        <is>
          <t>IH8090</t>
        </is>
      </c>
      <c r="Z68" t="inlineStr">
        <is>
          <t>IH8090</t>
        </is>
      </c>
      <c r="AA68" t="inlineStr">
        <is>
          <t>Crew Orange/Blue/Purple Burst</t>
        </is>
      </c>
      <c r="AB68" t="inlineStr">
        <is>
          <t>0196478208021</t>
        </is>
      </c>
      <c r="AC68" t="inlineStr">
        <is>
          <t>no Amazon offer exists</t>
        </is>
      </c>
      <c r="AD68" t="inlineStr">
        <is>
          <t>adidas</t>
        </is>
      </c>
      <c r="AE68" t="inlineStr">
        <is>
          <t>10</t>
        </is>
      </c>
      <c r="AF68" t="inlineStr">
        <is>
          <t>https://m.media-amazon.com/images/I/61XHJlqFRuL.jpg;https://m.media-amazon.com/images/I/71Q-eRgJyLL.jpg;https://m.media-amazon.com/images/I/71jS8OoapJL.jpg;https://m.media-amazon.com/images/I/81Qutvp2WHL.jpg;https://m.media-amazon.com/images/I/71W8js0+3FL.jpg;https://m.media-amazon.com/images/I/71oR13+EmwL.jpg</t>
        </is>
      </c>
      <c r="AG68" t="inlineStr"/>
    </row>
    <row r="69">
      <c r="A69" t="inlineStr">
        <is>
          <t>com</t>
        </is>
      </c>
      <c r="B69" t="inlineStr">
        <is>
          <t>B0CMGTDN56</t>
        </is>
      </c>
      <c r="C69" t="inlineStr">
        <is>
          <t>adidas Women's VL Court Sneaker, Crew Orange/Blue/Purple Burst, 11</t>
        </is>
      </c>
      <c r="D69" t="n">
        <v>90.04000000000001</v>
      </c>
      <c r="E69" t="n">
        <v>90.04000000000001</v>
      </c>
      <c r="H69" t="inlineStr"/>
      <c r="I69" t="inlineStr"/>
      <c r="J69" t="n">
        <v>0.33</v>
      </c>
      <c r="K69" t="n">
        <v>1</v>
      </c>
      <c r="L69" t="n">
        <v>4</v>
      </c>
      <c r="M69" t="n">
        <v>5</v>
      </c>
      <c r="Q69" t="n">
        <v>-1</v>
      </c>
      <c r="R69" t="n">
        <v>-1</v>
      </c>
      <c r="S69" t="inlineStr"/>
      <c r="U69" t="n">
        <v>2.66979482</v>
      </c>
      <c r="V69" t="n">
        <v>7.86</v>
      </c>
      <c r="W69" t="inlineStr"/>
      <c r="X69" t="inlineStr">
        <is>
          <t>196478209073</t>
        </is>
      </c>
      <c r="Y69" t="inlineStr">
        <is>
          <t>IH8090</t>
        </is>
      </c>
      <c r="Z69" t="inlineStr">
        <is>
          <t>IH8090</t>
        </is>
      </c>
      <c r="AA69" t="inlineStr">
        <is>
          <t>Crew Orange/Blue/Purple Burst</t>
        </is>
      </c>
      <c r="AB69" t="inlineStr">
        <is>
          <t>0196478209073</t>
        </is>
      </c>
      <c r="AC69" t="inlineStr">
        <is>
          <t>no Amazon offer exists</t>
        </is>
      </c>
      <c r="AD69" t="inlineStr">
        <is>
          <t>adidas</t>
        </is>
      </c>
      <c r="AE69" t="inlineStr">
        <is>
          <t>11</t>
        </is>
      </c>
      <c r="AF69" t="inlineStr">
        <is>
          <t>https://m.media-amazon.com/images/I/61XHJlqFRuL.jpg;https://m.media-amazon.com/images/I/71Q-eRgJyLL.jpg;https://m.media-amazon.com/images/I/71jS8OoapJL.jpg;https://m.media-amazon.com/images/I/81Qutvp2WHL.jpg;https://m.media-amazon.com/images/I/71W8js0+3FL.jpg;https://m.media-amazon.com/images/I/71oR13+EmwL.jpg</t>
        </is>
      </c>
      <c r="AG69" t="inlineStr"/>
    </row>
    <row r="70">
      <c r="A70" t="inlineStr">
        <is>
          <t>com</t>
        </is>
      </c>
      <c r="B70" t="inlineStr">
        <is>
          <t>B0CCQHYPQN</t>
        </is>
      </c>
      <c r="C70" t="inlineStr">
        <is>
          <t>adidas Women's VL Court Bold Sneaker, Grey/Off White/White, 6</t>
        </is>
      </c>
      <c r="D70" t="n">
        <v>100.87</v>
      </c>
      <c r="E70" t="n">
        <v>100.87</v>
      </c>
      <c r="F70" t="n">
        <v>32687</v>
      </c>
      <c r="G70" t="n">
        <v>48401</v>
      </c>
      <c r="H70" t="n">
        <v>79.95</v>
      </c>
      <c r="I70" t="n">
        <v>75.15000000000001</v>
      </c>
      <c r="J70" t="n">
        <v>0.14</v>
      </c>
      <c r="K70" t="n">
        <v>1</v>
      </c>
      <c r="L70" t="n">
        <v>1</v>
      </c>
      <c r="M70" t="n">
        <v>1</v>
      </c>
      <c r="N70" t="n">
        <v>4.4</v>
      </c>
      <c r="O70" t="n">
        <v>1</v>
      </c>
      <c r="P70" t="n">
        <v>56</v>
      </c>
      <c r="Q70" t="n">
        <v>23</v>
      </c>
      <c r="R70" t="n">
        <v>59</v>
      </c>
      <c r="S70" t="inlineStr">
        <is>
          <t>B0DG337M34</t>
        </is>
      </c>
      <c r="U70" t="n">
        <v>1.95990718</v>
      </c>
      <c r="V70" t="n">
        <v>6.61</v>
      </c>
      <c r="W70" t="inlineStr"/>
      <c r="X70" t="inlineStr">
        <is>
          <t>196478772966</t>
        </is>
      </c>
      <c r="Y70" t="inlineStr">
        <is>
          <t>NLK49</t>
        </is>
      </c>
      <c r="Z70" t="inlineStr">
        <is>
          <t>NLK49</t>
        </is>
      </c>
      <c r="AA70" t="inlineStr">
        <is>
          <t>Grey/Off White/White</t>
        </is>
      </c>
      <c r="AB70" t="inlineStr">
        <is>
          <t>0196478772966</t>
        </is>
      </c>
      <c r="AC70" t="inlineStr">
        <is>
          <t>no Amazon offer exists</t>
        </is>
      </c>
      <c r="AD70" t="inlineStr">
        <is>
          <t>adidas</t>
        </is>
      </c>
      <c r="AE70" t="inlineStr">
        <is>
          <t>6</t>
        </is>
      </c>
      <c r="AF70"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0" t="inlineStr">
        <is>
          <t>Description
adidas womens VL Court Bold</t>
        </is>
      </c>
    </row>
    <row r="71">
      <c r="A71" t="inlineStr">
        <is>
          <t>com</t>
        </is>
      </c>
      <c r="B71" t="inlineStr">
        <is>
          <t>B0CCQJXDW8</t>
        </is>
      </c>
      <c r="C71" t="inlineStr">
        <is>
          <t>adidas Women's VL Court Bold Sneaker, Grey/Off White/White, 6.5</t>
        </is>
      </c>
      <c r="D71" t="n">
        <v>97</v>
      </c>
      <c r="E71" t="n">
        <v>97</v>
      </c>
      <c r="F71" t="n">
        <v>32301</v>
      </c>
      <c r="G71" t="n">
        <v>48007</v>
      </c>
      <c r="H71" t="n">
        <v>80.90000000000001</v>
      </c>
      <c r="I71" t="n">
        <v>81.86</v>
      </c>
      <c r="J71" t="n">
        <v>0</v>
      </c>
      <c r="K71" t="n">
        <v>0.97</v>
      </c>
      <c r="L71" t="n">
        <v>5</v>
      </c>
      <c r="M71" t="n">
        <v>7</v>
      </c>
      <c r="N71" t="n">
        <v>4.4</v>
      </c>
      <c r="O71" t="n">
        <v>1</v>
      </c>
      <c r="P71" t="n">
        <v>56</v>
      </c>
      <c r="Q71" t="n">
        <v>34</v>
      </c>
      <c r="R71" t="n">
        <v>86</v>
      </c>
      <c r="S71" t="inlineStr">
        <is>
          <t>B0DG337M34</t>
        </is>
      </c>
      <c r="U71" t="n">
        <v>2.14068602</v>
      </c>
      <c r="V71" t="n">
        <v>7.78</v>
      </c>
      <c r="W71" t="inlineStr"/>
      <c r="X71" t="inlineStr">
        <is>
          <t>196478776612</t>
        </is>
      </c>
      <c r="Y71" t="inlineStr">
        <is>
          <t>NLK49</t>
        </is>
      </c>
      <c r="Z71" t="inlineStr">
        <is>
          <t>NLK49</t>
        </is>
      </c>
      <c r="AA71" t="inlineStr">
        <is>
          <t>Grey/Off White/White</t>
        </is>
      </c>
      <c r="AB71" t="inlineStr">
        <is>
          <t>0196478776612</t>
        </is>
      </c>
      <c r="AC71" t="inlineStr">
        <is>
          <t>no Amazon offer exists</t>
        </is>
      </c>
      <c r="AD71" t="inlineStr">
        <is>
          <t>adidas</t>
        </is>
      </c>
      <c r="AE71" t="inlineStr">
        <is>
          <t>6.5</t>
        </is>
      </c>
      <c r="AF71"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1" t="inlineStr">
        <is>
          <t>Description
adidas womens VL Court Bold</t>
        </is>
      </c>
    </row>
    <row r="72">
      <c r="A72" t="inlineStr">
        <is>
          <t>com</t>
        </is>
      </c>
      <c r="B72" t="inlineStr">
        <is>
          <t>B0CCQJ6BB6</t>
        </is>
      </c>
      <c r="C72" t="inlineStr">
        <is>
          <t>adidas Women's VL Court Bold Sneaker, Grey/Off White/White, 7</t>
        </is>
      </c>
      <c r="D72" t="n">
        <v>97</v>
      </c>
      <c r="E72" t="n">
        <v>97</v>
      </c>
      <c r="F72" t="n">
        <v>33534</v>
      </c>
      <c r="G72" t="n">
        <v>48996</v>
      </c>
      <c r="H72" t="n">
        <v>79.95</v>
      </c>
      <c r="I72" t="n">
        <v>89.38</v>
      </c>
      <c r="J72" t="n">
        <v>0</v>
      </c>
      <c r="K72" t="n">
        <v>0.98</v>
      </c>
      <c r="L72" t="n">
        <v>4</v>
      </c>
      <c r="M72" t="n">
        <v>4</v>
      </c>
      <c r="N72" t="n">
        <v>4.4</v>
      </c>
      <c r="O72" t="n">
        <v>1</v>
      </c>
      <c r="P72" t="n">
        <v>56</v>
      </c>
      <c r="Q72" t="n">
        <v>42</v>
      </c>
      <c r="R72" t="n">
        <v>97</v>
      </c>
      <c r="S72" t="inlineStr">
        <is>
          <t>B0DG337M34</t>
        </is>
      </c>
      <c r="U72" t="n">
        <v>2.20021076</v>
      </c>
      <c r="V72" t="n">
        <v>7.54</v>
      </c>
      <c r="W72" t="inlineStr"/>
      <c r="X72" t="inlineStr">
        <is>
          <t>196478776643</t>
        </is>
      </c>
      <c r="Y72" t="inlineStr">
        <is>
          <t>NLK49</t>
        </is>
      </c>
      <c r="Z72" t="inlineStr">
        <is>
          <t>NLK49</t>
        </is>
      </c>
      <c r="AA72" t="inlineStr">
        <is>
          <t>Grey/Off White/White</t>
        </is>
      </c>
      <c r="AB72" t="inlineStr">
        <is>
          <t>0196478776643</t>
        </is>
      </c>
      <c r="AC72" t="inlineStr">
        <is>
          <t>no Amazon offer exists</t>
        </is>
      </c>
      <c r="AD72" t="inlineStr">
        <is>
          <t>adidas</t>
        </is>
      </c>
      <c r="AE72" t="inlineStr">
        <is>
          <t>7</t>
        </is>
      </c>
      <c r="AF72"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2" t="inlineStr">
        <is>
          <t>Description
adidas womens VL Court Bold</t>
        </is>
      </c>
    </row>
    <row r="73">
      <c r="A73" t="inlineStr">
        <is>
          <t>com</t>
        </is>
      </c>
      <c r="B73" t="inlineStr">
        <is>
          <t>B0CCQ3ZNHC</t>
        </is>
      </c>
      <c r="C73" t="inlineStr">
        <is>
          <t>adidas Women's VL Court Bold Sneaker, Grey/Off White/White, 7.5</t>
        </is>
      </c>
      <c r="D73" t="n">
        <v>79.95</v>
      </c>
      <c r="E73" t="n">
        <v>79.95</v>
      </c>
      <c r="F73" t="n">
        <v>36477</v>
      </c>
      <c r="G73" t="n">
        <v>48349</v>
      </c>
      <c r="H73" t="n">
        <v>81.91</v>
      </c>
      <c r="I73" t="n">
        <v>80.18000000000001</v>
      </c>
      <c r="J73" t="n">
        <v>0.19</v>
      </c>
      <c r="K73" t="n">
        <v>0.98</v>
      </c>
      <c r="L73" t="n">
        <v>2</v>
      </c>
      <c r="M73" t="n">
        <v>3</v>
      </c>
      <c r="N73" t="n">
        <v>4.5</v>
      </c>
      <c r="O73" t="n">
        <v>1</v>
      </c>
      <c r="P73" t="n">
        <v>56</v>
      </c>
      <c r="Q73" t="n">
        <v>27</v>
      </c>
      <c r="R73" t="n">
        <v>69</v>
      </c>
      <c r="S73" t="inlineStr">
        <is>
          <t>B0DG337M34</t>
        </is>
      </c>
      <c r="U73" t="n">
        <v>2.25091702</v>
      </c>
      <c r="V73" t="n">
        <v>7.62</v>
      </c>
      <c r="W73" t="n">
        <v>11.99</v>
      </c>
      <c r="X73" t="inlineStr">
        <is>
          <t>196478772980</t>
        </is>
      </c>
      <c r="Y73" t="inlineStr">
        <is>
          <t>NLK49</t>
        </is>
      </c>
      <c r="Z73" t="inlineStr">
        <is>
          <t>NLK49</t>
        </is>
      </c>
      <c r="AA73" t="inlineStr">
        <is>
          <t>Grey/Off White/White</t>
        </is>
      </c>
      <c r="AB73" t="inlineStr">
        <is>
          <t>0196478772980</t>
        </is>
      </c>
      <c r="AC73" t="inlineStr">
        <is>
          <t>no Amazon offer exists</t>
        </is>
      </c>
      <c r="AD73" t="inlineStr">
        <is>
          <t>adidas</t>
        </is>
      </c>
      <c r="AE73" t="inlineStr">
        <is>
          <t>7.5</t>
        </is>
      </c>
      <c r="AF73"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3" t="inlineStr">
        <is>
          <t>Description
adidas womens VL Court Bold</t>
        </is>
      </c>
    </row>
    <row r="74">
      <c r="A74" t="inlineStr">
        <is>
          <t>com</t>
        </is>
      </c>
      <c r="B74" t="inlineStr">
        <is>
          <t>B0CCPYK6XY</t>
        </is>
      </c>
      <c r="C74" t="inlineStr">
        <is>
          <t>adidas Women's VL Court Bold Sneaker, Grey/Off White/White, 8</t>
        </is>
      </c>
      <c r="D74" t="n">
        <v>79.95</v>
      </c>
      <c r="E74" t="n">
        <v>79.95</v>
      </c>
      <c r="F74" t="n">
        <v>33534</v>
      </c>
      <c r="G74" t="n">
        <v>48673</v>
      </c>
      <c r="H74" t="n">
        <v>83</v>
      </c>
      <c r="I74" t="n">
        <v>77.59999999999999</v>
      </c>
      <c r="J74" t="n">
        <v>0</v>
      </c>
      <c r="K74" t="n">
        <v>0.96</v>
      </c>
      <c r="L74" t="n">
        <v>5</v>
      </c>
      <c r="M74" t="n">
        <v>6</v>
      </c>
      <c r="N74" t="n">
        <v>4.4</v>
      </c>
      <c r="O74" t="n">
        <v>0</v>
      </c>
      <c r="P74" t="n">
        <v>56</v>
      </c>
      <c r="Q74" t="n">
        <v>46</v>
      </c>
      <c r="R74" t="n">
        <v>118</v>
      </c>
      <c r="S74" t="inlineStr">
        <is>
          <t>B0DG337M34</t>
        </is>
      </c>
      <c r="U74" t="n">
        <v>2.33910182</v>
      </c>
      <c r="V74" t="n">
        <v>7.54</v>
      </c>
      <c r="W74" t="n">
        <v>11.99</v>
      </c>
      <c r="X74" t="inlineStr">
        <is>
          <t>196478776636</t>
        </is>
      </c>
      <c r="Y74" t="inlineStr">
        <is>
          <t>NLK49</t>
        </is>
      </c>
      <c r="Z74" t="inlineStr">
        <is>
          <t>NLK49</t>
        </is>
      </c>
      <c r="AA74" t="inlineStr">
        <is>
          <t>Grey/Off White/White</t>
        </is>
      </c>
      <c r="AB74" t="inlineStr">
        <is>
          <t>0196478776636</t>
        </is>
      </c>
      <c r="AC74" t="inlineStr">
        <is>
          <t>no Amazon offer exists</t>
        </is>
      </c>
      <c r="AD74" t="inlineStr">
        <is>
          <t>adidas</t>
        </is>
      </c>
      <c r="AE74" t="inlineStr">
        <is>
          <t>8</t>
        </is>
      </c>
      <c r="AF74"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4" t="inlineStr">
        <is>
          <t>Description
adidas womens VL Court Bold</t>
        </is>
      </c>
    </row>
    <row r="75">
      <c r="A75" t="inlineStr">
        <is>
          <t>com</t>
        </is>
      </c>
      <c r="B75" t="inlineStr">
        <is>
          <t>B0CCQDCQW6</t>
        </is>
      </c>
      <c r="C75" t="inlineStr">
        <is>
          <t>adidas Women's VL Court Bold Sneaker, Grey/Off White/White, 8.5</t>
        </is>
      </c>
      <c r="D75" t="n">
        <v>79.95</v>
      </c>
      <c r="E75" t="n">
        <v>79.95</v>
      </c>
      <c r="F75" t="n">
        <v>33534</v>
      </c>
      <c r="G75" t="n">
        <v>48498</v>
      </c>
      <c r="H75" t="n">
        <v>81.02</v>
      </c>
      <c r="I75" t="n">
        <v>77.76000000000001</v>
      </c>
      <c r="J75" t="n">
        <v>0</v>
      </c>
      <c r="K75" t="n">
        <v>0.97</v>
      </c>
      <c r="L75" t="n">
        <v>6</v>
      </c>
      <c r="M75" t="n">
        <v>8</v>
      </c>
      <c r="N75" t="n">
        <v>4.4</v>
      </c>
      <c r="O75" t="n">
        <v>0</v>
      </c>
      <c r="P75" t="n">
        <v>56</v>
      </c>
      <c r="Q75" t="n">
        <v>40</v>
      </c>
      <c r="R75" t="n">
        <v>97</v>
      </c>
      <c r="S75" t="inlineStr">
        <is>
          <t>B0DG337M34</t>
        </is>
      </c>
      <c r="U75" t="n">
        <v>2.29060018</v>
      </c>
      <c r="V75" t="n">
        <v>8.42</v>
      </c>
      <c r="W75" t="n">
        <v>11.99</v>
      </c>
      <c r="X75" t="inlineStr">
        <is>
          <t>196478772973</t>
        </is>
      </c>
      <c r="Y75" t="inlineStr">
        <is>
          <t>NLK49</t>
        </is>
      </c>
      <c r="Z75" t="inlineStr">
        <is>
          <t>NLK49</t>
        </is>
      </c>
      <c r="AA75" t="inlineStr">
        <is>
          <t>Grey/Off White/White</t>
        </is>
      </c>
      <c r="AB75" t="inlineStr">
        <is>
          <t>0196478772973</t>
        </is>
      </c>
      <c r="AC75" t="inlineStr">
        <is>
          <t>no Amazon offer exists</t>
        </is>
      </c>
      <c r="AD75" t="inlineStr">
        <is>
          <t>adidas</t>
        </is>
      </c>
      <c r="AE75" t="inlineStr">
        <is>
          <t>8.5</t>
        </is>
      </c>
      <c r="AF75" t="inlineStr">
        <is>
          <t>https://m.media-amazon.com/images/I/413W+p8LGNL.jpg;https://m.media-amazon.com/images/I/31ne5t6pLhL.jpg;https://m.media-amazon.com/images/I/31ZGf3+hDDL.jpg;https://m.media-amazon.com/images/I/31TA8H+3ltL.jpg;https://m.media-amazon.com/images/I/41dGQovPw5L.jpg;https://m.media-amazon.com/images/I/31XYLBP5LjL.jpg;https://m.media-amazon.com/images/I/31C4wtDsNEL.jpg</t>
        </is>
      </c>
      <c r="AG75" t="inlineStr">
        <is>
          <t>Description
adidas womens VL Court Bold</t>
        </is>
      </c>
    </row>
    <row r="76">
      <c r="A76" t="inlineStr">
        <is>
          <t>com</t>
        </is>
      </c>
      <c r="B76" t="inlineStr">
        <is>
          <t>B0CCQ6VKDJ</t>
        </is>
      </c>
      <c r="C76" t="inlineStr">
        <is>
          <t>adidas Women's VL Court Bold Sneaker, Grey/Off White/White, 9</t>
        </is>
      </c>
      <c r="D76" t="n">
        <v>79.95</v>
      </c>
      <c r="E76" t="n">
        <v>79.95</v>
      </c>
      <c r="F76" t="n">
        <v>33534</v>
      </c>
      <c r="G76" t="n">
        <v>49192</v>
      </c>
      <c r="H76" t="n">
        <v>82.27</v>
      </c>
      <c r="I76" t="n">
        <v>80.75</v>
      </c>
      <c r="J76" t="n">
        <v>0</v>
      </c>
      <c r="K76" t="n">
        <v>0.93</v>
      </c>
      <c r="L76" t="n">
        <v>5</v>
      </c>
      <c r="M76" t="n">
        <v>5</v>
      </c>
      <c r="N76" t="n">
        <v>4.5</v>
      </c>
      <c r="O76" t="n">
        <v>1</v>
      </c>
      <c r="P76" t="n">
        <v>55</v>
      </c>
      <c r="Q76" t="n">
        <v>27</v>
      </c>
      <c r="R76" t="n">
        <v>87</v>
      </c>
      <c r="S76" t="inlineStr">
        <is>
          <t>B0DG337M34</t>
        </is>
      </c>
      <c r="U76" t="n">
        <v>2.4691744</v>
      </c>
      <c r="V76" t="n">
        <v>7.7</v>
      </c>
      <c r="W76" t="n">
        <v>11.99</v>
      </c>
      <c r="X76" t="inlineStr">
        <is>
          <t>196478776681</t>
        </is>
      </c>
      <c r="Y76" t="inlineStr">
        <is>
          <t>NLK49</t>
        </is>
      </c>
      <c r="Z76" t="inlineStr">
        <is>
          <t>NLK49</t>
        </is>
      </c>
      <c r="AA76" t="inlineStr">
        <is>
          <t>Grey/Off White/White</t>
        </is>
      </c>
      <c r="AB76" t="inlineStr">
        <is>
          <t>0196478776681</t>
        </is>
      </c>
      <c r="AC76" t="inlineStr">
        <is>
          <t>no Amazon offer exists</t>
        </is>
      </c>
      <c r="AD76" t="inlineStr">
        <is>
          <t>adidas</t>
        </is>
      </c>
      <c r="AE76" t="inlineStr">
        <is>
          <t>9</t>
        </is>
      </c>
      <c r="AF76"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6" t="inlineStr">
        <is>
          <t>Description
adidas womens VL Court Bold</t>
        </is>
      </c>
    </row>
    <row r="77">
      <c r="A77" t="inlineStr">
        <is>
          <t>com</t>
        </is>
      </c>
      <c r="B77" t="inlineStr">
        <is>
          <t>B0CCQNJ997</t>
        </is>
      </c>
      <c r="C77" t="inlineStr">
        <is>
          <t>adidas Women's VL Court Bold Sneaker, Grey/Off White/White, 9.5</t>
        </is>
      </c>
      <c r="D77" t="n">
        <v>79.95</v>
      </c>
      <c r="E77" t="n">
        <v>79.90000000000001</v>
      </c>
      <c r="F77" t="n">
        <v>33534</v>
      </c>
      <c r="G77" t="n">
        <v>48421</v>
      </c>
      <c r="H77" t="n">
        <v>79.95</v>
      </c>
      <c r="I77" t="n">
        <v>75.48</v>
      </c>
      <c r="J77" t="n">
        <v>0</v>
      </c>
      <c r="K77" t="n">
        <v>0.75</v>
      </c>
      <c r="L77" t="n">
        <v>5</v>
      </c>
      <c r="M77" t="n">
        <v>8</v>
      </c>
      <c r="N77" t="n">
        <v>4.4</v>
      </c>
      <c r="O77" t="n">
        <v>4</v>
      </c>
      <c r="P77" t="n">
        <v>56</v>
      </c>
      <c r="Q77" t="n">
        <v>35</v>
      </c>
      <c r="R77" t="n">
        <v>87</v>
      </c>
      <c r="S77" t="inlineStr">
        <is>
          <t>B0DG337M34</t>
        </is>
      </c>
      <c r="U77" t="n">
        <v>2.5794054</v>
      </c>
      <c r="V77" t="n">
        <v>7.7</v>
      </c>
      <c r="W77" t="n">
        <v>11.99</v>
      </c>
      <c r="X77" t="inlineStr">
        <is>
          <t>196478776667</t>
        </is>
      </c>
      <c r="Y77" t="inlineStr">
        <is>
          <t>NLK49</t>
        </is>
      </c>
      <c r="Z77" t="inlineStr">
        <is>
          <t>NLK49</t>
        </is>
      </c>
      <c r="AA77" t="inlineStr">
        <is>
          <t>Grey/Off White/White</t>
        </is>
      </c>
      <c r="AB77" t="inlineStr">
        <is>
          <t>0196478776667</t>
        </is>
      </c>
      <c r="AC77" t="inlineStr">
        <is>
          <t>Amazon offer is in stock and shippable</t>
        </is>
      </c>
      <c r="AD77" t="inlineStr">
        <is>
          <t>adidas</t>
        </is>
      </c>
      <c r="AE77" t="inlineStr">
        <is>
          <t>9.5</t>
        </is>
      </c>
      <c r="AF77"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7" t="inlineStr">
        <is>
          <t>Description
adidas womens VL Court Bold</t>
        </is>
      </c>
    </row>
    <row r="78">
      <c r="A78" t="inlineStr">
        <is>
          <t>com</t>
        </is>
      </c>
      <c r="B78" t="inlineStr">
        <is>
          <t>B0CCQ8DDBZ</t>
        </is>
      </c>
      <c r="C78" t="inlineStr">
        <is>
          <t>adidas Women's VL Court Bold Sneaker, Grey/Off White/White, 10</t>
        </is>
      </c>
      <c r="D78" t="n">
        <v>79.95</v>
      </c>
      <c r="E78" t="n">
        <v>79.95</v>
      </c>
      <c r="F78" t="n">
        <v>32687</v>
      </c>
      <c r="G78" t="n">
        <v>48150</v>
      </c>
      <c r="H78" t="n">
        <v>79.95999999999999</v>
      </c>
      <c r="I78" t="n">
        <v>75.90000000000001</v>
      </c>
      <c r="J78" t="n">
        <v>0</v>
      </c>
      <c r="K78" t="n">
        <v>0.83</v>
      </c>
      <c r="L78" t="n">
        <v>7</v>
      </c>
      <c r="M78" t="n">
        <v>10</v>
      </c>
      <c r="N78" t="n">
        <v>4.5</v>
      </c>
      <c r="O78" t="n">
        <v>0</v>
      </c>
      <c r="P78" t="n">
        <v>53</v>
      </c>
      <c r="Q78" t="n">
        <v>35</v>
      </c>
      <c r="R78" t="n">
        <v>93</v>
      </c>
      <c r="S78" t="inlineStr">
        <is>
          <t>B0DG337M34</t>
        </is>
      </c>
      <c r="U78" t="n">
        <v>2.55956382</v>
      </c>
      <c r="V78" t="n">
        <v>7.7</v>
      </c>
      <c r="W78" t="n">
        <v>11.99</v>
      </c>
      <c r="X78" t="inlineStr">
        <is>
          <t>196478776674</t>
        </is>
      </c>
      <c r="Y78" t="inlineStr">
        <is>
          <t>NLK49</t>
        </is>
      </c>
      <c r="Z78" t="inlineStr">
        <is>
          <t>NLK49</t>
        </is>
      </c>
      <c r="AA78" t="inlineStr">
        <is>
          <t>Grey/Off White/White</t>
        </is>
      </c>
      <c r="AB78" t="inlineStr">
        <is>
          <t>0196478776674</t>
        </is>
      </c>
      <c r="AC78" t="inlineStr">
        <is>
          <t>no Amazon offer exists</t>
        </is>
      </c>
      <c r="AD78" t="inlineStr">
        <is>
          <t>adidas</t>
        </is>
      </c>
      <c r="AE78" t="inlineStr">
        <is>
          <t>10</t>
        </is>
      </c>
      <c r="AF78"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8" t="inlineStr">
        <is>
          <t>adidas womens VL Court Bold</t>
        </is>
      </c>
    </row>
    <row r="79">
      <c r="A79" t="inlineStr">
        <is>
          <t>com</t>
        </is>
      </c>
      <c r="B79" t="inlineStr">
        <is>
          <t>B0CCQ5V6G7</t>
        </is>
      </c>
      <c r="C79" t="inlineStr">
        <is>
          <t>adidas Women's VL Court Bold Sneaker, Grey/Off White/White, 11</t>
        </is>
      </c>
      <c r="D79" t="n">
        <v>88.14</v>
      </c>
      <c r="E79" t="n">
        <v>88.14</v>
      </c>
      <c r="F79" t="n">
        <v>32728</v>
      </c>
      <c r="G79" t="n">
        <v>48950</v>
      </c>
      <c r="H79" t="n">
        <v>77.93000000000001</v>
      </c>
      <c r="I79" t="n">
        <v>75.98</v>
      </c>
      <c r="J79" t="n">
        <v>0</v>
      </c>
      <c r="K79" t="n">
        <v>0.6</v>
      </c>
      <c r="L79" t="n">
        <v>5</v>
      </c>
      <c r="M79" t="n">
        <v>6</v>
      </c>
      <c r="N79" t="n">
        <v>4.4</v>
      </c>
      <c r="O79" t="n">
        <v>1</v>
      </c>
      <c r="P79" t="n">
        <v>56</v>
      </c>
      <c r="Q79" t="n">
        <v>32</v>
      </c>
      <c r="R79" t="n">
        <v>102</v>
      </c>
      <c r="S79" t="inlineStr">
        <is>
          <t>B0DG337M34</t>
        </is>
      </c>
      <c r="U79" t="n">
        <v>2.66979482</v>
      </c>
      <c r="V79" t="n">
        <v>7.86</v>
      </c>
      <c r="W79" t="n">
        <v>13.22</v>
      </c>
      <c r="X79" t="inlineStr">
        <is>
          <t>196478772997</t>
        </is>
      </c>
      <c r="Y79" t="inlineStr">
        <is>
          <t>NLK49</t>
        </is>
      </c>
      <c r="Z79" t="inlineStr">
        <is>
          <t>NLK49</t>
        </is>
      </c>
      <c r="AA79" t="inlineStr">
        <is>
          <t>Grey/Off White/White</t>
        </is>
      </c>
      <c r="AB79" t="inlineStr">
        <is>
          <t>0196478772997</t>
        </is>
      </c>
      <c r="AC79" t="inlineStr">
        <is>
          <t>no Amazon offer exists</t>
        </is>
      </c>
      <c r="AD79" t="inlineStr">
        <is>
          <t>adidas</t>
        </is>
      </c>
      <c r="AE79" t="inlineStr">
        <is>
          <t>11</t>
        </is>
      </c>
      <c r="AF79" t="inlineStr">
        <is>
          <t>https://m.media-amazon.com/images/I/710Y-XWdh4L.jpg;https://m.media-amazon.com/images/I/71nWt0oUdwL.jpg;https://m.media-amazon.com/images/I/71OA0uI+weL.jpg;https://m.media-amazon.com/images/I/71WuWh3gsVL.jpg;https://m.media-amazon.com/images/I/81ZxR4LSiaL.jpg;https://m.media-amazon.com/images/I/71VAwsXqjYL.jpg;https://m.media-amazon.com/images/I/71vesfEy5XL.jpg</t>
        </is>
      </c>
      <c r="AG79" t="inlineStr">
        <is>
          <t>adidas womens VL Court Bold</t>
        </is>
      </c>
    </row>
    <row r="80">
      <c r="A80" t="inlineStr">
        <is>
          <t>com</t>
        </is>
      </c>
      <c r="B80" t="inlineStr">
        <is>
          <t>B0D32995S7</t>
        </is>
      </c>
      <c r="C80" t="inlineStr">
        <is>
          <t>PUMA Women's Club II Era Sneaker, Frosted Dew White-Gum, 5.5</t>
        </is>
      </c>
      <c r="D80" t="n">
        <v>59.27</v>
      </c>
      <c r="E80" t="inlineStr"/>
      <c r="F80" t="n">
        <v>96303</v>
      </c>
      <c r="G80" t="n">
        <v>66464</v>
      </c>
      <c r="H80" t="n">
        <v>59.27</v>
      </c>
      <c r="I80" t="n">
        <v>66.68000000000001</v>
      </c>
      <c r="J80" t="n">
        <v>0.32</v>
      </c>
      <c r="K80" t="n">
        <v>0.32</v>
      </c>
      <c r="L80" t="n">
        <v>1</v>
      </c>
      <c r="N80" t="n">
        <v>3.5</v>
      </c>
      <c r="O80" t="n">
        <v>1</v>
      </c>
      <c r="P80" t="n">
        <v>23</v>
      </c>
      <c r="Q80" t="n">
        <v>8</v>
      </c>
      <c r="R80" t="n">
        <v>74</v>
      </c>
      <c r="S80" t="inlineStr">
        <is>
          <t>B0D3N8XFSS</t>
        </is>
      </c>
      <c r="U80" t="n">
        <v>1.43079838</v>
      </c>
      <c r="V80" t="n">
        <v>6.24</v>
      </c>
      <c r="W80" t="inlineStr"/>
      <c r="X80" t="inlineStr">
        <is>
          <t>197671555226</t>
        </is>
      </c>
      <c r="Y80" t="inlineStr">
        <is>
          <t>40100108</t>
        </is>
      </c>
      <c r="Z80" t="inlineStr">
        <is>
          <t>40100108</t>
        </is>
      </c>
      <c r="AA80" t="inlineStr">
        <is>
          <t>Frosted Dew-puma White-gum</t>
        </is>
      </c>
      <c r="AB80" t="inlineStr">
        <is>
          <t>0197671555226</t>
        </is>
      </c>
      <c r="AC80" t="inlineStr">
        <is>
          <t>no Amazon offer exists</t>
        </is>
      </c>
      <c r="AD80" t="inlineStr">
        <is>
          <t>PUMA</t>
        </is>
      </c>
      <c r="AE80" t="inlineStr">
        <is>
          <t>5.5</t>
        </is>
      </c>
      <c r="AF80"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0"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1">
      <c r="A81" t="inlineStr">
        <is>
          <t>com</t>
        </is>
      </c>
      <c r="B81" t="inlineStr">
        <is>
          <t>B0D32BZ5KM</t>
        </is>
      </c>
      <c r="C81" t="inlineStr">
        <is>
          <t>PUMA Women's Club II Era Sneaker, Frosted Dew White-Gum, 6</t>
        </is>
      </c>
      <c r="D81" t="n">
        <v>62.42</v>
      </c>
      <c r="E81" t="n">
        <v>62.42</v>
      </c>
      <c r="F81" t="n">
        <v>89371</v>
      </c>
      <c r="G81" t="n">
        <v>67963</v>
      </c>
      <c r="H81" t="n">
        <v>65.40000000000001</v>
      </c>
      <c r="I81" t="n">
        <v>69.94</v>
      </c>
      <c r="J81" t="n">
        <v>0</v>
      </c>
      <c r="K81" t="n">
        <v>0</v>
      </c>
      <c r="L81" t="n">
        <v>4</v>
      </c>
      <c r="M81" t="n">
        <v>4</v>
      </c>
      <c r="N81" t="n">
        <v>3.4</v>
      </c>
      <c r="O81" t="n">
        <v>1</v>
      </c>
      <c r="P81" t="n">
        <v>25</v>
      </c>
      <c r="Q81" t="n">
        <v>27</v>
      </c>
      <c r="R81" t="n">
        <v>89</v>
      </c>
      <c r="S81" t="inlineStr">
        <is>
          <t>B0D3N8XFSS</t>
        </is>
      </c>
      <c r="U81" t="n">
        <v>1.43079838</v>
      </c>
      <c r="V81" t="n">
        <v>6.24</v>
      </c>
      <c r="W81" t="n">
        <v>9.359999999999999</v>
      </c>
      <c r="X81" t="inlineStr">
        <is>
          <t>197671555233</t>
        </is>
      </c>
      <c r="Y81" t="inlineStr">
        <is>
          <t>40100108</t>
        </is>
      </c>
      <c r="Z81" t="inlineStr">
        <is>
          <t>40100108</t>
        </is>
      </c>
      <c r="AA81" t="inlineStr">
        <is>
          <t>Frosted Dew-puma White-gum</t>
        </is>
      </c>
      <c r="AB81" t="inlineStr">
        <is>
          <t>0197671555233</t>
        </is>
      </c>
      <c r="AC81" t="inlineStr">
        <is>
          <t>Amazon offer is in stock and shippable</t>
        </is>
      </c>
      <c r="AD81" t="inlineStr">
        <is>
          <t>PUMA</t>
        </is>
      </c>
      <c r="AE81" t="inlineStr">
        <is>
          <t>6</t>
        </is>
      </c>
      <c r="AF81"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1"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2">
      <c r="A82" t="inlineStr">
        <is>
          <t>com</t>
        </is>
      </c>
      <c r="B82" t="inlineStr">
        <is>
          <t>B0D32F2DPW</t>
        </is>
      </c>
      <c r="C82" t="inlineStr">
        <is>
          <t>PUMA Women's Club II Era Sneaker, Frosted Dew White-Gum, 6.5</t>
        </is>
      </c>
      <c r="D82" t="n">
        <v>64.8</v>
      </c>
      <c r="E82" t="n">
        <v>64.8</v>
      </c>
      <c r="F82" t="n">
        <v>91778</v>
      </c>
      <c r="G82" t="n">
        <v>67668</v>
      </c>
      <c r="H82" t="n">
        <v>67.91</v>
      </c>
      <c r="I82" t="n">
        <v>71.26000000000001</v>
      </c>
      <c r="J82" t="n">
        <v>0</v>
      </c>
      <c r="K82" t="n">
        <v>0</v>
      </c>
      <c r="L82" t="n">
        <v>4</v>
      </c>
      <c r="M82" t="n">
        <v>3</v>
      </c>
      <c r="N82" t="n">
        <v>3.4</v>
      </c>
      <c r="O82" t="n">
        <v>0</v>
      </c>
      <c r="P82" t="n">
        <v>25</v>
      </c>
      <c r="Q82" t="n">
        <v>27</v>
      </c>
      <c r="R82" t="n">
        <v>87</v>
      </c>
      <c r="S82" t="inlineStr">
        <is>
          <t>B0D3N8XFSS</t>
        </is>
      </c>
      <c r="U82" t="n">
        <v>1.4991416</v>
      </c>
      <c r="V82" t="n">
        <v>6.61</v>
      </c>
      <c r="W82" t="n">
        <v>9.720000000000001</v>
      </c>
      <c r="X82" t="inlineStr">
        <is>
          <t>197671555240</t>
        </is>
      </c>
      <c r="Y82" t="inlineStr">
        <is>
          <t>40100108</t>
        </is>
      </c>
      <c r="Z82" t="inlineStr">
        <is>
          <t>40100108</t>
        </is>
      </c>
      <c r="AA82" t="inlineStr">
        <is>
          <t>Frosted Dew-puma White-gum</t>
        </is>
      </c>
      <c r="AB82" t="inlineStr">
        <is>
          <t>0197671555240</t>
        </is>
      </c>
      <c r="AC82" t="inlineStr">
        <is>
          <t>Amazon offer is in stock and shippable</t>
        </is>
      </c>
      <c r="AD82" t="inlineStr">
        <is>
          <t>PUMA</t>
        </is>
      </c>
      <c r="AE82" t="inlineStr">
        <is>
          <t>6.5</t>
        </is>
      </c>
      <c r="AF82"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2"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3">
      <c r="A83" t="inlineStr">
        <is>
          <t>com</t>
        </is>
      </c>
      <c r="B83" t="inlineStr">
        <is>
          <t>B0D32CPBRZ</t>
        </is>
      </c>
      <c r="C83" t="inlineStr">
        <is>
          <t>PUMA Women's Club II Era Sneaker, Frosted Dew White-Gum, 7</t>
        </is>
      </c>
      <c r="D83" t="n">
        <v>65.70999999999999</v>
      </c>
      <c r="E83" t="n">
        <v>65.70999999999999</v>
      </c>
      <c r="F83" t="n">
        <v>90881</v>
      </c>
      <c r="G83" t="n">
        <v>67865</v>
      </c>
      <c r="H83" t="n">
        <v>68.20999999999999</v>
      </c>
      <c r="I83" t="n">
        <v>71.42</v>
      </c>
      <c r="J83" t="n">
        <v>0</v>
      </c>
      <c r="K83" t="n">
        <v>0</v>
      </c>
      <c r="L83" t="n">
        <v>4</v>
      </c>
      <c r="M83" t="n">
        <v>3</v>
      </c>
      <c r="N83" t="n">
        <v>3.4</v>
      </c>
      <c r="O83" t="n">
        <v>0</v>
      </c>
      <c r="P83" t="n">
        <v>24</v>
      </c>
      <c r="Q83" t="n">
        <v>19</v>
      </c>
      <c r="R83" t="n">
        <v>73</v>
      </c>
      <c r="S83" t="inlineStr">
        <is>
          <t>B0D3N8XFSS</t>
        </is>
      </c>
      <c r="U83" t="n">
        <v>1.543234</v>
      </c>
      <c r="V83" t="n">
        <v>6.61</v>
      </c>
      <c r="W83" t="n">
        <v>9.859999999999999</v>
      </c>
      <c r="X83" t="inlineStr">
        <is>
          <t>197671555257</t>
        </is>
      </c>
      <c r="Y83" t="inlineStr">
        <is>
          <t>40100108</t>
        </is>
      </c>
      <c r="Z83" t="inlineStr">
        <is>
          <t>40100108</t>
        </is>
      </c>
      <c r="AA83" t="inlineStr">
        <is>
          <t>Frosted Dew-puma White-gum</t>
        </is>
      </c>
      <c r="AB83" t="inlineStr">
        <is>
          <t>0197671555257</t>
        </is>
      </c>
      <c r="AC83" t="inlineStr">
        <is>
          <t>Amazon offer is in stock and shippable</t>
        </is>
      </c>
      <c r="AD83" t="inlineStr">
        <is>
          <t>PUMA</t>
        </is>
      </c>
      <c r="AE83" t="inlineStr">
        <is>
          <t>7</t>
        </is>
      </c>
      <c r="AF83"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3"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4">
      <c r="A84" t="inlineStr">
        <is>
          <t>com</t>
        </is>
      </c>
      <c r="B84" t="inlineStr">
        <is>
          <t>B0D32C5X59</t>
        </is>
      </c>
      <c r="C84" t="inlineStr">
        <is>
          <t>PUMA Women's Club II Era Sneaker, Frosted Dew White-Gum, 7.5</t>
        </is>
      </c>
      <c r="D84" t="n">
        <v>61.89</v>
      </c>
      <c r="E84" t="n">
        <v>61.89</v>
      </c>
      <c r="F84" t="n">
        <v>89371</v>
      </c>
      <c r="G84" t="n">
        <v>68650</v>
      </c>
      <c r="H84" t="n">
        <v>61.9</v>
      </c>
      <c r="I84" t="n">
        <v>68.09</v>
      </c>
      <c r="J84" t="n">
        <v>0</v>
      </c>
      <c r="K84" t="n">
        <v>0</v>
      </c>
      <c r="L84" t="n">
        <v>3</v>
      </c>
      <c r="M84" t="n">
        <v>3</v>
      </c>
      <c r="N84" t="n">
        <v>3.4</v>
      </c>
      <c r="O84" t="n">
        <v>0</v>
      </c>
      <c r="P84" t="n">
        <v>25</v>
      </c>
      <c r="Q84" t="n">
        <v>25</v>
      </c>
      <c r="R84" t="n">
        <v>84</v>
      </c>
      <c r="S84" t="inlineStr">
        <is>
          <t>B0D3N8XFSS</t>
        </is>
      </c>
      <c r="U84" t="n">
        <v>1.6093726</v>
      </c>
      <c r="V84" t="n">
        <v>6.61</v>
      </c>
      <c r="W84" t="n">
        <v>9.279999999999999</v>
      </c>
      <c r="X84" t="inlineStr">
        <is>
          <t>197671555264</t>
        </is>
      </c>
      <c r="Y84" t="inlineStr">
        <is>
          <t>40100108</t>
        </is>
      </c>
      <c r="Z84" t="inlineStr">
        <is>
          <t>40100108</t>
        </is>
      </c>
      <c r="AA84" t="inlineStr">
        <is>
          <t>Frosted Dew-puma White-gum</t>
        </is>
      </c>
      <c r="AB84" t="inlineStr">
        <is>
          <t>0197671555264</t>
        </is>
      </c>
      <c r="AC84" t="inlineStr">
        <is>
          <t>Amazon offer is in stock and shippable</t>
        </is>
      </c>
      <c r="AD84" t="inlineStr">
        <is>
          <t>PUMA</t>
        </is>
      </c>
      <c r="AE84" t="inlineStr">
        <is>
          <t>7.5</t>
        </is>
      </c>
      <c r="AF84"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4"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5">
      <c r="A85" t="inlineStr">
        <is>
          <t>com</t>
        </is>
      </c>
      <c r="B85" t="inlineStr">
        <is>
          <t>B0D32BWL1M</t>
        </is>
      </c>
      <c r="C85" t="inlineStr">
        <is>
          <t>PUMA Women's Club II Era Sneaker, Frosted Dew White-Gum, 8</t>
        </is>
      </c>
      <c r="D85" t="n">
        <v>63.08</v>
      </c>
      <c r="E85" t="n">
        <v>63.08</v>
      </c>
      <c r="F85" t="n">
        <v>91778</v>
      </c>
      <c r="G85" t="n">
        <v>68236</v>
      </c>
      <c r="H85" t="n">
        <v>63.12</v>
      </c>
      <c r="I85" t="n">
        <v>68.73</v>
      </c>
      <c r="J85" t="n">
        <v>0</v>
      </c>
      <c r="K85" t="n">
        <v>0</v>
      </c>
      <c r="L85" t="n">
        <v>3</v>
      </c>
      <c r="M85" t="n">
        <v>3</v>
      </c>
      <c r="N85" t="n">
        <v>3.4</v>
      </c>
      <c r="O85" t="n">
        <v>0</v>
      </c>
      <c r="P85" t="n">
        <v>25</v>
      </c>
      <c r="Q85" t="n">
        <v>31</v>
      </c>
      <c r="R85" t="n">
        <v>93</v>
      </c>
      <c r="S85" t="inlineStr">
        <is>
          <t>B0D3N8XFSS</t>
        </is>
      </c>
      <c r="U85" t="n">
        <v>1.58953102</v>
      </c>
      <c r="V85" t="n">
        <v>6.61</v>
      </c>
      <c r="W85" t="n">
        <v>9.460000000000001</v>
      </c>
      <c r="X85" t="inlineStr">
        <is>
          <t>197671555271</t>
        </is>
      </c>
      <c r="Y85" t="inlineStr">
        <is>
          <t>40100108</t>
        </is>
      </c>
      <c r="Z85" t="inlineStr">
        <is>
          <t>40100108</t>
        </is>
      </c>
      <c r="AA85" t="inlineStr">
        <is>
          <t>Frosted Dew-puma White-gum</t>
        </is>
      </c>
      <c r="AB85" t="inlineStr">
        <is>
          <t>0197671555271</t>
        </is>
      </c>
      <c r="AC85" t="inlineStr">
        <is>
          <t>Amazon offer is in stock and shippable</t>
        </is>
      </c>
      <c r="AD85" t="inlineStr">
        <is>
          <t>PUMA</t>
        </is>
      </c>
      <c r="AE85" t="inlineStr">
        <is>
          <t>8</t>
        </is>
      </c>
      <c r="AF85"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5"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6">
      <c r="A86" t="inlineStr">
        <is>
          <t>com</t>
        </is>
      </c>
      <c r="B86" t="inlineStr">
        <is>
          <t>B0D32C94C8</t>
        </is>
      </c>
      <c r="C86" t="inlineStr">
        <is>
          <t>PUMA Women's Club II Era Sneaker, Frosted Dew White-Gum, 8.5</t>
        </is>
      </c>
      <c r="D86" t="n">
        <v>68.44</v>
      </c>
      <c r="E86" t="n">
        <v>60.49</v>
      </c>
      <c r="F86" t="n">
        <v>89371</v>
      </c>
      <c r="G86" t="n">
        <v>67737</v>
      </c>
      <c r="H86" t="n">
        <v>59.26</v>
      </c>
      <c r="I86" t="n">
        <v>66.69</v>
      </c>
      <c r="J86" t="n">
        <v>0</v>
      </c>
      <c r="K86" t="n">
        <v>0</v>
      </c>
      <c r="L86" t="n">
        <v>4</v>
      </c>
      <c r="M86" t="n">
        <v>3</v>
      </c>
      <c r="N86" t="n">
        <v>3.4</v>
      </c>
      <c r="O86" t="n">
        <v>0</v>
      </c>
      <c r="P86" t="n">
        <v>25</v>
      </c>
      <c r="Q86" t="n">
        <v>31</v>
      </c>
      <c r="R86" t="n">
        <v>101</v>
      </c>
      <c r="S86" t="inlineStr">
        <is>
          <t>B0D3N8XFSS</t>
        </is>
      </c>
      <c r="U86" t="n">
        <v>1.6424419</v>
      </c>
      <c r="V86" t="n">
        <v>6.61</v>
      </c>
      <c r="W86" t="n">
        <v>10.27</v>
      </c>
      <c r="X86" t="inlineStr">
        <is>
          <t>197671555288</t>
        </is>
      </c>
      <c r="Y86" t="inlineStr">
        <is>
          <t>40100108</t>
        </is>
      </c>
      <c r="Z86" t="inlineStr">
        <is>
          <t>40100108</t>
        </is>
      </c>
      <c r="AA86" t="inlineStr">
        <is>
          <t>Frosted Dew-puma White-gum</t>
        </is>
      </c>
      <c r="AB86" t="inlineStr">
        <is>
          <t>0197671555288</t>
        </is>
      </c>
      <c r="AC86" t="inlineStr">
        <is>
          <t>Amazon offer is in stock and shippable</t>
        </is>
      </c>
      <c r="AD86" t="inlineStr">
        <is>
          <t>PUMA</t>
        </is>
      </c>
      <c r="AE86" t="inlineStr">
        <is>
          <t>8.5</t>
        </is>
      </c>
      <c r="AF86"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6"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7">
      <c r="A87" t="inlineStr">
        <is>
          <t>com</t>
        </is>
      </c>
      <c r="B87" t="inlineStr">
        <is>
          <t>B0D32B9HCJ</t>
        </is>
      </c>
      <c r="C87" t="inlineStr">
        <is>
          <t>PUMA Women's Club II Era Sneaker, Frosted Dew White-Gum, 9</t>
        </is>
      </c>
      <c r="D87" t="n">
        <v>61.61</v>
      </c>
      <c r="E87" t="n">
        <v>61.61</v>
      </c>
      <c r="F87" t="n">
        <v>93539</v>
      </c>
      <c r="G87" t="n">
        <v>68235</v>
      </c>
      <c r="H87" t="n">
        <v>61.51</v>
      </c>
      <c r="I87" t="n">
        <v>67.87</v>
      </c>
      <c r="J87" t="n">
        <v>0</v>
      </c>
      <c r="K87" t="n">
        <v>0</v>
      </c>
      <c r="L87" t="n">
        <v>4</v>
      </c>
      <c r="M87" t="n">
        <v>4</v>
      </c>
      <c r="N87" t="n">
        <v>3.5</v>
      </c>
      <c r="O87" t="n">
        <v>1</v>
      </c>
      <c r="P87" t="n">
        <v>27</v>
      </c>
      <c r="Q87" t="n">
        <v>33</v>
      </c>
      <c r="R87" t="n">
        <v>117</v>
      </c>
      <c r="S87" t="inlineStr">
        <is>
          <t>B0D3N8XFSS</t>
        </is>
      </c>
      <c r="U87" t="n">
        <v>1.69976202</v>
      </c>
      <c r="V87" t="n">
        <v>7.03</v>
      </c>
      <c r="W87" t="n">
        <v>9.24</v>
      </c>
      <c r="X87" t="inlineStr">
        <is>
          <t>197671555295</t>
        </is>
      </c>
      <c r="Y87" t="inlineStr">
        <is>
          <t>40100108</t>
        </is>
      </c>
      <c r="Z87" t="inlineStr">
        <is>
          <t>40100108</t>
        </is>
      </c>
      <c r="AA87" t="inlineStr">
        <is>
          <t>Frosted Dew-puma White-gum</t>
        </is>
      </c>
      <c r="AB87" t="inlineStr">
        <is>
          <t>0197671555295</t>
        </is>
      </c>
      <c r="AC87" t="inlineStr">
        <is>
          <t>Amazon offer is in stock and shippable</t>
        </is>
      </c>
      <c r="AD87" t="inlineStr">
        <is>
          <t>PUMA</t>
        </is>
      </c>
      <c r="AE87" t="inlineStr">
        <is>
          <t>9</t>
        </is>
      </c>
      <c r="AF87"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7"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8">
      <c r="A88" t="inlineStr">
        <is>
          <t>com</t>
        </is>
      </c>
      <c r="B88" t="inlineStr">
        <is>
          <t>B0D3278TCL</t>
        </is>
      </c>
      <c r="C88" t="inlineStr">
        <is>
          <t>PUMA Women's Club II Era Sneaker, Frosted Dew White-Gum, 9.5</t>
        </is>
      </c>
      <c r="D88" t="n">
        <v>62.54</v>
      </c>
      <c r="E88" t="n">
        <v>62.54</v>
      </c>
      <c r="F88" t="n">
        <v>89371</v>
      </c>
      <c r="G88" t="n">
        <v>68337</v>
      </c>
      <c r="H88" t="n">
        <v>62.85</v>
      </c>
      <c r="I88" t="n">
        <v>68.59</v>
      </c>
      <c r="J88" t="n">
        <v>0</v>
      </c>
      <c r="K88" t="n">
        <v>0</v>
      </c>
      <c r="L88" t="n">
        <v>4</v>
      </c>
      <c r="M88" t="n">
        <v>4</v>
      </c>
      <c r="N88" t="n">
        <v>3.4</v>
      </c>
      <c r="O88" t="n">
        <v>1</v>
      </c>
      <c r="P88" t="n">
        <v>26</v>
      </c>
      <c r="Q88" t="n">
        <v>20</v>
      </c>
      <c r="R88" t="n">
        <v>84</v>
      </c>
      <c r="S88" t="inlineStr">
        <is>
          <t>B0D3N8XFSS</t>
        </is>
      </c>
      <c r="U88" t="n">
        <v>1.7196036</v>
      </c>
      <c r="V88" t="n">
        <v>7.03</v>
      </c>
      <c r="W88" t="n">
        <v>9.380000000000001</v>
      </c>
      <c r="X88" t="inlineStr">
        <is>
          <t>197671555301</t>
        </is>
      </c>
      <c r="Y88" t="inlineStr">
        <is>
          <t>40100108</t>
        </is>
      </c>
      <c r="Z88" t="inlineStr">
        <is>
          <t>40100108</t>
        </is>
      </c>
      <c r="AA88" t="inlineStr">
        <is>
          <t>Frosted Dew-puma White-gum</t>
        </is>
      </c>
      <c r="AB88" t="inlineStr">
        <is>
          <t>0197671555301</t>
        </is>
      </c>
      <c r="AC88" t="inlineStr">
        <is>
          <t>Amazon offer is in stock and shippable</t>
        </is>
      </c>
      <c r="AD88" t="inlineStr">
        <is>
          <t>PUMA</t>
        </is>
      </c>
      <c r="AE88" t="inlineStr">
        <is>
          <t>9.5</t>
        </is>
      </c>
      <c r="AF88"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8"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89">
      <c r="A89" t="inlineStr">
        <is>
          <t>com</t>
        </is>
      </c>
      <c r="B89" t="inlineStr">
        <is>
          <t>B0D32BLFQP</t>
        </is>
      </c>
      <c r="C89" t="inlineStr">
        <is>
          <t>PUMA Women's Club II Era Sneaker, Frosted Dew White-Gum, 10</t>
        </is>
      </c>
      <c r="D89" t="n">
        <v>62.63</v>
      </c>
      <c r="E89" t="n">
        <v>62.63</v>
      </c>
      <c r="F89" t="n">
        <v>89371</v>
      </c>
      <c r="G89" t="n">
        <v>67886</v>
      </c>
      <c r="H89" t="n">
        <v>64.5</v>
      </c>
      <c r="I89" t="n">
        <v>69.45999999999999</v>
      </c>
      <c r="J89" t="n">
        <v>0</v>
      </c>
      <c r="K89" t="n">
        <v>0</v>
      </c>
      <c r="L89" t="n">
        <v>4</v>
      </c>
      <c r="M89" t="n">
        <v>4</v>
      </c>
      <c r="N89" t="n">
        <v>3.4</v>
      </c>
      <c r="O89" t="n">
        <v>0</v>
      </c>
      <c r="P89" t="n">
        <v>25</v>
      </c>
      <c r="Q89" t="n">
        <v>24</v>
      </c>
      <c r="R89" t="n">
        <v>78</v>
      </c>
      <c r="S89" t="inlineStr">
        <is>
          <t>B0D3N8XFSS</t>
        </is>
      </c>
      <c r="U89" t="n">
        <v>1.80999302</v>
      </c>
      <c r="V89" t="n">
        <v>7.03</v>
      </c>
      <c r="W89" t="n">
        <v>9.390000000000001</v>
      </c>
      <c r="X89" t="inlineStr">
        <is>
          <t>197671555318</t>
        </is>
      </c>
      <c r="Y89" t="inlineStr">
        <is>
          <t>40100108</t>
        </is>
      </c>
      <c r="Z89" t="inlineStr">
        <is>
          <t>40100108</t>
        </is>
      </c>
      <c r="AA89" t="inlineStr">
        <is>
          <t>Frosted Dew-puma White-gum</t>
        </is>
      </c>
      <c r="AB89" t="inlineStr">
        <is>
          <t>0197671555318</t>
        </is>
      </c>
      <c r="AC89" t="inlineStr">
        <is>
          <t>Amazon offer is in stock and shippable</t>
        </is>
      </c>
      <c r="AD89" t="inlineStr">
        <is>
          <t>PUMA</t>
        </is>
      </c>
      <c r="AE89" t="inlineStr">
        <is>
          <t>10</t>
        </is>
      </c>
      <c r="AF89" t="inlineStr">
        <is>
          <t>https://m.media-amazon.com/images/I/71jAFn+abEL.jpg;https://m.media-amazon.com/images/I/41Dm-CgZb7L.jpg;https://m.media-amazon.com/images/I/41FEnSHRcbL.jpg;https://m.media-amazon.com/images/I/31RWPgxUluL.jpg;https://m.media-amazon.com/images/I/31HU81W+1RL.jpg;https://m.media-amazon.com/images/I/31sWNJJyCwL.jpg;https://m.media-amazon.com/images/I/417n+PTotGL.jpg</t>
        </is>
      </c>
      <c r="AG89"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0">
      <c r="A90" t="inlineStr">
        <is>
          <t>com</t>
        </is>
      </c>
      <c r="B90" t="inlineStr">
        <is>
          <t>B0D32B6BDM</t>
        </is>
      </c>
      <c r="C90" t="inlineStr">
        <is>
          <t>PUMA Women's Club II Era Sneaker, Frosted Dew White-Gum, 11</t>
        </is>
      </c>
      <c r="D90" t="n">
        <v>66.48999999999999</v>
      </c>
      <c r="E90" t="n">
        <v>66.48999999999999</v>
      </c>
      <c r="F90" t="n">
        <v>92182</v>
      </c>
      <c r="G90" t="n">
        <v>67755</v>
      </c>
      <c r="H90" t="n">
        <v>66.8</v>
      </c>
      <c r="I90" t="n">
        <v>70.67</v>
      </c>
      <c r="J90" t="n">
        <v>0</v>
      </c>
      <c r="K90" t="n">
        <v>0</v>
      </c>
      <c r="L90" t="n">
        <v>3</v>
      </c>
      <c r="M90" t="n">
        <v>4</v>
      </c>
      <c r="N90" t="n">
        <v>3.4</v>
      </c>
      <c r="O90" t="n">
        <v>0</v>
      </c>
      <c r="P90" t="n">
        <v>25</v>
      </c>
      <c r="Q90" t="n">
        <v>34</v>
      </c>
      <c r="R90" t="n">
        <v>106</v>
      </c>
      <c r="S90" t="inlineStr">
        <is>
          <t>B0D3N8XFSS</t>
        </is>
      </c>
      <c r="U90" t="n">
        <v>1.90038244</v>
      </c>
      <c r="V90" t="n">
        <v>7.62</v>
      </c>
      <c r="W90" t="n">
        <v>9.970000000000001</v>
      </c>
      <c r="X90" t="inlineStr">
        <is>
          <t>197671555332</t>
        </is>
      </c>
      <c r="Y90" t="inlineStr">
        <is>
          <t>40100108</t>
        </is>
      </c>
      <c r="Z90" t="inlineStr">
        <is>
          <t>40100108</t>
        </is>
      </c>
      <c r="AA90" t="inlineStr">
        <is>
          <t>Frosted Dew-puma White-gum</t>
        </is>
      </c>
      <c r="AB90" t="inlineStr">
        <is>
          <t>0197671555332</t>
        </is>
      </c>
      <c r="AC90" t="inlineStr">
        <is>
          <t>Amazon offer is in stock and shippable</t>
        </is>
      </c>
      <c r="AD90" t="inlineStr">
        <is>
          <t>PUMA</t>
        </is>
      </c>
      <c r="AE90" t="inlineStr">
        <is>
          <t>11</t>
        </is>
      </c>
      <c r="AF90" t="inlineStr">
        <is>
          <t>https://m.media-amazon.com/images/I/41fygiilEoL.jpg;https://m.media-amazon.com/images/I/41Dm-CgZb7L.jpg;https://m.media-amazon.com/images/I/41FEnSHRcbL.jpg;https://m.media-amazon.com/images/I/31RWPgxUluL.jpg;https://m.media-amazon.com/images/I/31HU81W+1RL.jpg;https://m.media-amazon.com/images/I/31sWNJJyCwL.jpg;https://m.media-amazon.com/images/I/417n+PTotGL.jpg</t>
        </is>
      </c>
      <c r="AG90"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1">
      <c r="A91" t="inlineStr">
        <is>
          <t>com</t>
        </is>
      </c>
      <c r="B91" t="inlineStr">
        <is>
          <t>B0D32CJYJX</t>
        </is>
      </c>
      <c r="C91" t="inlineStr">
        <is>
          <t>PUMA Women's Club II Era Sneaker, Eucalyptus-Future Pink, 5.5</t>
        </is>
      </c>
      <c r="D91" t="n">
        <v>48.99</v>
      </c>
      <c r="E91" t="n">
        <v>48.99</v>
      </c>
      <c r="F91" t="n">
        <v>89371</v>
      </c>
      <c r="G91" t="n">
        <v>67278</v>
      </c>
      <c r="H91" t="n">
        <v>55.24</v>
      </c>
      <c r="I91" t="n">
        <v>62.55</v>
      </c>
      <c r="J91" t="n">
        <v>0.09</v>
      </c>
      <c r="K91" t="n">
        <v>0.11</v>
      </c>
      <c r="L91" t="n">
        <v>1</v>
      </c>
      <c r="M91" t="n">
        <v>1</v>
      </c>
      <c r="N91" t="n">
        <v>3.4</v>
      </c>
      <c r="O91" t="n">
        <v>0</v>
      </c>
      <c r="P91" t="n">
        <v>26</v>
      </c>
      <c r="Q91" t="n">
        <v>18</v>
      </c>
      <c r="R91" t="n">
        <v>68</v>
      </c>
      <c r="S91" t="inlineStr">
        <is>
          <t>B0D3N8XFSS</t>
        </is>
      </c>
      <c r="U91" t="n">
        <v>1.43079838</v>
      </c>
      <c r="V91" t="n">
        <v>6.24</v>
      </c>
      <c r="W91" t="n">
        <v>7.35</v>
      </c>
      <c r="X91" t="inlineStr">
        <is>
          <t>197671555646</t>
        </is>
      </c>
      <c r="Y91" t="inlineStr">
        <is>
          <t>40100114</t>
        </is>
      </c>
      <c r="Z91" t="inlineStr">
        <is>
          <t>40100114</t>
        </is>
      </c>
      <c r="AA91" t="inlineStr">
        <is>
          <t>Eucalyptus-future Pink</t>
        </is>
      </c>
      <c r="AB91" t="inlineStr">
        <is>
          <t>0197671555646</t>
        </is>
      </c>
      <c r="AC91" t="inlineStr">
        <is>
          <t>Amazon offer is in stock and shippable</t>
        </is>
      </c>
      <c r="AD91" t="inlineStr">
        <is>
          <t>PUMA</t>
        </is>
      </c>
      <c r="AE91" t="inlineStr">
        <is>
          <t>5.5</t>
        </is>
      </c>
      <c r="AF91"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1"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2">
      <c r="A92" t="inlineStr">
        <is>
          <t>com</t>
        </is>
      </c>
      <c r="B92" t="inlineStr">
        <is>
          <t>B0D329QLG1</t>
        </is>
      </c>
      <c r="C92" t="inlineStr">
        <is>
          <t>PUMA Women's Club II Era Sneaker, Eucalyptus-Future Pink, 6</t>
        </is>
      </c>
      <c r="D92" t="n">
        <v>77.2</v>
      </c>
      <c r="E92" t="n">
        <v>77.2</v>
      </c>
      <c r="F92" t="n">
        <v>89371</v>
      </c>
      <c r="G92" t="n">
        <v>68195</v>
      </c>
      <c r="H92" t="n">
        <v>64.55</v>
      </c>
      <c r="I92" t="n">
        <v>68.55</v>
      </c>
      <c r="J92" t="n">
        <v>0</v>
      </c>
      <c r="K92" t="n">
        <v>0.16</v>
      </c>
      <c r="L92" t="n">
        <v>5</v>
      </c>
      <c r="M92" t="n">
        <v>5</v>
      </c>
      <c r="N92" t="n">
        <v>3.4</v>
      </c>
      <c r="O92" t="n">
        <v>1</v>
      </c>
      <c r="P92" t="n">
        <v>26</v>
      </c>
      <c r="Q92" t="n">
        <v>31</v>
      </c>
      <c r="R92" t="n">
        <v>89</v>
      </c>
      <c r="S92" t="inlineStr">
        <is>
          <t>B0D3N8XFSS</t>
        </is>
      </c>
      <c r="U92" t="n">
        <v>1.43079838</v>
      </c>
      <c r="V92" t="n">
        <v>6.24</v>
      </c>
      <c r="W92" t="inlineStr"/>
      <c r="X92" t="inlineStr">
        <is>
          <t>197671555653</t>
        </is>
      </c>
      <c r="Y92" t="inlineStr">
        <is>
          <t>40100114</t>
        </is>
      </c>
      <c r="Z92" t="inlineStr">
        <is>
          <t>40100114</t>
        </is>
      </c>
      <c r="AA92" t="inlineStr">
        <is>
          <t>Eucalyptus-future Pink</t>
        </is>
      </c>
      <c r="AB92" t="inlineStr">
        <is>
          <t>0197671555653</t>
        </is>
      </c>
      <c r="AC92" t="inlineStr">
        <is>
          <t>no Amazon offer exists</t>
        </is>
      </c>
      <c r="AD92" t="inlineStr">
        <is>
          <t>PUMA</t>
        </is>
      </c>
      <c r="AE92" t="inlineStr">
        <is>
          <t>6</t>
        </is>
      </c>
      <c r="AF92"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2"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3">
      <c r="A93" t="inlineStr">
        <is>
          <t>com</t>
        </is>
      </c>
      <c r="B93" t="inlineStr">
        <is>
          <t>B0D32BPNBZ</t>
        </is>
      </c>
      <c r="C93" t="inlineStr">
        <is>
          <t>PUMA Women's Club II Era Sneaker, Eucalyptus-Future Pink, 6.5</t>
        </is>
      </c>
      <c r="D93" t="n">
        <v>76.33</v>
      </c>
      <c r="E93" t="n">
        <v>76.33</v>
      </c>
      <c r="F93" t="n">
        <v>89371</v>
      </c>
      <c r="G93" t="n">
        <v>68701</v>
      </c>
      <c r="H93" t="n">
        <v>59.28</v>
      </c>
      <c r="I93" t="n">
        <v>67.56999999999999</v>
      </c>
      <c r="J93" t="n">
        <v>0</v>
      </c>
      <c r="K93" t="n">
        <v>0.53</v>
      </c>
      <c r="L93" t="n">
        <v>2</v>
      </c>
      <c r="M93" t="n">
        <v>3</v>
      </c>
      <c r="N93" t="n">
        <v>3.4</v>
      </c>
      <c r="O93" t="n">
        <v>0</v>
      </c>
      <c r="P93" t="n">
        <v>25</v>
      </c>
      <c r="Q93" t="n">
        <v>30</v>
      </c>
      <c r="R93" t="n">
        <v>91</v>
      </c>
      <c r="S93" t="inlineStr">
        <is>
          <t>B0D3N8XFSS</t>
        </is>
      </c>
      <c r="U93" t="n">
        <v>1.4991416</v>
      </c>
      <c r="V93" t="n">
        <v>6.61</v>
      </c>
      <c r="W93" t="inlineStr"/>
      <c r="X93" t="inlineStr">
        <is>
          <t>197671555660</t>
        </is>
      </c>
      <c r="Y93" t="inlineStr">
        <is>
          <t>40100114</t>
        </is>
      </c>
      <c r="Z93" t="inlineStr">
        <is>
          <t>40100114</t>
        </is>
      </c>
      <c r="AA93" t="inlineStr">
        <is>
          <t>Eucalyptus-future Pink</t>
        </is>
      </c>
      <c r="AB93" t="inlineStr">
        <is>
          <t>0197671555660</t>
        </is>
      </c>
      <c r="AC93" t="inlineStr">
        <is>
          <t>no Amazon offer exists</t>
        </is>
      </c>
      <c r="AD93" t="inlineStr">
        <is>
          <t>PUMA</t>
        </is>
      </c>
      <c r="AE93" t="inlineStr">
        <is>
          <t>6.5</t>
        </is>
      </c>
      <c r="AF93"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3"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4">
      <c r="A94" t="inlineStr">
        <is>
          <t>com</t>
        </is>
      </c>
      <c r="B94" t="inlineStr">
        <is>
          <t>B0D32BM8VR</t>
        </is>
      </c>
      <c r="C94" t="inlineStr">
        <is>
          <t>PUMA Women's Club II Era Sneaker, Eucalyptus-Future Pink, 7</t>
        </is>
      </c>
      <c r="D94" t="n">
        <v>67.75</v>
      </c>
      <c r="E94" t="n">
        <v>67.26000000000001</v>
      </c>
      <c r="F94" t="n">
        <v>89371</v>
      </c>
      <c r="G94" t="n">
        <v>67746</v>
      </c>
      <c r="H94" t="n">
        <v>71.54000000000001</v>
      </c>
      <c r="I94" t="n">
        <v>73.54000000000001</v>
      </c>
      <c r="J94" t="n">
        <v>0</v>
      </c>
      <c r="K94" t="n">
        <v>0.4</v>
      </c>
      <c r="L94" t="n">
        <v>5</v>
      </c>
      <c r="M94" t="n">
        <v>4</v>
      </c>
      <c r="N94" t="n">
        <v>3.4</v>
      </c>
      <c r="O94" t="n">
        <v>0</v>
      </c>
      <c r="P94" t="n">
        <v>25</v>
      </c>
      <c r="Q94" t="n">
        <v>25</v>
      </c>
      <c r="R94" t="n">
        <v>78</v>
      </c>
      <c r="S94" t="inlineStr">
        <is>
          <t>B0D3N8XFSS</t>
        </is>
      </c>
      <c r="U94" t="n">
        <v>1.543234</v>
      </c>
      <c r="V94" t="n">
        <v>7.03</v>
      </c>
      <c r="W94" t="n">
        <v>10.16</v>
      </c>
      <c r="X94" t="inlineStr">
        <is>
          <t>197671555677</t>
        </is>
      </c>
      <c r="Y94" t="inlineStr">
        <is>
          <t>40100114</t>
        </is>
      </c>
      <c r="Z94" t="inlineStr">
        <is>
          <t>40100114</t>
        </is>
      </c>
      <c r="AA94" t="inlineStr">
        <is>
          <t>Eucalyptus-future Pink</t>
        </is>
      </c>
      <c r="AB94" t="inlineStr">
        <is>
          <t>0197671555677</t>
        </is>
      </c>
      <c r="AC94" t="inlineStr">
        <is>
          <t>Amazon offer is in stock and shippable</t>
        </is>
      </c>
      <c r="AD94" t="inlineStr">
        <is>
          <t>PUMA</t>
        </is>
      </c>
      <c r="AE94" t="inlineStr">
        <is>
          <t>7</t>
        </is>
      </c>
      <c r="AF94"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4"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5">
      <c r="A95" t="inlineStr">
        <is>
          <t>com</t>
        </is>
      </c>
      <c r="B95" t="inlineStr">
        <is>
          <t>B0D32BJ9DK</t>
        </is>
      </c>
      <c r="C95" t="inlineStr">
        <is>
          <t>PUMA Women's Club II Era Sneaker, Eucalyptus-Future Pink, 7.5</t>
        </is>
      </c>
      <c r="D95" t="n">
        <v>66.23</v>
      </c>
      <c r="E95" t="n">
        <v>65.75</v>
      </c>
      <c r="F95" t="n">
        <v>89371</v>
      </c>
      <c r="G95" t="n">
        <v>67852</v>
      </c>
      <c r="H95" t="n">
        <v>72.52</v>
      </c>
      <c r="I95" t="n">
        <v>73.68000000000001</v>
      </c>
      <c r="J95" t="n">
        <v>0</v>
      </c>
      <c r="K95" t="n">
        <v>0.38</v>
      </c>
      <c r="L95" t="n">
        <v>4</v>
      </c>
      <c r="M95" t="n">
        <v>4</v>
      </c>
      <c r="N95" t="n">
        <v>3.4</v>
      </c>
      <c r="O95" t="n">
        <v>2</v>
      </c>
      <c r="P95" t="n">
        <v>25</v>
      </c>
      <c r="Q95" t="n">
        <v>25</v>
      </c>
      <c r="R95" t="n">
        <v>74</v>
      </c>
      <c r="S95" t="inlineStr">
        <is>
          <t>B0D3N8XFSS</t>
        </is>
      </c>
      <c r="U95" t="n">
        <v>1.56968944</v>
      </c>
      <c r="V95" t="n">
        <v>6.61</v>
      </c>
      <c r="W95" t="n">
        <v>9.93</v>
      </c>
      <c r="X95" t="inlineStr">
        <is>
          <t>197671555684</t>
        </is>
      </c>
      <c r="Y95" t="inlineStr">
        <is>
          <t>40100114</t>
        </is>
      </c>
      <c r="Z95" t="inlineStr">
        <is>
          <t>40100114</t>
        </is>
      </c>
      <c r="AA95" t="inlineStr">
        <is>
          <t>Eucalyptus-future Pink</t>
        </is>
      </c>
      <c r="AB95" t="inlineStr">
        <is>
          <t>0197671555684</t>
        </is>
      </c>
      <c r="AC95" t="inlineStr">
        <is>
          <t>Amazon offer is in stock and shippable</t>
        </is>
      </c>
      <c r="AD95" t="inlineStr">
        <is>
          <t>PUMA</t>
        </is>
      </c>
      <c r="AE95" t="inlineStr">
        <is>
          <t>7.5</t>
        </is>
      </c>
      <c r="AF95" t="inlineStr">
        <is>
          <t>https://m.media-amazon.com/images/I/41XscRtcG3L.jpg;https://m.media-amazon.com/images/I/417SAcXGbnL.jpg;https://m.media-amazon.com/images/I/41PhQWIZ9dL.jpg;https://m.media-amazon.com/images/I/416A3U4KgbL.jpg;https://m.media-amazon.com/images/I/41WnMxxbjjL.jpg;https://m.media-amazon.com/images/I/31lkz+IaTLL.jpg;https://m.media-amazon.com/images/I/417yHTneooL.jpg</t>
        </is>
      </c>
      <c r="AG95"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6">
      <c r="A96" t="inlineStr">
        <is>
          <t>com</t>
        </is>
      </c>
      <c r="B96" t="inlineStr">
        <is>
          <t>B0D3296371</t>
        </is>
      </c>
      <c r="C96" t="inlineStr">
        <is>
          <t>PUMA Women's Club II Era Sneaker, Eucalyptus-Future Pink, 8</t>
        </is>
      </c>
      <c r="D96" t="n">
        <v>64.79000000000001</v>
      </c>
      <c r="E96" t="n">
        <v>64.79000000000001</v>
      </c>
      <c r="F96" t="n">
        <v>89371</v>
      </c>
      <c r="G96" t="n">
        <v>67391</v>
      </c>
      <c r="H96" t="n">
        <v>66.66</v>
      </c>
      <c r="I96" t="n">
        <v>70.73999999999999</v>
      </c>
      <c r="J96" t="n">
        <v>0</v>
      </c>
      <c r="K96" t="n">
        <v>0.42</v>
      </c>
      <c r="L96" t="n">
        <v>7</v>
      </c>
      <c r="M96" t="n">
        <v>8</v>
      </c>
      <c r="N96" t="n">
        <v>3.4</v>
      </c>
      <c r="O96" t="n">
        <v>2</v>
      </c>
      <c r="P96" t="n">
        <v>25</v>
      </c>
      <c r="Q96" t="n">
        <v>27</v>
      </c>
      <c r="R96" t="n">
        <v>88</v>
      </c>
      <c r="S96" t="inlineStr">
        <is>
          <t>B0D3N8XFSS</t>
        </is>
      </c>
      <c r="U96" t="n">
        <v>1.5983495</v>
      </c>
      <c r="V96" t="n">
        <v>6.61</v>
      </c>
      <c r="W96" t="n">
        <v>9.720000000000001</v>
      </c>
      <c r="X96" t="inlineStr">
        <is>
          <t>197671555691</t>
        </is>
      </c>
      <c r="Y96" t="inlineStr">
        <is>
          <t>40100114</t>
        </is>
      </c>
      <c r="Z96" t="inlineStr">
        <is>
          <t>40100114</t>
        </is>
      </c>
      <c r="AA96" t="inlineStr">
        <is>
          <t>Eucalyptus-future Pink</t>
        </is>
      </c>
      <c r="AB96" t="inlineStr">
        <is>
          <t>0197671555691</t>
        </is>
      </c>
      <c r="AC96" t="inlineStr">
        <is>
          <t>Amazon offer is back-ordered</t>
        </is>
      </c>
      <c r="AD96" t="inlineStr">
        <is>
          <t>PUMA</t>
        </is>
      </c>
      <c r="AE96" t="inlineStr">
        <is>
          <t>8</t>
        </is>
      </c>
      <c r="AF96"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6"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7">
      <c r="A97" t="inlineStr">
        <is>
          <t>com</t>
        </is>
      </c>
      <c r="B97" t="inlineStr">
        <is>
          <t>B0D32BRQLQ</t>
        </is>
      </c>
      <c r="C97" t="inlineStr">
        <is>
          <t>PUMA Women's Club II Era Sneaker, Eucalyptus-Future Pink, 8.5</t>
        </is>
      </c>
      <c r="D97" t="n">
        <v>77.2</v>
      </c>
      <c r="E97" t="n">
        <v>77.2</v>
      </c>
      <c r="F97" t="n">
        <v>90881</v>
      </c>
      <c r="G97" t="n">
        <v>67591</v>
      </c>
      <c r="H97" t="n">
        <v>59.14</v>
      </c>
      <c r="I97" t="n">
        <v>67.29000000000001</v>
      </c>
      <c r="J97" t="n">
        <v>0</v>
      </c>
      <c r="K97" t="n">
        <v>0.51</v>
      </c>
      <c r="L97" t="n">
        <v>6</v>
      </c>
      <c r="M97" t="n">
        <v>7</v>
      </c>
      <c r="N97" t="n">
        <v>3.5</v>
      </c>
      <c r="O97" t="n">
        <v>1</v>
      </c>
      <c r="P97" t="n">
        <v>27</v>
      </c>
      <c r="Q97" t="n">
        <v>29</v>
      </c>
      <c r="R97" t="n">
        <v>94</v>
      </c>
      <c r="S97" t="inlineStr">
        <is>
          <t>B0D3N8XFSS</t>
        </is>
      </c>
      <c r="U97" t="n">
        <v>1.64905576</v>
      </c>
      <c r="V97" t="n">
        <v>6.61</v>
      </c>
      <c r="W97" t="inlineStr"/>
      <c r="X97" t="inlineStr">
        <is>
          <t>197671555585</t>
        </is>
      </c>
      <c r="Y97" t="inlineStr">
        <is>
          <t>40100114</t>
        </is>
      </c>
      <c r="Z97" t="inlineStr">
        <is>
          <t>40100114</t>
        </is>
      </c>
      <c r="AA97" t="inlineStr">
        <is>
          <t>Eucalyptus-future Pink</t>
        </is>
      </c>
      <c r="AB97" t="inlineStr">
        <is>
          <t>0197671555585</t>
        </is>
      </c>
      <c r="AC97" t="inlineStr">
        <is>
          <t>no Amazon offer exists</t>
        </is>
      </c>
      <c r="AD97" t="inlineStr">
        <is>
          <t>PUMA</t>
        </is>
      </c>
      <c r="AE97" t="inlineStr">
        <is>
          <t>8.5</t>
        </is>
      </c>
      <c r="AF97"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7"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8">
      <c r="A98" t="inlineStr">
        <is>
          <t>com</t>
        </is>
      </c>
      <c r="B98" t="inlineStr">
        <is>
          <t>B0D32CRVGW</t>
        </is>
      </c>
      <c r="C98" t="inlineStr">
        <is>
          <t>PUMA Women's Club II Era Sneaker, Eucalyptus-Future Pink, 9</t>
        </is>
      </c>
      <c r="D98" t="n">
        <v>82.47</v>
      </c>
      <c r="E98" t="n">
        <v>77.2</v>
      </c>
      <c r="F98" t="n">
        <v>89371</v>
      </c>
      <c r="G98" t="n">
        <v>67404</v>
      </c>
      <c r="H98" t="n">
        <v>62.05</v>
      </c>
      <c r="I98" t="n">
        <v>68.64</v>
      </c>
      <c r="J98" t="n">
        <v>0</v>
      </c>
      <c r="K98" t="n">
        <v>0.57</v>
      </c>
      <c r="L98" t="n">
        <v>6</v>
      </c>
      <c r="M98" t="n">
        <v>7</v>
      </c>
      <c r="N98" t="n">
        <v>3.4</v>
      </c>
      <c r="O98" t="n">
        <v>1</v>
      </c>
      <c r="P98" t="n">
        <v>26</v>
      </c>
      <c r="Q98" t="n">
        <v>19</v>
      </c>
      <c r="R98" t="n">
        <v>91</v>
      </c>
      <c r="S98" t="inlineStr">
        <is>
          <t>B0D3N8XFSS</t>
        </is>
      </c>
      <c r="U98" t="n">
        <v>1.653465</v>
      </c>
      <c r="V98" t="n">
        <v>7.03</v>
      </c>
      <c r="W98" t="n">
        <v>12.37</v>
      </c>
      <c r="X98" t="inlineStr">
        <is>
          <t>197671555592</t>
        </is>
      </c>
      <c r="Y98" t="inlineStr">
        <is>
          <t>40100114</t>
        </is>
      </c>
      <c r="Z98" t="inlineStr">
        <is>
          <t>40100114</t>
        </is>
      </c>
      <c r="AA98" t="inlineStr">
        <is>
          <t>Eucalyptus-future Pink</t>
        </is>
      </c>
      <c r="AB98" t="inlineStr">
        <is>
          <t>0197671555592</t>
        </is>
      </c>
      <c r="AC98" t="inlineStr">
        <is>
          <t>no Amazon offer exists</t>
        </is>
      </c>
      <c r="AD98" t="inlineStr">
        <is>
          <t>PUMA</t>
        </is>
      </c>
      <c r="AE98" t="inlineStr">
        <is>
          <t>9</t>
        </is>
      </c>
      <c r="AF98"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8"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99">
      <c r="A99" t="inlineStr">
        <is>
          <t>com</t>
        </is>
      </c>
      <c r="B99" t="inlineStr">
        <is>
          <t>B0D326SMS6</t>
        </is>
      </c>
      <c r="C99" t="inlineStr">
        <is>
          <t>PUMA Women's Club II Era Sneaker, Eucalyptus-Future Pink, 9.5</t>
        </is>
      </c>
      <c r="D99" t="n">
        <v>63.77</v>
      </c>
      <c r="E99" t="n">
        <v>63.77</v>
      </c>
      <c r="F99" t="n">
        <v>93539</v>
      </c>
      <c r="G99" t="n">
        <v>66661</v>
      </c>
      <c r="H99" t="n">
        <v>62.02</v>
      </c>
      <c r="I99" t="n">
        <v>70.18000000000001</v>
      </c>
      <c r="J99" t="n">
        <v>0.17</v>
      </c>
      <c r="K99" t="n">
        <v>0.7</v>
      </c>
      <c r="L99" t="n">
        <v>2</v>
      </c>
      <c r="M99" t="n">
        <v>2</v>
      </c>
      <c r="N99" t="n">
        <v>3.4</v>
      </c>
      <c r="O99" t="n">
        <v>0</v>
      </c>
      <c r="P99" t="n">
        <v>26</v>
      </c>
      <c r="Q99" t="n">
        <v>25</v>
      </c>
      <c r="R99" t="n">
        <v>85</v>
      </c>
      <c r="S99" t="inlineStr">
        <is>
          <t>B0D3N8XFSS</t>
        </is>
      </c>
      <c r="U99" t="n">
        <v>1.7196036</v>
      </c>
      <c r="V99" t="n">
        <v>7.03</v>
      </c>
      <c r="W99" t="n">
        <v>9.57</v>
      </c>
      <c r="X99" t="inlineStr">
        <is>
          <t>197671555608</t>
        </is>
      </c>
      <c r="Y99" t="inlineStr">
        <is>
          <t>40100114</t>
        </is>
      </c>
      <c r="Z99" t="inlineStr">
        <is>
          <t>40100114</t>
        </is>
      </c>
      <c r="AA99" t="inlineStr">
        <is>
          <t>Eucalyptus-future Pink</t>
        </is>
      </c>
      <c r="AB99" t="inlineStr">
        <is>
          <t>0197671555608</t>
        </is>
      </c>
      <c r="AC99" t="inlineStr">
        <is>
          <t>Amazon offer is back-ordered</t>
        </is>
      </c>
      <c r="AD99" t="inlineStr">
        <is>
          <t>PUMA</t>
        </is>
      </c>
      <c r="AE99" t="inlineStr">
        <is>
          <t>9.5</t>
        </is>
      </c>
      <c r="AF99"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99"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100">
      <c r="A100" t="inlineStr">
        <is>
          <t>com</t>
        </is>
      </c>
      <c r="B100" t="inlineStr">
        <is>
          <t>B0D32BDJX3</t>
        </is>
      </c>
      <c r="C100" t="inlineStr">
        <is>
          <t>PUMA Women's Club II Era Sneaker, Eucalyptus-Future Pink, 10</t>
        </is>
      </c>
      <c r="D100" t="n">
        <v>77.2</v>
      </c>
      <c r="E100" t="n">
        <v>77.2</v>
      </c>
      <c r="F100" t="n">
        <v>89371</v>
      </c>
      <c r="G100" t="n">
        <v>67646</v>
      </c>
      <c r="H100" t="n">
        <v>60.11</v>
      </c>
      <c r="I100" t="n">
        <v>67.23</v>
      </c>
      <c r="J100" t="n">
        <v>0</v>
      </c>
      <c r="K100" t="n">
        <v>0.44</v>
      </c>
      <c r="L100" t="n">
        <v>5</v>
      </c>
      <c r="M100" t="n">
        <v>4</v>
      </c>
      <c r="N100" t="n">
        <v>3.4</v>
      </c>
      <c r="O100" t="n">
        <v>0</v>
      </c>
      <c r="P100" t="n">
        <v>25</v>
      </c>
      <c r="Q100" t="n">
        <v>30</v>
      </c>
      <c r="R100" t="n">
        <v>93</v>
      </c>
      <c r="S100" t="inlineStr">
        <is>
          <t>B0D3N8XFSS</t>
        </is>
      </c>
      <c r="U100" t="n">
        <v>1.80999302</v>
      </c>
      <c r="V100" t="n">
        <v>7.03</v>
      </c>
      <c r="W100" t="inlineStr"/>
      <c r="X100" t="inlineStr">
        <is>
          <t>197671555615</t>
        </is>
      </c>
      <c r="Y100" t="inlineStr">
        <is>
          <t>40100114</t>
        </is>
      </c>
      <c r="Z100" t="inlineStr">
        <is>
          <t>40100114</t>
        </is>
      </c>
      <c r="AA100" t="inlineStr">
        <is>
          <t>Eucalyptus-future Pink</t>
        </is>
      </c>
      <c r="AB100" t="inlineStr">
        <is>
          <t>0197671555615</t>
        </is>
      </c>
      <c r="AC100" t="inlineStr">
        <is>
          <t>no Amazon offer exists</t>
        </is>
      </c>
      <c r="AD100" t="inlineStr">
        <is>
          <t>PUMA</t>
        </is>
      </c>
      <c r="AE100" t="inlineStr">
        <is>
          <t>10</t>
        </is>
      </c>
      <c r="AF100" t="inlineStr">
        <is>
          <t>https://m.media-amazon.com/images/I/41XscRtcG3L.jpg;https://m.media-amazon.com/images/I/417SAcXGbnL.jpg;https://m.media-amazon.com/images/I/41PhQWIZ9dL.jpg;https://m.media-amazon.com/images/I/416A3U4KgbL.jpg;https://m.media-amazon.com/images/I/41WnMxxbjjL.jpg;https://m.media-amazon.com/images/I/31lkz+IaTLL.jpg;https://m.media-amazon.com/images/I/417yHTneooL.jpg</t>
        </is>
      </c>
      <c r="AG100"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101">
      <c r="A101" t="inlineStr">
        <is>
          <t>com</t>
        </is>
      </c>
      <c r="B101" t="inlineStr">
        <is>
          <t>B0D32BWZ71</t>
        </is>
      </c>
      <c r="C101" t="inlineStr">
        <is>
          <t>PUMA Women's Club II Era Sneaker, Eucalyptus-Future Pink, 11</t>
        </is>
      </c>
      <c r="D101" t="n">
        <v>77.2</v>
      </c>
      <c r="E101" t="n">
        <v>77.2</v>
      </c>
      <c r="F101" t="n">
        <v>89371</v>
      </c>
      <c r="G101" t="n">
        <v>68315</v>
      </c>
      <c r="H101" t="n">
        <v>61.71</v>
      </c>
      <c r="I101" t="n">
        <v>69.97</v>
      </c>
      <c r="J101" t="n">
        <v>0</v>
      </c>
      <c r="K101" t="n">
        <v>0.68</v>
      </c>
      <c r="L101" t="n">
        <v>5</v>
      </c>
      <c r="M101" t="n">
        <v>4</v>
      </c>
      <c r="N101" t="n">
        <v>3.4</v>
      </c>
      <c r="O101" t="n">
        <v>2</v>
      </c>
      <c r="P101" t="n">
        <v>25</v>
      </c>
      <c r="Q101" t="n">
        <v>16</v>
      </c>
      <c r="R101" t="n">
        <v>66</v>
      </c>
      <c r="S101" t="inlineStr">
        <is>
          <t>B0D3N8XFSS</t>
        </is>
      </c>
      <c r="U101" t="n">
        <v>1.90038244</v>
      </c>
      <c r="V101" t="n">
        <v>7.62</v>
      </c>
      <c r="W101" t="inlineStr"/>
      <c r="X101" t="inlineStr">
        <is>
          <t>197671555639</t>
        </is>
      </c>
      <c r="Y101" t="inlineStr">
        <is>
          <t>40100114</t>
        </is>
      </c>
      <c r="Z101" t="inlineStr">
        <is>
          <t>40100114</t>
        </is>
      </c>
      <c r="AA101" t="inlineStr">
        <is>
          <t>Eucalyptus-future Pink</t>
        </is>
      </c>
      <c r="AB101" t="inlineStr">
        <is>
          <t>0197671555639</t>
        </is>
      </c>
      <c r="AC101" t="inlineStr">
        <is>
          <t>no Amazon offer exists</t>
        </is>
      </c>
      <c r="AD101" t="inlineStr">
        <is>
          <t>PUMA</t>
        </is>
      </c>
      <c r="AE101" t="inlineStr">
        <is>
          <t>11</t>
        </is>
      </c>
      <c r="AF101" t="inlineStr">
        <is>
          <t>https://m.media-amazon.com/images/I/71NLUZAO8OL.jpg;https://m.media-amazon.com/images/I/417SAcXGbnL.jpg;https://m.media-amazon.com/images/I/41PhQWIZ9dL.jpg;https://m.media-amazon.com/images/I/416A3U4KgbL.jpg;https://m.media-amazon.com/images/I/41WnMxxbjjL.jpg;https://m.media-amazon.com/images/I/31lkz+IaTLL.jpg;https://m.media-amazon.com/images/I/417yHTneooL.jpg</t>
        </is>
      </c>
      <c r="AG101" t="inlineStr">
        <is>
          <t>Description
The classic PUMA Club is pulled from the archives and reimagined for a new generation. Meet the PUMA Club II Era – a fresh twist on the terrace classic, with new design elements and its football heritage intact. These shoes take on street style with smooth suede and leather upper and a heavy texture on the tooling. The SoftFoam+ sockliner provides superior cushioning and optimal comfort for every step of your day.</t>
        </is>
      </c>
    </row>
    <row r="102">
      <c r="A102" t="inlineStr">
        <is>
          <t>com</t>
        </is>
      </c>
      <c r="B102" t="inlineStr">
        <is>
          <t>B0C2JWBZMZ</t>
        </is>
      </c>
      <c r="C102" t="inlineStr">
        <is>
          <t>adidas Women's Grand Court Alpha Sneaker, Grey/White/Silver Metallic, 5</t>
        </is>
      </c>
      <c r="D102" t="inlineStr"/>
      <c r="E102" t="inlineStr"/>
      <c r="G102" t="n">
        <v>49871</v>
      </c>
      <c r="H102" t="inlineStr"/>
      <c r="I102" t="inlineStr"/>
      <c r="J102" t="n">
        <v>1</v>
      </c>
      <c r="K102" t="n">
        <v>1</v>
      </c>
      <c r="N102" t="n">
        <v>4.6</v>
      </c>
      <c r="O102" t="n">
        <v>0</v>
      </c>
      <c r="P102" t="n">
        <v>80</v>
      </c>
      <c r="Q102" t="n">
        <v>0</v>
      </c>
      <c r="R102" t="n">
        <v>5</v>
      </c>
      <c r="S102" t="inlineStr">
        <is>
          <t>B0D919B24F</t>
        </is>
      </c>
      <c r="U102" t="n">
        <v>1.86951776</v>
      </c>
      <c r="V102" t="n">
        <v>7.62</v>
      </c>
      <c r="W102" t="inlineStr"/>
      <c r="X102" t="inlineStr">
        <is>
          <t>196471925925</t>
        </is>
      </c>
      <c r="Y102" t="inlineStr">
        <is>
          <t>MAX01</t>
        </is>
      </c>
      <c r="Z102" t="inlineStr">
        <is>
          <t>MAX01</t>
        </is>
      </c>
      <c r="AA102" t="inlineStr">
        <is>
          <t>Grey/White/Silver Metallic</t>
        </is>
      </c>
      <c r="AB102" t="inlineStr">
        <is>
          <t>0196471925925</t>
        </is>
      </c>
      <c r="AC102" t="inlineStr">
        <is>
          <t>no Amazon offer exists</t>
        </is>
      </c>
      <c r="AD102" t="inlineStr">
        <is>
          <t>adidas</t>
        </is>
      </c>
      <c r="AE102" t="inlineStr">
        <is>
          <t>5</t>
        </is>
      </c>
      <c r="AF102" t="inlineStr">
        <is>
          <t>https://m.media-amazon.com/images/I/71nW2Nwz4wL.jpg;https://m.media-amazon.com/images/I/719RAAKb-0L.jpg;https://m.media-amazon.com/images/I/715weV5gHgL.jpg;https://m.media-amazon.com/images/I/61FR94JhRTL.jpg;https://m.media-amazon.com/images/I/71PhzszQARL.jpg;https://m.media-amazon.com/images/I/71m7QqMO4fL.jpg</t>
        </is>
      </c>
      <c r="AG102" t="inlineStr">
        <is>
          <t>Iconic shoe design can take you anywhere. These women's adidas sneakers combine classic looks with modern tech, so you can stay moving in comfort all day. A lined leather upper gives a soft feel, while the Cloudfoam midsole provides lightweight cushioning on each step.</t>
        </is>
      </c>
    </row>
    <row r="103">
      <c r="A103" t="inlineStr">
        <is>
          <t>com</t>
        </is>
      </c>
      <c r="B103" t="inlineStr">
        <is>
          <t>B0C2JZ7PYZ</t>
        </is>
      </c>
      <c r="C103" t="inlineStr">
        <is>
          <t>adidas Women's Grand Court Alpha Sneaker, Grey/White/Silver Metallic, 5.5</t>
        </is>
      </c>
      <c r="D103" t="inlineStr"/>
      <c r="E103" t="inlineStr"/>
      <c r="F103" t="n">
        <v>103539</v>
      </c>
      <c r="G103" t="n">
        <v>54220</v>
      </c>
      <c r="H103" t="inlineStr"/>
      <c r="I103" t="inlineStr"/>
      <c r="J103" t="n">
        <v>0.79</v>
      </c>
      <c r="K103" t="n">
        <v>1</v>
      </c>
      <c r="L103" t="n">
        <v>1</v>
      </c>
      <c r="N103" t="n">
        <v>4.5</v>
      </c>
      <c r="O103" t="n">
        <v>0</v>
      </c>
      <c r="P103" t="n">
        <v>646</v>
      </c>
      <c r="Q103" t="n">
        <v>1</v>
      </c>
      <c r="R103" t="n">
        <v>10</v>
      </c>
      <c r="S103" t="inlineStr">
        <is>
          <t>B0D919B24F</t>
        </is>
      </c>
      <c r="U103" t="n">
        <v>1.92022402</v>
      </c>
      <c r="V103" t="n">
        <v>7.62</v>
      </c>
      <c r="W103" t="inlineStr"/>
      <c r="X103" t="inlineStr">
        <is>
          <t>196471922238</t>
        </is>
      </c>
      <c r="Y103" t="inlineStr">
        <is>
          <t>MAX01</t>
        </is>
      </c>
      <c r="Z103" t="inlineStr">
        <is>
          <t>MAX01</t>
        </is>
      </c>
      <c r="AA103" t="inlineStr">
        <is>
          <t>Grey/White/Silver Metallic</t>
        </is>
      </c>
      <c r="AB103" t="inlineStr">
        <is>
          <t>0196471922238</t>
        </is>
      </c>
      <c r="AC103" t="inlineStr">
        <is>
          <t>no Amazon offer exists</t>
        </is>
      </c>
      <c r="AD103" t="inlineStr">
        <is>
          <t>adidas</t>
        </is>
      </c>
      <c r="AE103" t="inlineStr">
        <is>
          <t>5.5</t>
        </is>
      </c>
      <c r="AF103" t="inlineStr">
        <is>
          <t>https://m.media-amazon.com/images/I/71nW2Nwz4wL.jpg;https://m.media-amazon.com/images/I/719RAAKb-0L.jpg;https://m.media-amazon.com/images/I/715weV5gHgL.jpg;https://m.media-amazon.com/images/I/61FR94JhRTL.jpg;https://m.media-amazon.com/images/I/71PhzszQARL.jpg;https://m.media-amazon.com/images/I/71m7QqMO4fL.jpg</t>
        </is>
      </c>
      <c r="AG103" t="inlineStr">
        <is>
          <t>Description
adidas womens Grand Court Alpha</t>
        </is>
      </c>
    </row>
    <row r="104">
      <c r="A104" t="inlineStr">
        <is>
          <t>com</t>
        </is>
      </c>
      <c r="B104" t="inlineStr">
        <is>
          <t>B0C2JXSGC8</t>
        </is>
      </c>
      <c r="C104" t="inlineStr">
        <is>
          <t>adidas Women's Grand Court Alpha Sneaker, Grey/White/Silver Metallic, 6</t>
        </is>
      </c>
      <c r="D104" t="n">
        <v>84.39</v>
      </c>
      <c r="E104" t="n">
        <v>84.39</v>
      </c>
      <c r="F104" t="n">
        <v>88789</v>
      </c>
      <c r="G104" t="n">
        <v>56267</v>
      </c>
      <c r="H104" t="inlineStr"/>
      <c r="I104" t="n">
        <v>78.17</v>
      </c>
      <c r="J104" t="n">
        <v>0</v>
      </c>
      <c r="K104" t="n">
        <v>1</v>
      </c>
      <c r="L104" t="n">
        <v>2</v>
      </c>
      <c r="M104" t="n">
        <v>2</v>
      </c>
      <c r="N104" t="n">
        <v>4.5</v>
      </c>
      <c r="O104" t="n">
        <v>4</v>
      </c>
      <c r="P104" t="n">
        <v>667</v>
      </c>
      <c r="Q104" t="n">
        <v>22</v>
      </c>
      <c r="R104" t="n">
        <v>67</v>
      </c>
      <c r="S104" t="inlineStr">
        <is>
          <t>B0D919B24F</t>
        </is>
      </c>
      <c r="U104" t="n">
        <v>2.0282504</v>
      </c>
      <c r="V104" t="n">
        <v>7.7</v>
      </c>
      <c r="W104" t="inlineStr"/>
      <c r="X104" t="inlineStr">
        <is>
          <t>196471922283</t>
        </is>
      </c>
      <c r="Y104" t="inlineStr">
        <is>
          <t>MAX01</t>
        </is>
      </c>
      <c r="Z104" t="inlineStr">
        <is>
          <t>MAX01</t>
        </is>
      </c>
      <c r="AA104" t="inlineStr">
        <is>
          <t>Grey/White/Silver Metallic</t>
        </is>
      </c>
      <c r="AB104" t="inlineStr">
        <is>
          <t>0196471922283</t>
        </is>
      </c>
      <c r="AC104" t="inlineStr">
        <is>
          <t>no Amazon offer exists</t>
        </is>
      </c>
      <c r="AD104" t="inlineStr">
        <is>
          <t>adidas</t>
        </is>
      </c>
      <c r="AE104" t="inlineStr">
        <is>
          <t>6</t>
        </is>
      </c>
      <c r="AF104" t="inlineStr">
        <is>
          <t>https://m.media-amazon.com/images/I/71nW2Nwz4wL.jpg;https://m.media-amazon.com/images/I/719RAAKb-0L.jpg;https://m.media-amazon.com/images/I/715weV5gHgL.jpg;https://m.media-amazon.com/images/I/61FR94JhRTL.jpg;https://m.media-amazon.com/images/I/71PhzszQARL.jpg;https://m.media-amazon.com/images/I/71m7QqMO4fL.jpg</t>
        </is>
      </c>
      <c r="AG104" t="inlineStr">
        <is>
          <t>Description
adidas womens Grand Court Alpha</t>
        </is>
      </c>
    </row>
    <row r="105">
      <c r="A105" t="inlineStr">
        <is>
          <t>com</t>
        </is>
      </c>
      <c r="B105" t="inlineStr">
        <is>
          <t>B0C2JWXSNR</t>
        </is>
      </c>
      <c r="C105" t="inlineStr">
        <is>
          <t>adidas Women's Grand Court Alpha Sneaker, Grey/White/Silver Metallic, 6.5</t>
        </is>
      </c>
      <c r="D105" t="n">
        <v>98.98999999999999</v>
      </c>
      <c r="E105" t="n">
        <v>98.98999999999999</v>
      </c>
      <c r="F105" t="n">
        <v>88789</v>
      </c>
      <c r="G105" t="n">
        <v>55448</v>
      </c>
      <c r="H105" t="n">
        <v>78.81999999999999</v>
      </c>
      <c r="I105" t="n">
        <v>75.68000000000001</v>
      </c>
      <c r="J105" t="n">
        <v>0.04</v>
      </c>
      <c r="K105" t="n">
        <v>1</v>
      </c>
      <c r="L105" t="n">
        <v>1</v>
      </c>
      <c r="M105" t="n">
        <v>1</v>
      </c>
      <c r="N105" t="n">
        <v>4.5</v>
      </c>
      <c r="O105" t="n">
        <v>3</v>
      </c>
      <c r="P105" t="n">
        <v>665</v>
      </c>
      <c r="Q105" t="n">
        <v>26</v>
      </c>
      <c r="R105" t="n">
        <v>69</v>
      </c>
      <c r="S105" t="inlineStr">
        <is>
          <t>B0D919B24F</t>
        </is>
      </c>
      <c r="U105" t="n">
        <v>1.9731349</v>
      </c>
      <c r="V105" t="n">
        <v>7.62</v>
      </c>
      <c r="W105" t="inlineStr"/>
      <c r="X105" t="inlineStr">
        <is>
          <t>196471925895</t>
        </is>
      </c>
      <c r="Y105" t="inlineStr">
        <is>
          <t>MAX01</t>
        </is>
      </c>
      <c r="Z105" t="inlineStr">
        <is>
          <t>MAX01</t>
        </is>
      </c>
      <c r="AA105" t="inlineStr">
        <is>
          <t>Grey/White/Silver Metallic</t>
        </is>
      </c>
      <c r="AB105" t="inlineStr">
        <is>
          <t>0196471925895</t>
        </is>
      </c>
      <c r="AC105" t="inlineStr">
        <is>
          <t>no Amazon offer exists</t>
        </is>
      </c>
      <c r="AD105" t="inlineStr">
        <is>
          <t>adidas</t>
        </is>
      </c>
      <c r="AE105" t="inlineStr">
        <is>
          <t>6.5</t>
        </is>
      </c>
      <c r="AF105" t="inlineStr">
        <is>
          <t>https://m.media-amazon.com/images/I/71nW2Nwz4wL.jpg;https://m.media-amazon.com/images/I/719RAAKb-0L.jpg;https://m.media-amazon.com/images/I/715weV5gHgL.jpg;https://m.media-amazon.com/images/I/61FR94JhRTL.jpg;https://m.media-amazon.com/images/I/71PhzszQARL.jpg;https://m.media-amazon.com/images/I/71m7QqMO4fL.jpg</t>
        </is>
      </c>
      <c r="AG105" t="inlineStr">
        <is>
          <t>Description
adidas womens Grand Court Alpha</t>
        </is>
      </c>
    </row>
    <row r="106">
      <c r="A106" t="inlineStr">
        <is>
          <t>com</t>
        </is>
      </c>
      <c r="B106" t="inlineStr">
        <is>
          <t>B0C2JYRKP5</t>
        </is>
      </c>
      <c r="C106" t="inlineStr">
        <is>
          <t>adidas Women's Grand Court Alpha Sneaker, Grey/White/Silver Metallic, 7</t>
        </is>
      </c>
      <c r="D106" t="n">
        <v>101.45</v>
      </c>
      <c r="E106" t="n">
        <v>101.45</v>
      </c>
      <c r="F106" t="n">
        <v>88789</v>
      </c>
      <c r="G106" t="n">
        <v>56391</v>
      </c>
      <c r="H106" t="inlineStr"/>
      <c r="I106" t="n">
        <v>79.73</v>
      </c>
      <c r="J106" t="n">
        <v>0</v>
      </c>
      <c r="K106" t="n">
        <v>1</v>
      </c>
      <c r="L106" t="n">
        <v>3</v>
      </c>
      <c r="M106" t="n">
        <v>1</v>
      </c>
      <c r="N106" t="n">
        <v>4.5</v>
      </c>
      <c r="O106" t="n">
        <v>10</v>
      </c>
      <c r="P106" t="n">
        <v>668</v>
      </c>
      <c r="Q106" t="n">
        <v>30</v>
      </c>
      <c r="R106" t="n">
        <v>80</v>
      </c>
      <c r="S106" t="inlineStr">
        <is>
          <t>B0D919B24F</t>
        </is>
      </c>
      <c r="U106" t="n">
        <v>2.1495045</v>
      </c>
      <c r="V106" t="n">
        <v>7.7</v>
      </c>
      <c r="W106" t="inlineStr"/>
      <c r="X106" t="inlineStr">
        <is>
          <t>196471925901</t>
        </is>
      </c>
      <c r="Y106" t="inlineStr">
        <is>
          <t>MAX01</t>
        </is>
      </c>
      <c r="Z106" t="inlineStr">
        <is>
          <t>MAX01</t>
        </is>
      </c>
      <c r="AA106" t="inlineStr">
        <is>
          <t>Grey/White/Silver Metallic</t>
        </is>
      </c>
      <c r="AB106" t="inlineStr">
        <is>
          <t>0196471925901</t>
        </is>
      </c>
      <c r="AC106" t="inlineStr">
        <is>
          <t>no Amazon offer exists</t>
        </is>
      </c>
      <c r="AD106" t="inlineStr">
        <is>
          <t>adidas</t>
        </is>
      </c>
      <c r="AE106" t="inlineStr">
        <is>
          <t>7</t>
        </is>
      </c>
      <c r="AF106" t="inlineStr">
        <is>
          <t>https://m.media-amazon.com/images/I/71nW2Nwz4wL.jpg;https://m.media-amazon.com/images/I/719RAAKb-0L.jpg;https://m.media-amazon.com/images/I/715weV5gHgL.jpg;https://m.media-amazon.com/images/I/61FR94JhRTL.jpg;https://m.media-amazon.com/images/I/71PhzszQARL.jpg;https://m.media-amazon.com/images/I/71m7QqMO4fL.jpg</t>
        </is>
      </c>
      <c r="AG106" t="inlineStr">
        <is>
          <t>Description
adidas womens Grand Court Alpha</t>
        </is>
      </c>
    </row>
    <row r="107">
      <c r="A107" t="inlineStr">
        <is>
          <t>com</t>
        </is>
      </c>
      <c r="B107" t="inlineStr">
        <is>
          <t>B0C2JXDQ7Y</t>
        </is>
      </c>
      <c r="C107" t="inlineStr">
        <is>
          <t>adidas Women's Grand Court Alpha Sneaker, Grey/White/Silver Metallic, 7.5</t>
        </is>
      </c>
      <c r="D107" t="n">
        <v>101.45</v>
      </c>
      <c r="E107" t="n">
        <v>101.45</v>
      </c>
      <c r="F107" t="n">
        <v>88789</v>
      </c>
      <c r="G107" t="n">
        <v>55872</v>
      </c>
      <c r="H107" t="inlineStr"/>
      <c r="I107" t="n">
        <v>79.37</v>
      </c>
      <c r="J107" t="n">
        <v>0</v>
      </c>
      <c r="K107" t="n">
        <v>1</v>
      </c>
      <c r="L107" t="n">
        <v>2</v>
      </c>
      <c r="M107" t="n">
        <v>1</v>
      </c>
      <c r="N107" t="n">
        <v>4.5</v>
      </c>
      <c r="O107" t="n">
        <v>3</v>
      </c>
      <c r="P107" t="n">
        <v>668</v>
      </c>
      <c r="Q107" t="n">
        <v>25</v>
      </c>
      <c r="R107" t="n">
        <v>70</v>
      </c>
      <c r="S107" t="inlineStr">
        <is>
          <t>B0D919B24F</t>
        </is>
      </c>
      <c r="U107" t="n">
        <v>1.90038244</v>
      </c>
      <c r="V107" t="n">
        <v>7.7</v>
      </c>
      <c r="W107" t="inlineStr"/>
      <c r="X107" t="inlineStr">
        <is>
          <t>196471922269</t>
        </is>
      </c>
      <c r="Y107" t="inlineStr">
        <is>
          <t>MAX01</t>
        </is>
      </c>
      <c r="Z107" t="inlineStr">
        <is>
          <t>MAX01</t>
        </is>
      </c>
      <c r="AA107" t="inlineStr">
        <is>
          <t>Grey/White/Silver Metallic</t>
        </is>
      </c>
      <c r="AB107" t="inlineStr">
        <is>
          <t>0196471922269</t>
        </is>
      </c>
      <c r="AC107" t="inlineStr">
        <is>
          <t>no Amazon offer exists</t>
        </is>
      </c>
      <c r="AD107" t="inlineStr">
        <is>
          <t>adidas</t>
        </is>
      </c>
      <c r="AE107" t="inlineStr">
        <is>
          <t>7.5</t>
        </is>
      </c>
      <c r="AF107" t="inlineStr">
        <is>
          <t>https://m.media-amazon.com/images/I/71nW2Nwz4wL.jpg;https://m.media-amazon.com/images/I/719RAAKb-0L.jpg;https://m.media-amazon.com/images/I/715weV5gHgL.jpg;https://m.media-amazon.com/images/I/61FR94JhRTL.jpg;https://m.media-amazon.com/images/I/71PhzszQARL.jpg;https://m.media-amazon.com/images/I/71m7QqMO4fL.jpg</t>
        </is>
      </c>
      <c r="AG107" t="inlineStr">
        <is>
          <t>Description
adidas womens Grand Court Alpha</t>
        </is>
      </c>
    </row>
    <row r="108">
      <c r="A108" t="inlineStr">
        <is>
          <t>com</t>
        </is>
      </c>
      <c r="B108" t="inlineStr">
        <is>
          <t>B0C2JXNJ53</t>
        </is>
      </c>
      <c r="C108" t="inlineStr">
        <is>
          <t>adidas Women's Grand Court Alpha Sneaker, Grey/White/Silver Metallic, 8</t>
        </is>
      </c>
      <c r="D108" t="n">
        <v>101.45</v>
      </c>
      <c r="E108" t="n">
        <v>101.45</v>
      </c>
      <c r="F108" t="n">
        <v>88789</v>
      </c>
      <c r="G108" t="n">
        <v>55902</v>
      </c>
      <c r="H108" t="n">
        <v>76.38</v>
      </c>
      <c r="I108" t="n">
        <v>78.3</v>
      </c>
      <c r="J108" t="n">
        <v>0</v>
      </c>
      <c r="K108" t="n">
        <v>1</v>
      </c>
      <c r="L108" t="n">
        <v>3</v>
      </c>
      <c r="M108" t="n">
        <v>2</v>
      </c>
      <c r="N108" t="n">
        <v>4.5</v>
      </c>
      <c r="O108" t="n">
        <v>4</v>
      </c>
      <c r="P108" t="n">
        <v>668</v>
      </c>
      <c r="Q108" t="n">
        <v>33</v>
      </c>
      <c r="R108" t="n">
        <v>81</v>
      </c>
      <c r="S108" t="inlineStr">
        <is>
          <t>B0D919B24F</t>
        </is>
      </c>
      <c r="U108" t="n">
        <v>2.1605276</v>
      </c>
      <c r="V108" t="n">
        <v>7.78</v>
      </c>
      <c r="W108" t="inlineStr"/>
      <c r="X108" t="inlineStr">
        <is>
          <t>196471922252</t>
        </is>
      </c>
      <c r="Y108" t="inlineStr">
        <is>
          <t>MAX01</t>
        </is>
      </c>
      <c r="Z108" t="inlineStr">
        <is>
          <t>MAX01</t>
        </is>
      </c>
      <c r="AA108" t="inlineStr">
        <is>
          <t>Grey/White/Silver Metallic</t>
        </is>
      </c>
      <c r="AB108" t="inlineStr">
        <is>
          <t>0196471922252</t>
        </is>
      </c>
      <c r="AC108" t="inlineStr">
        <is>
          <t>no Amazon offer exists</t>
        </is>
      </c>
      <c r="AD108" t="inlineStr">
        <is>
          <t>adidas</t>
        </is>
      </c>
      <c r="AE108" t="inlineStr">
        <is>
          <t>8</t>
        </is>
      </c>
      <c r="AF108" t="inlineStr">
        <is>
          <t>https://m.media-amazon.com/images/I/71nW2Nwz4wL.jpg;https://m.media-amazon.com/images/I/719RAAKb-0L.jpg;https://m.media-amazon.com/images/I/715weV5gHgL.jpg;https://m.media-amazon.com/images/I/61FR94JhRTL.jpg;https://m.media-amazon.com/images/I/71PhzszQARL.jpg;https://m.media-amazon.com/images/I/71m7QqMO4fL.jpg</t>
        </is>
      </c>
      <c r="AG108" t="inlineStr">
        <is>
          <t>Description
adidas womens Grand Court Alpha</t>
        </is>
      </c>
    </row>
    <row r="109">
      <c r="A109" t="inlineStr">
        <is>
          <t>com</t>
        </is>
      </c>
      <c r="B109" t="inlineStr">
        <is>
          <t>B0C2JYGN93</t>
        </is>
      </c>
      <c r="C109" t="inlineStr">
        <is>
          <t>adidas Women's Grand Court Alpha Sneaker, Grey/White/Silver Metallic, 8.5</t>
        </is>
      </c>
      <c r="D109" t="n">
        <v>84.39</v>
      </c>
      <c r="E109" t="n">
        <v>84.39</v>
      </c>
      <c r="F109" t="n">
        <v>88789</v>
      </c>
      <c r="G109" t="n">
        <v>56222</v>
      </c>
      <c r="H109" t="n">
        <v>77.91</v>
      </c>
      <c r="I109" t="n">
        <v>74.61</v>
      </c>
      <c r="J109" t="n">
        <v>0.01</v>
      </c>
      <c r="K109" t="n">
        <v>0.93</v>
      </c>
      <c r="L109" t="n">
        <v>2</v>
      </c>
      <c r="M109" t="n">
        <v>2</v>
      </c>
      <c r="N109" t="n">
        <v>4.5</v>
      </c>
      <c r="O109" t="n">
        <v>14</v>
      </c>
      <c r="P109" t="n">
        <v>668</v>
      </c>
      <c r="Q109" t="n">
        <v>25</v>
      </c>
      <c r="R109" t="n">
        <v>58</v>
      </c>
      <c r="S109" t="inlineStr">
        <is>
          <t>B0D919B24F</t>
        </is>
      </c>
      <c r="U109" t="n">
        <v>2.2266662</v>
      </c>
      <c r="V109" t="n">
        <v>7.86</v>
      </c>
      <c r="W109" t="inlineStr"/>
      <c r="X109" t="inlineStr">
        <is>
          <t>196471922191</t>
        </is>
      </c>
      <c r="Y109" t="inlineStr">
        <is>
          <t>MAX01</t>
        </is>
      </c>
      <c r="Z109" t="inlineStr">
        <is>
          <t>MAX01</t>
        </is>
      </c>
      <c r="AA109" t="inlineStr">
        <is>
          <t>Grey/White/Silver Metallic</t>
        </is>
      </c>
      <c r="AB109" t="inlineStr">
        <is>
          <t>0196471922191</t>
        </is>
      </c>
      <c r="AC109" t="inlineStr">
        <is>
          <t>no Amazon offer exists</t>
        </is>
      </c>
      <c r="AD109" t="inlineStr">
        <is>
          <t>adidas</t>
        </is>
      </c>
      <c r="AE109" t="inlineStr">
        <is>
          <t>8.5</t>
        </is>
      </c>
      <c r="AF109" t="inlineStr">
        <is>
          <t>https://m.media-amazon.com/images/I/71nW2Nwz4wL.jpg;https://m.media-amazon.com/images/I/719RAAKb-0L.jpg;https://m.media-amazon.com/images/I/715weV5gHgL.jpg;https://m.media-amazon.com/images/I/61FR94JhRTL.jpg;https://m.media-amazon.com/images/I/71PhzszQARL.jpg;https://m.media-amazon.com/images/I/71m7QqMO4fL.jpg</t>
        </is>
      </c>
      <c r="AG109" t="inlineStr">
        <is>
          <t>Description
adidas womens Grand Court Alpha</t>
        </is>
      </c>
    </row>
    <row r="110">
      <c r="A110" t="inlineStr">
        <is>
          <t>com</t>
        </is>
      </c>
      <c r="B110" t="inlineStr">
        <is>
          <t>B0C2JYY3NR</t>
        </is>
      </c>
      <c r="C110" t="inlineStr">
        <is>
          <t>adidas Women's Grand Court Alpha Sneaker, Grey/White/Silver Metallic, 9</t>
        </is>
      </c>
      <c r="D110" t="n">
        <v>78.28</v>
      </c>
      <c r="E110" t="inlineStr"/>
      <c r="F110" t="n">
        <v>92975</v>
      </c>
      <c r="G110" t="n">
        <v>54549</v>
      </c>
      <c r="H110" t="n">
        <v>78.28</v>
      </c>
      <c r="I110" t="n">
        <v>69.01000000000001</v>
      </c>
      <c r="J110" t="n">
        <v>0.24</v>
      </c>
      <c r="K110" t="n">
        <v>0.78</v>
      </c>
      <c r="L110" t="n">
        <v>2</v>
      </c>
      <c r="M110" t="n">
        <v>1</v>
      </c>
      <c r="N110" t="n">
        <v>4.5</v>
      </c>
      <c r="O110" t="n">
        <v>7</v>
      </c>
      <c r="P110" t="n">
        <v>665</v>
      </c>
      <c r="Q110" t="n">
        <v>24</v>
      </c>
      <c r="R110" t="n">
        <v>72</v>
      </c>
      <c r="S110" t="inlineStr">
        <is>
          <t>B0D919B24F</t>
        </is>
      </c>
      <c r="U110" t="n">
        <v>2.30162328</v>
      </c>
      <c r="V110" t="n">
        <v>8.02</v>
      </c>
      <c r="W110" t="inlineStr"/>
      <c r="X110" t="inlineStr">
        <is>
          <t>196471922276</t>
        </is>
      </c>
      <c r="Y110" t="inlineStr">
        <is>
          <t>MAX01</t>
        </is>
      </c>
      <c r="Z110" t="inlineStr">
        <is>
          <t>MAX01</t>
        </is>
      </c>
      <c r="AA110" t="inlineStr">
        <is>
          <t>Grey/White/Silver Metallic</t>
        </is>
      </c>
      <c r="AB110" t="inlineStr">
        <is>
          <t>0196471922276</t>
        </is>
      </c>
      <c r="AC110" t="inlineStr">
        <is>
          <t>no Amazon offer exists</t>
        </is>
      </c>
      <c r="AD110" t="inlineStr">
        <is>
          <t>adidas</t>
        </is>
      </c>
      <c r="AE110" t="inlineStr">
        <is>
          <t>9</t>
        </is>
      </c>
      <c r="AF110" t="inlineStr">
        <is>
          <t>https://m.media-amazon.com/images/I/71nW2Nwz4wL.jpg;https://m.media-amazon.com/images/I/719RAAKb-0L.jpg;https://m.media-amazon.com/images/I/715weV5gHgL.jpg;https://m.media-amazon.com/images/I/61FR94JhRTL.jpg;https://m.media-amazon.com/images/I/71PhzszQARL.jpg;https://m.media-amazon.com/images/I/71m7QqMO4fL.jpg</t>
        </is>
      </c>
      <c r="AG110" t="inlineStr">
        <is>
          <t>Description
adidas womens Grand Court Alpha</t>
        </is>
      </c>
    </row>
    <row r="111">
      <c r="A111" t="inlineStr">
        <is>
          <t>com</t>
        </is>
      </c>
      <c r="B111" t="inlineStr">
        <is>
          <t>B0C2JZ91RZ</t>
        </is>
      </c>
      <c r="C111" t="inlineStr">
        <is>
          <t>adidas Women's Grand Court Alpha Sneaker, Grey/White/Silver Metallic, 9.5</t>
        </is>
      </c>
      <c r="D111" t="n">
        <v>69.98999999999999</v>
      </c>
      <c r="E111" t="n">
        <v>69.98999999999999</v>
      </c>
      <c r="F111" t="n">
        <v>88789</v>
      </c>
      <c r="G111" t="n">
        <v>55832</v>
      </c>
      <c r="H111" t="n">
        <v>74.26000000000001</v>
      </c>
      <c r="I111" t="n">
        <v>69.29000000000001</v>
      </c>
      <c r="J111" t="n">
        <v>0</v>
      </c>
      <c r="K111" t="n">
        <v>0.47</v>
      </c>
      <c r="L111" t="n">
        <v>5</v>
      </c>
      <c r="M111" t="n">
        <v>5</v>
      </c>
      <c r="N111" t="n">
        <v>4.5</v>
      </c>
      <c r="O111" t="n">
        <v>8</v>
      </c>
      <c r="P111" t="n">
        <v>667</v>
      </c>
      <c r="Q111" t="n">
        <v>35</v>
      </c>
      <c r="R111" t="n">
        <v>76</v>
      </c>
      <c r="S111" t="inlineStr">
        <is>
          <t>B0D919B24F</t>
        </is>
      </c>
      <c r="U111" t="n">
        <v>2.31044176</v>
      </c>
      <c r="V111" t="n">
        <v>7.86</v>
      </c>
      <c r="W111" t="n">
        <v>10.5</v>
      </c>
      <c r="X111" t="inlineStr">
        <is>
          <t>196471922245</t>
        </is>
      </c>
      <c r="Y111" t="inlineStr">
        <is>
          <t>MAX01</t>
        </is>
      </c>
      <c r="Z111" t="inlineStr">
        <is>
          <t>MAX01</t>
        </is>
      </c>
      <c r="AA111" t="inlineStr">
        <is>
          <t>Grey/White/Silver Metallic</t>
        </is>
      </c>
      <c r="AB111" t="inlineStr">
        <is>
          <t>0196471922245</t>
        </is>
      </c>
      <c r="AC111" t="inlineStr">
        <is>
          <t>no Amazon offer exists</t>
        </is>
      </c>
      <c r="AD111" t="inlineStr">
        <is>
          <t>adidas</t>
        </is>
      </c>
      <c r="AE111" t="inlineStr">
        <is>
          <t>9.5</t>
        </is>
      </c>
      <c r="AF111" t="inlineStr">
        <is>
          <t>https://m.media-amazon.com/images/I/71nW2Nwz4wL.jpg;https://m.media-amazon.com/images/I/719RAAKb-0L.jpg;https://m.media-amazon.com/images/I/715weV5gHgL.jpg;https://m.media-amazon.com/images/I/61FR94JhRTL.jpg;https://m.media-amazon.com/images/I/71PhzszQARL.jpg;https://m.media-amazon.com/images/I/71m7QqMO4fL.jpg</t>
        </is>
      </c>
      <c r="AG111" t="inlineStr">
        <is>
          <t>Description
adidas womens Grand Court Alpha</t>
        </is>
      </c>
    </row>
    <row r="112">
      <c r="A112" t="inlineStr">
        <is>
          <t>com</t>
        </is>
      </c>
      <c r="B112" t="inlineStr">
        <is>
          <t>B0C2JY8MFP</t>
        </is>
      </c>
      <c r="C112" t="inlineStr">
        <is>
          <t>adidas Women's Grand Court Alpha Sneaker, Grey/White/Silver Metallic, 10</t>
        </is>
      </c>
      <c r="D112" t="n">
        <v>69.98999999999999</v>
      </c>
      <c r="E112" t="n">
        <v>69.94</v>
      </c>
      <c r="F112" t="n">
        <v>88789</v>
      </c>
      <c r="G112" t="n">
        <v>56569</v>
      </c>
      <c r="H112" t="n">
        <v>77.47</v>
      </c>
      <c r="I112" t="n">
        <v>75.37</v>
      </c>
      <c r="J112" t="n">
        <v>0</v>
      </c>
      <c r="K112" t="n">
        <v>1</v>
      </c>
      <c r="L112" t="n">
        <v>3</v>
      </c>
      <c r="M112" t="n">
        <v>4</v>
      </c>
      <c r="N112" t="n">
        <v>4.5</v>
      </c>
      <c r="O112" t="n">
        <v>2</v>
      </c>
      <c r="P112" t="n">
        <v>668</v>
      </c>
      <c r="Q112" t="n">
        <v>41</v>
      </c>
      <c r="R112" t="n">
        <v>89</v>
      </c>
      <c r="S112" t="inlineStr">
        <is>
          <t>B0D919B24F</t>
        </is>
      </c>
      <c r="U112" t="n">
        <v>2.4361051</v>
      </c>
      <c r="V112" t="n">
        <v>7.86</v>
      </c>
      <c r="W112" t="n">
        <v>10.5</v>
      </c>
      <c r="X112" t="inlineStr">
        <is>
          <t>196471922207</t>
        </is>
      </c>
      <c r="Y112" t="inlineStr">
        <is>
          <t>MAX01</t>
        </is>
      </c>
      <c r="Z112" t="inlineStr">
        <is>
          <t>MAX01</t>
        </is>
      </c>
      <c r="AA112" t="inlineStr">
        <is>
          <t>Grey/White/Silver Metallic</t>
        </is>
      </c>
      <c r="AB112" t="inlineStr">
        <is>
          <t>0196471922207</t>
        </is>
      </c>
      <c r="AC112" t="inlineStr">
        <is>
          <t>no Amazon offer exists</t>
        </is>
      </c>
      <c r="AD112" t="inlineStr">
        <is>
          <t>adidas</t>
        </is>
      </c>
      <c r="AE112" t="inlineStr">
        <is>
          <t>10</t>
        </is>
      </c>
      <c r="AF112" t="inlineStr">
        <is>
          <t>https://m.media-amazon.com/images/I/71nW2Nwz4wL.jpg;https://m.media-amazon.com/images/I/719RAAKb-0L.jpg;https://m.media-amazon.com/images/I/715weV5gHgL.jpg;https://m.media-amazon.com/images/I/61FR94JhRTL.jpg;https://m.media-amazon.com/images/I/71PhzszQARL.jpg;https://m.media-amazon.com/images/I/71m7QqMO4fL.jpg</t>
        </is>
      </c>
      <c r="AG112" t="inlineStr">
        <is>
          <t>Description
adidas womens Grand Court Alpha</t>
        </is>
      </c>
    </row>
    <row r="113">
      <c r="A113" t="inlineStr">
        <is>
          <t>com</t>
        </is>
      </c>
      <c r="B113" t="inlineStr">
        <is>
          <t>B0C2JZDCHT</t>
        </is>
      </c>
      <c r="C113" t="inlineStr">
        <is>
          <t>adidas Women's Grand Court Alpha Sneaker, Grey/White/Silver Metallic, 11</t>
        </is>
      </c>
      <c r="D113" t="n">
        <v>71.13</v>
      </c>
      <c r="E113" t="n">
        <v>69.98999999999999</v>
      </c>
      <c r="F113" t="n">
        <v>88789</v>
      </c>
      <c r="G113" t="n">
        <v>54221</v>
      </c>
      <c r="H113" t="n">
        <v>72.09999999999999</v>
      </c>
      <c r="I113" t="n">
        <v>74.08</v>
      </c>
      <c r="J113" t="n">
        <v>0</v>
      </c>
      <c r="K113" t="n">
        <v>0.17</v>
      </c>
      <c r="L113" t="n">
        <v>4</v>
      </c>
      <c r="M113" t="n">
        <v>4</v>
      </c>
      <c r="N113" t="n">
        <v>4.5</v>
      </c>
      <c r="O113" t="n">
        <v>2</v>
      </c>
      <c r="P113" t="n">
        <v>668</v>
      </c>
      <c r="Q113" t="n">
        <v>31</v>
      </c>
      <c r="R113" t="n">
        <v>85</v>
      </c>
      <c r="S113" t="inlineStr">
        <is>
          <t>B0D919B24F</t>
        </is>
      </c>
      <c r="U113" t="n">
        <v>2.5683823</v>
      </c>
      <c r="V113" t="n">
        <v>8.02</v>
      </c>
      <c r="W113" t="n">
        <v>10.67</v>
      </c>
      <c r="X113" t="inlineStr">
        <is>
          <t>196471922214</t>
        </is>
      </c>
      <c r="Y113" t="inlineStr">
        <is>
          <t>MAX01</t>
        </is>
      </c>
      <c r="Z113" t="inlineStr">
        <is>
          <t>MAX01</t>
        </is>
      </c>
      <c r="AA113" t="inlineStr">
        <is>
          <t>Grey/White/Silver Metallic</t>
        </is>
      </c>
      <c r="AB113" t="inlineStr">
        <is>
          <t>0196471922214</t>
        </is>
      </c>
      <c r="AC113" t="inlineStr">
        <is>
          <t>Amazon offer is in stock and shippable</t>
        </is>
      </c>
      <c r="AD113" t="inlineStr">
        <is>
          <t>adidas</t>
        </is>
      </c>
      <c r="AE113" t="inlineStr">
        <is>
          <t>11</t>
        </is>
      </c>
      <c r="AF113" t="inlineStr">
        <is>
          <t>https://m.media-amazon.com/images/I/71nW2Nwz4wL.jpg;https://m.media-amazon.com/images/I/719RAAKb-0L.jpg;https://m.media-amazon.com/images/I/715weV5gHgL.jpg;https://m.media-amazon.com/images/I/61FR94JhRTL.jpg;https://m.media-amazon.com/images/I/71PhzszQARL.jpg;https://m.media-amazon.com/images/I/71m7QqMO4fL.jpg</t>
        </is>
      </c>
      <c r="AG113" t="inlineStr">
        <is>
          <t>Description
adidas womens Grand Court Alpha</t>
        </is>
      </c>
    </row>
    <row r="114">
      <c r="A114" t="inlineStr">
        <is>
          <t>com</t>
        </is>
      </c>
      <c r="B114" t="inlineStr">
        <is>
          <t>B0CKMNGKTL</t>
        </is>
      </c>
      <c r="C114" t="inlineStr">
        <is>
          <t>adidas Women's Grand Court Alpha 00s Sneaker, Purple Burst/White/Purple Burst, 5</t>
        </is>
      </c>
      <c r="D114" t="n">
        <v>79.95</v>
      </c>
      <c r="E114" t="n">
        <v>79.95</v>
      </c>
      <c r="F114" t="n">
        <v>57820</v>
      </c>
      <c r="G114" t="n">
        <v>43045</v>
      </c>
      <c r="H114" t="n">
        <v>79.81</v>
      </c>
      <c r="I114" t="n">
        <v>81.16</v>
      </c>
      <c r="J114" t="n">
        <v>0</v>
      </c>
      <c r="K114" t="n">
        <v>0</v>
      </c>
      <c r="L114" t="n">
        <v>5</v>
      </c>
      <c r="M114" t="n">
        <v>4</v>
      </c>
      <c r="N114" t="n">
        <v>4.7</v>
      </c>
      <c r="O114" t="n">
        <v>0</v>
      </c>
      <c r="P114" t="n">
        <v>43</v>
      </c>
      <c r="Q114" t="n">
        <v>29</v>
      </c>
      <c r="R114" t="n">
        <v>96</v>
      </c>
      <c r="S114" t="inlineStr">
        <is>
          <t>B0CKMTNJNM</t>
        </is>
      </c>
      <c r="U114" t="n">
        <v>2.0502966</v>
      </c>
      <c r="V114" t="n">
        <v>7.62</v>
      </c>
      <c r="W114" t="n">
        <v>11.99</v>
      </c>
      <c r="X114" t="inlineStr">
        <is>
          <t>197609350343</t>
        </is>
      </c>
      <c r="Y114" t="inlineStr">
        <is>
          <t>NMM60</t>
        </is>
      </c>
      <c r="Z114" t="inlineStr">
        <is>
          <t>NMM60</t>
        </is>
      </c>
      <c r="AA114" t="inlineStr">
        <is>
          <t>Purple Burst/White/Purple Burst</t>
        </is>
      </c>
      <c r="AB114" t="inlineStr">
        <is>
          <t>0197609350343</t>
        </is>
      </c>
      <c r="AC114" t="inlineStr">
        <is>
          <t>Amazon offer is in stock and shippable</t>
        </is>
      </c>
      <c r="AD114" t="inlineStr">
        <is>
          <t>adidas</t>
        </is>
      </c>
      <c r="AE114" t="inlineStr">
        <is>
          <t>5</t>
        </is>
      </c>
      <c r="AF114" t="inlineStr">
        <is>
          <t>https://m.media-amazon.com/images/I/31WlTzGECBL.jpg;https://m.media-amazon.com/images/I/215lz67Fm9L.jpg;https://m.media-amazon.com/images/I/31jExEZrhBL.jpg;https://m.media-amazon.com/images/I/31oFQVIE4HL.jpg;https://m.media-amazon.com/images/I/31dNP7kZJSL.jpg;https://m.media-amazon.com/images/I/31cGPI9d6sL.jpg</t>
        </is>
      </c>
      <c r="AG114" t="inlineStr">
        <is>
          <t>Description
Classic style goes with everything, just like these women's adidas sneakers. They feature a synthetic leather upper that is durable and comfortable. A Cloudfoam midsole keeps you light on your feet.</t>
        </is>
      </c>
    </row>
    <row r="115">
      <c r="A115" t="inlineStr">
        <is>
          <t>com</t>
        </is>
      </c>
      <c r="B115" t="inlineStr">
        <is>
          <t>B0CKMPD7KP</t>
        </is>
      </c>
      <c r="C115" t="inlineStr">
        <is>
          <t>adidas Women's Grand Court Alpha 00s Sneaker, Purple Burst/White/Purple Burst, 5.5</t>
        </is>
      </c>
      <c r="D115" t="n">
        <v>101.46</v>
      </c>
      <c r="E115" t="n">
        <v>101.46</v>
      </c>
      <c r="F115" t="n">
        <v>52743</v>
      </c>
      <c r="G115" t="n">
        <v>43231</v>
      </c>
      <c r="H115" t="n">
        <v>79.48</v>
      </c>
      <c r="I115" t="n">
        <v>80.67</v>
      </c>
      <c r="J115" t="n">
        <v>0</v>
      </c>
      <c r="K115" t="n">
        <v>0.54</v>
      </c>
      <c r="L115" t="n">
        <v>5</v>
      </c>
      <c r="M115" t="n">
        <v>4</v>
      </c>
      <c r="N115" t="n">
        <v>4.7</v>
      </c>
      <c r="O115" t="n">
        <v>0</v>
      </c>
      <c r="P115" t="n">
        <v>43</v>
      </c>
      <c r="Q115" t="n">
        <v>39</v>
      </c>
      <c r="R115" t="n">
        <v>121</v>
      </c>
      <c r="S115" t="inlineStr">
        <is>
          <t>B0CKMTNJNM</t>
        </is>
      </c>
      <c r="U115" t="n">
        <v>2.08997976</v>
      </c>
      <c r="V115" t="n">
        <v>7.62</v>
      </c>
      <c r="W115" t="inlineStr"/>
      <c r="X115" t="inlineStr">
        <is>
          <t>197609346674</t>
        </is>
      </c>
      <c r="Y115" t="inlineStr">
        <is>
          <t>NMM60</t>
        </is>
      </c>
      <c r="Z115" t="inlineStr">
        <is>
          <t>NMM60</t>
        </is>
      </c>
      <c r="AA115" t="inlineStr">
        <is>
          <t>Purple Burst/White/Purple Burst</t>
        </is>
      </c>
      <c r="AB115" t="inlineStr">
        <is>
          <t>0197609346674</t>
        </is>
      </c>
      <c r="AC115" t="inlineStr">
        <is>
          <t>no Amazon offer exists</t>
        </is>
      </c>
      <c r="AD115" t="inlineStr">
        <is>
          <t>adidas</t>
        </is>
      </c>
      <c r="AE115" t="inlineStr">
        <is>
          <t>5.5</t>
        </is>
      </c>
      <c r="AF115" t="inlineStr">
        <is>
          <t>https://m.media-amazon.com/images/I/71VHOdsxv6L.jpg;https://m.media-amazon.com/images/I/61t+G-jC34L.jpg;https://m.media-amazon.com/images/I/61NF9NtKRjL.jpg;https://m.media-amazon.com/images/I/71ADILtHWeL.jpg;https://m.media-amazon.com/images/I/71ZSwUSX-XL.jpg;https://m.media-amazon.com/images/I/71tygN5cMNL.jpg</t>
        </is>
      </c>
      <c r="AG115" t="inlineStr">
        <is>
          <t>Description
Classic style goes with everything, just like these women's adidas sneakers. They feature a synthetic leather upper that is durable and comfortable. A Cloudfoam midsole keeps you light on your feet.</t>
        </is>
      </c>
    </row>
    <row r="116">
      <c r="A116" t="inlineStr">
        <is>
          <t>com</t>
        </is>
      </c>
      <c r="B116" t="inlineStr">
        <is>
          <t>B0CKMPD3CX</t>
        </is>
      </c>
      <c r="C116" t="inlineStr">
        <is>
          <t>adidas Women's Grand Court Alpha 00s Sneaker, Purple Burst/White/Purple Burst, 6</t>
        </is>
      </c>
      <c r="D116" t="n">
        <v>79.95</v>
      </c>
      <c r="E116" t="n">
        <v>79.95</v>
      </c>
      <c r="F116" t="n">
        <v>55574</v>
      </c>
      <c r="G116" t="n">
        <v>44205</v>
      </c>
      <c r="H116" t="n">
        <v>78.18000000000001</v>
      </c>
      <c r="I116" t="n">
        <v>78.18000000000001</v>
      </c>
      <c r="J116" t="n">
        <v>0</v>
      </c>
      <c r="K116" t="n">
        <v>0.24</v>
      </c>
      <c r="L116" t="n">
        <v>8</v>
      </c>
      <c r="M116" t="n">
        <v>6</v>
      </c>
      <c r="N116" t="n">
        <v>4.7</v>
      </c>
      <c r="O116" t="n">
        <v>0</v>
      </c>
      <c r="P116" t="n">
        <v>43</v>
      </c>
      <c r="Q116" t="n">
        <v>31</v>
      </c>
      <c r="R116" t="n">
        <v>99</v>
      </c>
      <c r="S116" t="inlineStr">
        <is>
          <t>B0CKMTNJNM</t>
        </is>
      </c>
      <c r="U116" t="n">
        <v>2.1605276</v>
      </c>
      <c r="V116" t="n">
        <v>7.62</v>
      </c>
      <c r="W116" t="n">
        <v>11.99</v>
      </c>
      <c r="X116" t="inlineStr">
        <is>
          <t>197609350336</t>
        </is>
      </c>
      <c r="Y116" t="inlineStr">
        <is>
          <t>NMM60</t>
        </is>
      </c>
      <c r="Z116" t="inlineStr">
        <is>
          <t>NMM60</t>
        </is>
      </c>
      <c r="AA116" t="inlineStr">
        <is>
          <t>Purple Burst/White/Purple Burst</t>
        </is>
      </c>
      <c r="AB116" t="inlineStr">
        <is>
          <t>0197609350336</t>
        </is>
      </c>
      <c r="AC116" t="inlineStr">
        <is>
          <t>Amazon offer is in stock and shippable</t>
        </is>
      </c>
      <c r="AD116" t="inlineStr">
        <is>
          <t>adidas</t>
        </is>
      </c>
      <c r="AE116" t="inlineStr">
        <is>
          <t>6</t>
        </is>
      </c>
      <c r="AF116" t="inlineStr">
        <is>
          <t>https://m.media-amazon.com/images/I/71VHOdsxv6L.jpg;https://m.media-amazon.com/images/I/61t+G-jC34L.jpg;https://m.media-amazon.com/images/I/61NF9NtKRjL.jpg;https://m.media-amazon.com/images/I/71ADILtHWeL.jpg;https://m.media-amazon.com/images/I/71ZSwUSX-XL.jpg;https://m.media-amazon.com/images/I/71tygN5cMNL.jpg</t>
        </is>
      </c>
      <c r="AG116" t="inlineStr">
        <is>
          <t>Description
Classic style goes with everything, just like these women's adidas sneakers. They feature a synthetic leather upper that is durable and comfortable. A Cloudfoam midsole keeps you light on your feet.</t>
        </is>
      </c>
    </row>
    <row r="117">
      <c r="A117" t="inlineStr">
        <is>
          <t>com</t>
        </is>
      </c>
      <c r="B117" t="inlineStr">
        <is>
          <t>B0CKMP6LY4</t>
        </is>
      </c>
      <c r="C117" t="inlineStr">
        <is>
          <t>adidas Women's Grand Court Alpha 00s Sneaker, Purple Burst/White/Purple Burst, 6.5</t>
        </is>
      </c>
      <c r="D117" t="n">
        <v>79.95</v>
      </c>
      <c r="E117" t="n">
        <v>79.95</v>
      </c>
      <c r="F117" t="n">
        <v>55574</v>
      </c>
      <c r="G117" t="n">
        <v>42987</v>
      </c>
      <c r="H117" t="n">
        <v>79.69</v>
      </c>
      <c r="I117" t="n">
        <v>79.69</v>
      </c>
      <c r="J117" t="n">
        <v>0</v>
      </c>
      <c r="K117" t="n">
        <v>0.25</v>
      </c>
      <c r="L117" t="n">
        <v>8</v>
      </c>
      <c r="M117" t="n">
        <v>8</v>
      </c>
      <c r="N117" t="n">
        <v>4.7</v>
      </c>
      <c r="O117" t="n">
        <v>0</v>
      </c>
      <c r="P117" t="n">
        <v>43</v>
      </c>
      <c r="Q117" t="n">
        <v>30</v>
      </c>
      <c r="R117" t="n">
        <v>98</v>
      </c>
      <c r="S117" t="inlineStr">
        <is>
          <t>B0CKMTNJNM</t>
        </is>
      </c>
      <c r="U117" t="n">
        <v>2.1605276</v>
      </c>
      <c r="V117" t="n">
        <v>7.7</v>
      </c>
      <c r="W117" t="n">
        <v>11.99</v>
      </c>
      <c r="X117" t="inlineStr">
        <is>
          <t>197609350305</t>
        </is>
      </c>
      <c r="Y117" t="inlineStr">
        <is>
          <t>NMM60</t>
        </is>
      </c>
      <c r="Z117" t="inlineStr">
        <is>
          <t>NMM60</t>
        </is>
      </c>
      <c r="AA117" t="inlineStr">
        <is>
          <t>Purple Burst/White/Purple Burst</t>
        </is>
      </c>
      <c r="AB117" t="inlineStr">
        <is>
          <t>0197609350305</t>
        </is>
      </c>
      <c r="AC117" t="inlineStr">
        <is>
          <t>Amazon offer is in stock and shippable</t>
        </is>
      </c>
      <c r="AD117" t="inlineStr">
        <is>
          <t>adidas</t>
        </is>
      </c>
      <c r="AE117" t="inlineStr">
        <is>
          <t>6.5</t>
        </is>
      </c>
      <c r="AF117" t="inlineStr">
        <is>
          <t>https://m.media-amazon.com/images/I/71VHOdsxv6L.jpg;https://m.media-amazon.com/images/I/61t+G-jC34L.jpg;https://m.media-amazon.com/images/I/61NF9NtKRjL.jpg;https://m.media-amazon.com/images/I/71ADILtHWeL.jpg;https://m.media-amazon.com/images/I/71ZSwUSX-XL.jpg;https://m.media-amazon.com/images/I/71tygN5cMNL.jpg</t>
        </is>
      </c>
      <c r="AG117" t="inlineStr">
        <is>
          <t>Description
Classic style goes with everything, just like these women's adidas sneakers. They feature a synthetic leather upper that is durable and comfortable. A Cloudfoam midsole keeps you light on your feet.</t>
        </is>
      </c>
    </row>
    <row r="118">
      <c r="A118" t="inlineStr">
        <is>
          <t>com</t>
        </is>
      </c>
      <c r="B118" t="inlineStr">
        <is>
          <t>B0CKMMHKN7</t>
        </is>
      </c>
      <c r="C118" t="inlineStr">
        <is>
          <t>adidas Women's Grand Court Alpha 00s Sneaker, Purple Burst/White/Purple Burst, 7</t>
        </is>
      </c>
      <c r="D118" t="n">
        <v>79.95</v>
      </c>
      <c r="E118" t="n">
        <v>79.95</v>
      </c>
      <c r="F118" t="n">
        <v>55574</v>
      </c>
      <c r="G118" t="n">
        <v>43206</v>
      </c>
      <c r="H118" t="n">
        <v>80.5</v>
      </c>
      <c r="I118" t="n">
        <v>80.97</v>
      </c>
      <c r="J118" t="n">
        <v>0</v>
      </c>
      <c r="K118" t="n">
        <v>0.24</v>
      </c>
      <c r="L118" t="n">
        <v>6</v>
      </c>
      <c r="M118" t="n">
        <v>6</v>
      </c>
      <c r="N118" t="n">
        <v>4.7</v>
      </c>
      <c r="O118" t="n">
        <v>2</v>
      </c>
      <c r="P118" t="n">
        <v>43</v>
      </c>
      <c r="Q118" t="n">
        <v>35</v>
      </c>
      <c r="R118" t="n">
        <v>100</v>
      </c>
      <c r="S118" t="inlineStr">
        <is>
          <t>B0CKMTNJNM</t>
        </is>
      </c>
      <c r="U118" t="n">
        <v>2.20021076</v>
      </c>
      <c r="V118" t="n">
        <v>7.7</v>
      </c>
      <c r="W118" t="n">
        <v>11.99</v>
      </c>
      <c r="X118" t="inlineStr">
        <is>
          <t>197609346650</t>
        </is>
      </c>
      <c r="Y118" t="inlineStr">
        <is>
          <t>NMM60</t>
        </is>
      </c>
      <c r="Z118" t="inlineStr">
        <is>
          <t>NMM60</t>
        </is>
      </c>
      <c r="AA118" t="inlineStr">
        <is>
          <t>Purple Burst/White/Purple Burst</t>
        </is>
      </c>
      <c r="AB118" t="inlineStr">
        <is>
          <t>0197609346650</t>
        </is>
      </c>
      <c r="AC118" t="inlineStr">
        <is>
          <t>Amazon offer is in stock and shippable</t>
        </is>
      </c>
      <c r="AD118" t="inlineStr">
        <is>
          <t>adidas</t>
        </is>
      </c>
      <c r="AE118" t="inlineStr">
        <is>
          <t>7</t>
        </is>
      </c>
      <c r="AF118" t="inlineStr">
        <is>
          <t>https://m.media-amazon.com/images/I/71VHOdsxv6L.jpg;https://m.media-amazon.com/images/I/61t+G-jC34L.jpg;https://m.media-amazon.com/images/I/61NF9NtKRjL.jpg;https://m.media-amazon.com/images/I/71ADILtHWeL.jpg;https://m.media-amazon.com/images/I/71ZSwUSX-XL.jpg;https://m.media-amazon.com/images/I/71tygN5cMNL.jpg</t>
        </is>
      </c>
      <c r="AG118" t="inlineStr">
        <is>
          <t>Description
Classic style goes with everything, just like these women's adidas sneakers. They feature a synthetic leather upper that is durable and comfortable. A Cloudfoam midsole keeps you light on your feet.</t>
        </is>
      </c>
    </row>
    <row r="119">
      <c r="A119" t="inlineStr">
        <is>
          <t>com</t>
        </is>
      </c>
      <c r="B119" t="inlineStr">
        <is>
          <t>B0CKMQJDK7</t>
        </is>
      </c>
      <c r="C119" t="inlineStr">
        <is>
          <t>adidas Women's Grand Court Alpha 00s Sneaker, Purple Burst/White/Purple Burst, 7.5</t>
        </is>
      </c>
      <c r="D119" t="n">
        <v>79.95</v>
      </c>
      <c r="E119" t="n">
        <v>79.95</v>
      </c>
      <c r="F119" t="n">
        <v>57820</v>
      </c>
      <c r="G119" t="n">
        <v>43960</v>
      </c>
      <c r="H119" t="n">
        <v>79.09</v>
      </c>
      <c r="I119" t="n">
        <v>80.25</v>
      </c>
      <c r="J119" t="n">
        <v>0</v>
      </c>
      <c r="K119" t="n">
        <v>0.24</v>
      </c>
      <c r="L119" t="n">
        <v>7</v>
      </c>
      <c r="M119" t="n">
        <v>8</v>
      </c>
      <c r="N119" t="n">
        <v>4.7</v>
      </c>
      <c r="O119" t="n">
        <v>0</v>
      </c>
      <c r="P119" t="n">
        <v>43</v>
      </c>
      <c r="Q119" t="n">
        <v>31</v>
      </c>
      <c r="R119" t="n">
        <v>95</v>
      </c>
      <c r="S119" t="inlineStr">
        <is>
          <t>B0CKMTNJNM</t>
        </is>
      </c>
      <c r="U119" t="n">
        <v>2.24430316</v>
      </c>
      <c r="V119" t="n">
        <v>7.7</v>
      </c>
      <c r="W119" t="n">
        <v>11.99</v>
      </c>
      <c r="X119" t="inlineStr">
        <is>
          <t>197609350282</t>
        </is>
      </c>
      <c r="Y119" t="inlineStr">
        <is>
          <t>NMM60</t>
        </is>
      </c>
      <c r="Z119" t="inlineStr">
        <is>
          <t>NMM60</t>
        </is>
      </c>
      <c r="AA119" t="inlineStr">
        <is>
          <t>Purple Burst/White/Purple Burst</t>
        </is>
      </c>
      <c r="AB119" t="inlineStr">
        <is>
          <t>0197609350282</t>
        </is>
      </c>
      <c r="AC119" t="inlineStr">
        <is>
          <t>Amazon offer is in stock and shippable</t>
        </is>
      </c>
      <c r="AD119" t="inlineStr">
        <is>
          <t>adidas</t>
        </is>
      </c>
      <c r="AE119" t="inlineStr">
        <is>
          <t>7.5</t>
        </is>
      </c>
      <c r="AF119" t="inlineStr">
        <is>
          <t>https://m.media-amazon.com/images/I/71VHOdsxv6L.jpg;https://m.media-amazon.com/images/I/61t+G-jC34L.jpg;https://m.media-amazon.com/images/I/61NF9NtKRjL.jpg;https://m.media-amazon.com/images/I/71ADILtHWeL.jpg;https://m.media-amazon.com/images/I/71ZSwUSX-XL.jpg;https://m.media-amazon.com/images/I/71tygN5cMNL.jpg</t>
        </is>
      </c>
      <c r="AG119" t="inlineStr">
        <is>
          <t>Description
Classic style goes with everything, just like these women's adidas sneakers. They feature a synthetic leather upper that is durable and comfortable. A Cloudfoam midsole keeps you light on your feet.</t>
        </is>
      </c>
    </row>
    <row r="120">
      <c r="A120" t="inlineStr">
        <is>
          <t>com</t>
        </is>
      </c>
      <c r="B120" t="inlineStr">
        <is>
          <t>B0CKMPD3CY</t>
        </is>
      </c>
      <c r="C120" t="inlineStr">
        <is>
          <t>adidas Women's Grand Court Alpha 00s Sneaker, Purple Burst/White/Purple Burst, 8</t>
        </is>
      </c>
      <c r="D120" t="n">
        <v>75</v>
      </c>
      <c r="E120" t="n">
        <v>75</v>
      </c>
      <c r="F120" t="n">
        <v>55574</v>
      </c>
      <c r="G120" t="n">
        <v>43254</v>
      </c>
      <c r="H120" t="n">
        <v>79.12</v>
      </c>
      <c r="I120" t="n">
        <v>79.91</v>
      </c>
      <c r="J120" t="n">
        <v>0</v>
      </c>
      <c r="K120" t="n">
        <v>0.02</v>
      </c>
      <c r="L120" t="n">
        <v>7</v>
      </c>
      <c r="M120" t="n">
        <v>5</v>
      </c>
      <c r="N120" t="n">
        <v>4.7</v>
      </c>
      <c r="O120" t="n">
        <v>1</v>
      </c>
      <c r="P120" t="n">
        <v>43</v>
      </c>
      <c r="Q120" t="n">
        <v>32</v>
      </c>
      <c r="R120" t="n">
        <v>101</v>
      </c>
      <c r="S120" t="inlineStr">
        <is>
          <t>B0CKMTNJNM</t>
        </is>
      </c>
      <c r="U120" t="n">
        <v>2.4691744</v>
      </c>
      <c r="V120" t="n">
        <v>7.7</v>
      </c>
      <c r="W120" t="n">
        <v>11.25</v>
      </c>
      <c r="X120" t="inlineStr">
        <is>
          <t>197609350367</t>
        </is>
      </c>
      <c r="Y120" t="inlineStr">
        <is>
          <t>NMM60</t>
        </is>
      </c>
      <c r="Z120" t="inlineStr">
        <is>
          <t>NMM60</t>
        </is>
      </c>
      <c r="AA120" t="inlineStr">
        <is>
          <t>Purple Burst/White/Purple Burst</t>
        </is>
      </c>
      <c r="AB120" t="inlineStr">
        <is>
          <t>0197609350367</t>
        </is>
      </c>
      <c r="AC120" t="inlineStr">
        <is>
          <t>Amazon offer is in stock and shippable</t>
        </is>
      </c>
      <c r="AD120" t="inlineStr">
        <is>
          <t>adidas</t>
        </is>
      </c>
      <c r="AE120" t="inlineStr">
        <is>
          <t>8</t>
        </is>
      </c>
      <c r="AF120" t="inlineStr">
        <is>
          <t>https://m.media-amazon.com/images/I/71VHOdsxv6L.jpg;https://m.media-amazon.com/images/I/61t+G-jC34L.jpg;https://m.media-amazon.com/images/I/61NF9NtKRjL.jpg;https://m.media-amazon.com/images/I/71ADILtHWeL.jpg;https://m.media-amazon.com/images/I/71ZSwUSX-XL.jpg;https://m.media-amazon.com/images/I/71tygN5cMNL.jpg</t>
        </is>
      </c>
      <c r="AG120" t="inlineStr">
        <is>
          <t>Description
Classic style goes with everything, just like these women's adidas sneakers. They feature a synthetic leather upper that is durable and comfortable. A Cloudfoam midsole keeps you light on your feet.</t>
        </is>
      </c>
    </row>
    <row r="121">
      <c r="A121" t="inlineStr">
        <is>
          <t>com</t>
        </is>
      </c>
      <c r="B121" t="inlineStr">
        <is>
          <t>B0CKMP822P</t>
        </is>
      </c>
      <c r="C121" t="inlineStr">
        <is>
          <t>adidas Women's Grand Court Alpha 00s Sneaker, Purple Burst/White/Purple Burst, 8.5</t>
        </is>
      </c>
      <c r="D121" t="n">
        <v>79.95</v>
      </c>
      <c r="E121" t="n">
        <v>79.95</v>
      </c>
      <c r="F121" t="n">
        <v>57820</v>
      </c>
      <c r="G121" t="n">
        <v>43692</v>
      </c>
      <c r="H121" t="n">
        <v>78.18000000000001</v>
      </c>
      <c r="I121" t="n">
        <v>79.22</v>
      </c>
      <c r="J121" t="n">
        <v>0</v>
      </c>
      <c r="K121" t="n">
        <v>0.02</v>
      </c>
      <c r="L121" t="n">
        <v>8</v>
      </c>
      <c r="M121" t="n">
        <v>8</v>
      </c>
      <c r="N121" t="n">
        <v>4.7</v>
      </c>
      <c r="O121" t="n">
        <v>0</v>
      </c>
      <c r="P121" t="n">
        <v>43</v>
      </c>
      <c r="Q121" t="n">
        <v>31</v>
      </c>
      <c r="R121" t="n">
        <v>97</v>
      </c>
      <c r="S121" t="inlineStr">
        <is>
          <t>B0CKMTNJNM</t>
        </is>
      </c>
      <c r="U121" t="n">
        <v>2.3589434</v>
      </c>
      <c r="V121" t="n">
        <v>7.7</v>
      </c>
      <c r="W121" t="n">
        <v>11.99</v>
      </c>
      <c r="X121" t="inlineStr">
        <is>
          <t>197609350374</t>
        </is>
      </c>
      <c r="Y121" t="inlineStr">
        <is>
          <t>NMM60</t>
        </is>
      </c>
      <c r="Z121" t="inlineStr">
        <is>
          <t>NMM60</t>
        </is>
      </c>
      <c r="AA121" t="inlineStr">
        <is>
          <t>Purple Burst/White/Purple Burst</t>
        </is>
      </c>
      <c r="AB121" t="inlineStr">
        <is>
          <t>0197609350374</t>
        </is>
      </c>
      <c r="AC121" t="inlineStr">
        <is>
          <t>Amazon offer is in stock and shippable</t>
        </is>
      </c>
      <c r="AD121" t="inlineStr">
        <is>
          <t>adidas</t>
        </is>
      </c>
      <c r="AE121" t="inlineStr">
        <is>
          <t>8.5</t>
        </is>
      </c>
      <c r="AF121" t="inlineStr">
        <is>
          <t>https://m.media-amazon.com/images/I/71VHOdsxv6L.jpg;https://m.media-amazon.com/images/I/61t+G-jC34L.jpg;https://m.media-amazon.com/images/I/61NF9NtKRjL.jpg;https://m.media-amazon.com/images/I/71ADILtHWeL.jpg;https://m.media-amazon.com/images/I/71ZSwUSX-XL.jpg;https://m.media-amazon.com/images/I/71tygN5cMNL.jpg</t>
        </is>
      </c>
      <c r="AG121" t="inlineStr">
        <is>
          <t>Description
Classic style goes with everything, just like these women's adidas sneakers. They feature a synthetic leather upper that is durable and comfortable. A Cloudfoam midsole keeps you light on your feet.</t>
        </is>
      </c>
    </row>
    <row r="122">
      <c r="A122" t="inlineStr">
        <is>
          <t>com</t>
        </is>
      </c>
      <c r="B122" t="inlineStr">
        <is>
          <t>B0CKMP41ML</t>
        </is>
      </c>
      <c r="C122" t="inlineStr">
        <is>
          <t>adidas Women's Grand Court Alpha 00s Sneaker, Purple Burst/White/Purple Burst, 9</t>
        </is>
      </c>
      <c r="D122" t="n">
        <v>79.95</v>
      </c>
      <c r="E122" t="n">
        <v>79.95</v>
      </c>
      <c r="F122" t="n">
        <v>55574</v>
      </c>
      <c r="G122" t="n">
        <v>43160</v>
      </c>
      <c r="H122" t="n">
        <v>78.56999999999999</v>
      </c>
      <c r="I122" t="n">
        <v>79.05</v>
      </c>
      <c r="J122" t="n">
        <v>0</v>
      </c>
      <c r="K122" t="n">
        <v>0</v>
      </c>
      <c r="L122" t="n">
        <v>7</v>
      </c>
      <c r="M122" t="n">
        <v>6</v>
      </c>
      <c r="N122" t="n">
        <v>4.7</v>
      </c>
      <c r="O122" t="n">
        <v>0</v>
      </c>
      <c r="P122" t="n">
        <v>43</v>
      </c>
      <c r="Q122" t="n">
        <v>37</v>
      </c>
      <c r="R122" t="n">
        <v>117</v>
      </c>
      <c r="S122" t="inlineStr">
        <is>
          <t>B0CKMTNJNM</t>
        </is>
      </c>
      <c r="U122" t="n">
        <v>2.40524042</v>
      </c>
      <c r="V122" t="n">
        <v>7.86</v>
      </c>
      <c r="W122" t="n">
        <v>11.99</v>
      </c>
      <c r="X122" t="inlineStr">
        <is>
          <t>197609346667</t>
        </is>
      </c>
      <c r="Y122" t="inlineStr">
        <is>
          <t>NMM60</t>
        </is>
      </c>
      <c r="Z122" t="inlineStr">
        <is>
          <t>NMM60</t>
        </is>
      </c>
      <c r="AA122" t="inlineStr">
        <is>
          <t>Purple Burst/White/Purple Burst</t>
        </is>
      </c>
      <c r="AB122" t="inlineStr">
        <is>
          <t>0197609346667</t>
        </is>
      </c>
      <c r="AC122" t="inlineStr">
        <is>
          <t>Amazon offer is in stock and shippable</t>
        </is>
      </c>
      <c r="AD122" t="inlineStr">
        <is>
          <t>adidas</t>
        </is>
      </c>
      <c r="AE122" t="inlineStr">
        <is>
          <t>9</t>
        </is>
      </c>
      <c r="AF122" t="inlineStr">
        <is>
          <t>https://m.media-amazon.com/images/I/71VHOdsxv6L.jpg;https://m.media-amazon.com/images/I/61t+G-jC34L.jpg;https://m.media-amazon.com/images/I/61NF9NtKRjL.jpg;https://m.media-amazon.com/images/I/71ADILtHWeL.jpg;https://m.media-amazon.com/images/I/71ZSwUSX-XL.jpg;https://m.media-amazon.com/images/I/71tygN5cMNL.jpg</t>
        </is>
      </c>
      <c r="AG122" t="inlineStr">
        <is>
          <t>Description
Classic style goes with everything, just like these women's adidas sneakers. They feature a synthetic leather upper that is durable and comfortable. A Cloudfoam midsole keeps you light on your feet.</t>
        </is>
      </c>
    </row>
    <row r="123">
      <c r="A123" t="inlineStr">
        <is>
          <t>com</t>
        </is>
      </c>
      <c r="B123" t="inlineStr">
        <is>
          <t>B0CKMR1GS8</t>
        </is>
      </c>
      <c r="C123" t="inlineStr">
        <is>
          <t>adidas Women's Grand Court Alpha 00s Sneaker, Purple Burst/White/Purple Burst, 9.5</t>
        </is>
      </c>
      <c r="D123" t="n">
        <v>79.95</v>
      </c>
      <c r="E123" t="n">
        <v>79.90000000000001</v>
      </c>
      <c r="F123" t="n">
        <v>55574</v>
      </c>
      <c r="G123" t="n">
        <v>43136</v>
      </c>
      <c r="H123" t="n">
        <v>78.52</v>
      </c>
      <c r="I123" t="n">
        <v>79.06999999999999</v>
      </c>
      <c r="J123" t="n">
        <v>0</v>
      </c>
      <c r="K123" t="n">
        <v>0</v>
      </c>
      <c r="L123" t="n">
        <v>7</v>
      </c>
      <c r="M123" t="n">
        <v>8</v>
      </c>
      <c r="N123" t="n">
        <v>4.7</v>
      </c>
      <c r="O123" t="n">
        <v>0</v>
      </c>
      <c r="P123" t="n">
        <v>43</v>
      </c>
      <c r="Q123" t="n">
        <v>29</v>
      </c>
      <c r="R123" t="n">
        <v>94</v>
      </c>
      <c r="S123" t="inlineStr">
        <is>
          <t>B0CKMTNJNM</t>
        </is>
      </c>
      <c r="U123" t="n">
        <v>2.5794054</v>
      </c>
      <c r="V123" t="n">
        <v>7.86</v>
      </c>
      <c r="W123" t="n">
        <v>11.99</v>
      </c>
      <c r="X123" t="inlineStr">
        <is>
          <t>197609350299</t>
        </is>
      </c>
      <c r="Y123" t="inlineStr">
        <is>
          <t>NMM60</t>
        </is>
      </c>
      <c r="Z123" t="inlineStr">
        <is>
          <t>NMM60</t>
        </is>
      </c>
      <c r="AA123" t="inlineStr">
        <is>
          <t>Purple Burst/White/Purple Burst</t>
        </is>
      </c>
      <c r="AB123" t="inlineStr">
        <is>
          <t>0197609350299</t>
        </is>
      </c>
      <c r="AC123" t="inlineStr">
        <is>
          <t>Amazon offer is in stock and shippable</t>
        </is>
      </c>
      <c r="AD123" t="inlineStr">
        <is>
          <t>adidas</t>
        </is>
      </c>
      <c r="AE123" t="inlineStr">
        <is>
          <t>9.5</t>
        </is>
      </c>
      <c r="AF123" t="inlineStr">
        <is>
          <t>https://m.media-amazon.com/images/I/71VHOdsxv6L.jpg;https://m.media-amazon.com/images/I/61t+G-jC34L.jpg;https://m.media-amazon.com/images/I/61NF9NtKRjL.jpg;https://m.media-amazon.com/images/I/71ADILtHWeL.jpg;https://m.media-amazon.com/images/I/71ZSwUSX-XL.jpg;https://m.media-amazon.com/images/I/71tygN5cMNL.jpg</t>
        </is>
      </c>
      <c r="AG123" t="inlineStr">
        <is>
          <t>Description
Classic style goes with everything, just like these women's adidas sneakers. They feature a synthetic leather upper that is durable and comfortable. A Cloudfoam midsole keeps you light on your feet.</t>
        </is>
      </c>
    </row>
    <row r="124">
      <c r="A124" t="inlineStr">
        <is>
          <t>com</t>
        </is>
      </c>
      <c r="B124" t="inlineStr">
        <is>
          <t>B0CKMNXHS6</t>
        </is>
      </c>
      <c r="C124" t="inlineStr">
        <is>
          <t>adidas Women's Grand Court Alpha 00s Sneaker, Purple Burst/White/Purple Burst, 10</t>
        </is>
      </c>
      <c r="D124" t="n">
        <v>79.95</v>
      </c>
      <c r="E124" t="n">
        <v>79.95</v>
      </c>
      <c r="F124" t="n">
        <v>55574</v>
      </c>
      <c r="G124" t="n">
        <v>43141</v>
      </c>
      <c r="H124" t="n">
        <v>78.81999999999999</v>
      </c>
      <c r="I124" t="n">
        <v>80.04000000000001</v>
      </c>
      <c r="J124" t="n">
        <v>0</v>
      </c>
      <c r="K124" t="n">
        <v>0</v>
      </c>
      <c r="L124" t="n">
        <v>5</v>
      </c>
      <c r="M124" t="n">
        <v>4</v>
      </c>
      <c r="N124" t="n">
        <v>4.7</v>
      </c>
      <c r="O124" t="n">
        <v>0</v>
      </c>
      <c r="P124" t="n">
        <v>36</v>
      </c>
      <c r="Q124" t="n">
        <v>27</v>
      </c>
      <c r="R124" t="n">
        <v>101</v>
      </c>
      <c r="S124" t="inlineStr">
        <is>
          <t>B0CKMTNJNM</t>
        </is>
      </c>
      <c r="U124" t="n">
        <v>2.45153744</v>
      </c>
      <c r="V124" t="n">
        <v>7.86</v>
      </c>
      <c r="W124" t="n">
        <v>11.99</v>
      </c>
      <c r="X124" t="inlineStr">
        <is>
          <t>197609350329</t>
        </is>
      </c>
      <c r="Y124" t="inlineStr">
        <is>
          <t>NMM60</t>
        </is>
      </c>
      <c r="Z124" t="inlineStr">
        <is>
          <t>NMM60</t>
        </is>
      </c>
      <c r="AA124" t="inlineStr">
        <is>
          <t>Purple Burst/White/Purple Burst</t>
        </is>
      </c>
      <c r="AB124" t="inlineStr">
        <is>
          <t>0197609350329</t>
        </is>
      </c>
      <c r="AC124" t="inlineStr">
        <is>
          <t>Amazon offer is in stock and shippable</t>
        </is>
      </c>
      <c r="AD124" t="inlineStr">
        <is>
          <t>adidas</t>
        </is>
      </c>
      <c r="AE124" t="inlineStr">
        <is>
          <t>10</t>
        </is>
      </c>
      <c r="AF124" t="inlineStr">
        <is>
          <t>https://m.media-amazon.com/images/I/71VHOdsxv6L.jpg;https://m.media-amazon.com/images/I/61t+G-jC34L.jpg;https://m.media-amazon.com/images/I/61NF9NtKRjL.jpg;https://m.media-amazon.com/images/I/71ADILtHWeL.jpg;https://m.media-amazon.com/images/I/71ZSwUSX-XL.jpg;https://m.media-amazon.com/images/I/71tygN5cMNL.jpg</t>
        </is>
      </c>
      <c r="AG124" t="inlineStr">
        <is>
          <t>Description
Classic style goes with everything, just like these women's adidas sneakers. They feature a synthetic leather upper that is durable and comfortable. A Cloudfoam midsole keeps you light on your feet.</t>
        </is>
      </c>
    </row>
    <row r="125">
      <c r="A125" t="inlineStr">
        <is>
          <t>com</t>
        </is>
      </c>
      <c r="B125" t="inlineStr">
        <is>
          <t>B0CKMPVDJP</t>
        </is>
      </c>
      <c r="C125" t="inlineStr">
        <is>
          <t>adidas Women's Grand Court Alpha 00s Sneaker, Purple Burst/White/Purple Burst, 11</t>
        </is>
      </c>
      <c r="D125" t="n">
        <v>79.95</v>
      </c>
      <c r="E125" t="n">
        <v>79.95</v>
      </c>
      <c r="F125" t="n">
        <v>55574</v>
      </c>
      <c r="G125" t="n">
        <v>43827</v>
      </c>
      <c r="H125" t="n">
        <v>85.33</v>
      </c>
      <c r="I125" t="n">
        <v>87.06999999999999</v>
      </c>
      <c r="J125" t="n">
        <v>0</v>
      </c>
      <c r="K125" t="n">
        <v>0.25</v>
      </c>
      <c r="L125" t="n">
        <v>4</v>
      </c>
      <c r="M125" t="n">
        <v>3</v>
      </c>
      <c r="N125" t="n">
        <v>4.7</v>
      </c>
      <c r="O125" t="n">
        <v>1</v>
      </c>
      <c r="P125" t="n">
        <v>36</v>
      </c>
      <c r="Q125" t="n">
        <v>21</v>
      </c>
      <c r="R125" t="n">
        <v>74</v>
      </c>
      <c r="S125" t="inlineStr">
        <is>
          <t>B0CKMTNJNM</t>
        </is>
      </c>
      <c r="U125" t="n">
        <v>2.70947798</v>
      </c>
      <c r="V125" t="n">
        <v>7.86</v>
      </c>
      <c r="W125" t="n">
        <v>11.99</v>
      </c>
      <c r="X125" t="inlineStr">
        <is>
          <t>197609350312</t>
        </is>
      </c>
      <c r="Y125" t="inlineStr">
        <is>
          <t>NMM60</t>
        </is>
      </c>
      <c r="Z125" t="inlineStr">
        <is>
          <t>NMM60</t>
        </is>
      </c>
      <c r="AA125" t="inlineStr">
        <is>
          <t>Purple Burst/White/Purple Burst</t>
        </is>
      </c>
      <c r="AB125" t="inlineStr">
        <is>
          <t>0197609350312</t>
        </is>
      </c>
      <c r="AC125" t="inlineStr">
        <is>
          <t>Amazon offer is in stock and shippable</t>
        </is>
      </c>
      <c r="AD125" t="inlineStr">
        <is>
          <t>adidas</t>
        </is>
      </c>
      <c r="AE125" t="inlineStr">
        <is>
          <t>11</t>
        </is>
      </c>
      <c r="AF125" t="inlineStr">
        <is>
          <t>https://m.media-amazon.com/images/I/71VHOdsxv6L.jpg;https://m.media-amazon.com/images/I/61t+G-jC34L.jpg;https://m.media-amazon.com/images/I/61NF9NtKRjL.jpg;https://m.media-amazon.com/images/I/71ADILtHWeL.jpg;https://m.media-amazon.com/images/I/71ZSwUSX-XL.jpg;https://m.media-amazon.com/images/I/71tygN5cMNL.jpg</t>
        </is>
      </c>
      <c r="AG125" t="inlineStr">
        <is>
          <t>Description
Classic style goes with everything, just like these women's adidas sneakers. They feature a synthetic leather upper that is durable and comfortable. A Cloudfoam midsole keeps you light on your feet.</t>
        </is>
      </c>
    </row>
    <row r="126">
      <c r="A126" t="inlineStr">
        <is>
          <t>com</t>
        </is>
      </c>
      <c r="B126" t="inlineStr">
        <is>
          <t>B0CKMP6T4T</t>
        </is>
      </c>
      <c r="C126" t="inlineStr">
        <is>
          <t>adidas Women's Grand Court Alpha 00s Sneaker, Grey/White/Silver Metallic, 5</t>
        </is>
      </c>
      <c r="D126" t="inlineStr"/>
      <c r="E126" t="inlineStr"/>
      <c r="G126" t="n">
        <v>45916</v>
      </c>
      <c r="H126" t="inlineStr"/>
      <c r="I126" t="inlineStr"/>
      <c r="J126" t="n">
        <v>1</v>
      </c>
      <c r="K126" t="n">
        <v>1</v>
      </c>
      <c r="N126" t="n">
        <v>4.7</v>
      </c>
      <c r="O126" t="n">
        <v>0</v>
      </c>
      <c r="P126" t="n">
        <v>36</v>
      </c>
      <c r="Q126" t="n">
        <v>2</v>
      </c>
      <c r="R126" t="n">
        <v>26</v>
      </c>
      <c r="S126" t="inlineStr">
        <is>
          <t>B0CKMTNJNM</t>
        </is>
      </c>
      <c r="U126" t="n">
        <v>2.0502966</v>
      </c>
      <c r="V126" t="n">
        <v>7.62</v>
      </c>
      <c r="W126" t="inlineStr"/>
      <c r="X126" t="inlineStr">
        <is>
          <t>197609350466</t>
        </is>
      </c>
      <c r="Y126" t="inlineStr">
        <is>
          <t>NMM60</t>
        </is>
      </c>
      <c r="Z126" t="inlineStr">
        <is>
          <t>NMM60</t>
        </is>
      </c>
      <c r="AA126" t="inlineStr">
        <is>
          <t>Grey/White/Silver Metallic</t>
        </is>
      </c>
      <c r="AB126" t="inlineStr">
        <is>
          <t>0197609350466</t>
        </is>
      </c>
      <c r="AC126" t="inlineStr">
        <is>
          <t>no Amazon offer exists</t>
        </is>
      </c>
      <c r="AD126" t="inlineStr">
        <is>
          <t>adidas</t>
        </is>
      </c>
      <c r="AE126" t="inlineStr">
        <is>
          <t>5</t>
        </is>
      </c>
      <c r="AF126"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26" t="inlineStr">
        <is>
          <t>Description
Classic style goes with everything, just like these women's adidas sneakers. They feature a synthetic leather upper that is durable and comfortable. A Cloudfoam midsole keeps you light on your feet.</t>
        </is>
      </c>
    </row>
    <row r="127">
      <c r="A127" t="inlineStr">
        <is>
          <t>com</t>
        </is>
      </c>
      <c r="B127" t="inlineStr">
        <is>
          <t>B0CKMRDY4C</t>
        </is>
      </c>
      <c r="C127" t="inlineStr">
        <is>
          <t>adidas Women's Grand Court Alpha 00s Sneaker, Grey/White/Silver Metallic, 5.5</t>
        </is>
      </c>
      <c r="D127" t="inlineStr"/>
      <c r="E127" t="inlineStr"/>
      <c r="G127" t="n">
        <v>43514</v>
      </c>
      <c r="H127" t="inlineStr"/>
      <c r="I127" t="inlineStr"/>
      <c r="J127" t="n">
        <v>1</v>
      </c>
      <c r="K127" t="n">
        <v>1</v>
      </c>
      <c r="N127" t="n">
        <v>4.7</v>
      </c>
      <c r="O127" t="n">
        <v>0</v>
      </c>
      <c r="P127" t="n">
        <v>36</v>
      </c>
      <c r="Q127" t="n">
        <v>2</v>
      </c>
      <c r="R127" t="n">
        <v>25</v>
      </c>
      <c r="S127" t="inlineStr">
        <is>
          <t>B0CKMTNJNM</t>
        </is>
      </c>
      <c r="U127" t="n">
        <v>2.08997976</v>
      </c>
      <c r="V127" t="n">
        <v>7.62</v>
      </c>
      <c r="W127" t="inlineStr"/>
      <c r="X127" t="inlineStr">
        <is>
          <t>197609350503</t>
        </is>
      </c>
      <c r="Y127" t="inlineStr">
        <is>
          <t>NMM60</t>
        </is>
      </c>
      <c r="Z127" t="inlineStr">
        <is>
          <t>NMM60</t>
        </is>
      </c>
      <c r="AA127" t="inlineStr">
        <is>
          <t>Grey/White/Silver Metallic</t>
        </is>
      </c>
      <c r="AB127" t="inlineStr">
        <is>
          <t>0197609350503</t>
        </is>
      </c>
      <c r="AC127" t="inlineStr">
        <is>
          <t>no Amazon offer exists</t>
        </is>
      </c>
      <c r="AD127" t="inlineStr">
        <is>
          <t>adidas</t>
        </is>
      </c>
      <c r="AE127" t="inlineStr">
        <is>
          <t>5.5</t>
        </is>
      </c>
      <c r="AF127"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27" t="inlineStr">
        <is>
          <t>Description
Classic style goes with everything, just like these women's adidas sneakers. They feature a synthetic leather upper that is durable and comfortable. A Cloudfoam midsole keeps you light on your feet.</t>
        </is>
      </c>
    </row>
    <row r="128">
      <c r="A128" t="inlineStr">
        <is>
          <t>com</t>
        </is>
      </c>
      <c r="B128" t="inlineStr">
        <is>
          <t>B0CKMNLJLN</t>
        </is>
      </c>
      <c r="C128" t="inlineStr">
        <is>
          <t>adidas Women's Grand Court Alpha 00s Sneaker, Grey/White/Silver Metallic, 6</t>
        </is>
      </c>
      <c r="D128" t="n">
        <v>88.95</v>
      </c>
      <c r="E128" t="n">
        <v>88.95</v>
      </c>
      <c r="F128" t="n">
        <v>55574</v>
      </c>
      <c r="G128" t="n">
        <v>44083</v>
      </c>
      <c r="H128" t="n">
        <v>88.95</v>
      </c>
      <c r="I128" t="n">
        <v>88.95</v>
      </c>
      <c r="J128" t="n">
        <v>0.82</v>
      </c>
      <c r="K128" t="n">
        <v>1</v>
      </c>
      <c r="L128" t="n">
        <v>1</v>
      </c>
      <c r="M128" t="n">
        <v>1</v>
      </c>
      <c r="N128" t="n">
        <v>4.7</v>
      </c>
      <c r="O128" t="n">
        <v>0</v>
      </c>
      <c r="P128" t="n">
        <v>40</v>
      </c>
      <c r="Q128" t="n">
        <v>4</v>
      </c>
      <c r="R128" t="n">
        <v>29</v>
      </c>
      <c r="S128" t="inlineStr">
        <is>
          <t>B0CKMTNJNM</t>
        </is>
      </c>
      <c r="U128" t="n">
        <v>2.1605276</v>
      </c>
      <c r="V128" t="n">
        <v>7.62</v>
      </c>
      <c r="W128" t="n">
        <v>13.34</v>
      </c>
      <c r="X128" t="inlineStr">
        <is>
          <t>197609350404</t>
        </is>
      </c>
      <c r="Y128" t="inlineStr">
        <is>
          <t>NMM60</t>
        </is>
      </c>
      <c r="Z128" t="inlineStr">
        <is>
          <t>NMM60</t>
        </is>
      </c>
      <c r="AA128" t="inlineStr">
        <is>
          <t>Grey/White/Silver Metallic</t>
        </is>
      </c>
      <c r="AB128" t="inlineStr">
        <is>
          <t>0197609350404</t>
        </is>
      </c>
      <c r="AC128" t="inlineStr">
        <is>
          <t>no Amazon offer exists</t>
        </is>
      </c>
      <c r="AD128" t="inlineStr">
        <is>
          <t>adidas</t>
        </is>
      </c>
      <c r="AE128" t="inlineStr">
        <is>
          <t>6</t>
        </is>
      </c>
      <c r="AF128"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28" t="inlineStr">
        <is>
          <t>Description
Classic style goes with everything, just like these women's adidas sneakers. They feature a synthetic leather upper that is durable and comfortable. A Cloudfoam midsole keeps you light on your feet.</t>
        </is>
      </c>
    </row>
    <row r="129">
      <c r="A129" t="inlineStr">
        <is>
          <t>com</t>
        </is>
      </c>
      <c r="B129" t="inlineStr">
        <is>
          <t>B0CKMPD2SM</t>
        </is>
      </c>
      <c r="C129" t="inlineStr">
        <is>
          <t>adidas Women's Grand Court Alpha 00s Sneaker, Grey/White/Silver Metallic, 6.5</t>
        </is>
      </c>
      <c r="D129" t="n">
        <v>79.95</v>
      </c>
      <c r="E129" t="n">
        <v>79.95</v>
      </c>
      <c r="F129" t="n">
        <v>52743</v>
      </c>
      <c r="G129" t="n">
        <v>45963</v>
      </c>
      <c r="H129" t="n">
        <v>88.45999999999999</v>
      </c>
      <c r="I129" t="n">
        <v>88.45999999999999</v>
      </c>
      <c r="J129" t="n">
        <v>0.8</v>
      </c>
      <c r="K129" t="n">
        <v>0.99</v>
      </c>
      <c r="L129" t="n">
        <v>1</v>
      </c>
      <c r="M129" t="n">
        <v>1</v>
      </c>
      <c r="N129" t="n">
        <v>4.7</v>
      </c>
      <c r="O129" t="n">
        <v>0</v>
      </c>
      <c r="P129" t="n">
        <v>36</v>
      </c>
      <c r="Q129" t="n">
        <v>16</v>
      </c>
      <c r="R129" t="n">
        <v>40</v>
      </c>
      <c r="S129" t="inlineStr">
        <is>
          <t>B0CKMTNJNM</t>
        </is>
      </c>
      <c r="U129" t="n">
        <v>2.1605276</v>
      </c>
      <c r="V129" t="n">
        <v>7.7</v>
      </c>
      <c r="W129" t="n">
        <v>11.99</v>
      </c>
      <c r="X129" t="inlineStr">
        <is>
          <t>197609350442</t>
        </is>
      </c>
      <c r="Y129" t="inlineStr">
        <is>
          <t>NMM60</t>
        </is>
      </c>
      <c r="Z129" t="inlineStr">
        <is>
          <t>NMM60</t>
        </is>
      </c>
      <c r="AA129" t="inlineStr">
        <is>
          <t>Grey/White/Silver Metallic</t>
        </is>
      </c>
      <c r="AB129" t="inlineStr">
        <is>
          <t>0197609350442</t>
        </is>
      </c>
      <c r="AC129" t="inlineStr">
        <is>
          <t>Amazon offer is back-ordered</t>
        </is>
      </c>
      <c r="AD129" t="inlineStr">
        <is>
          <t>adidas</t>
        </is>
      </c>
      <c r="AE129" t="inlineStr">
        <is>
          <t>6.5</t>
        </is>
      </c>
      <c r="AF129"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29" t="inlineStr">
        <is>
          <t>Description
Classic style goes with everything, just like these women's adidas sneakers. They feature a synthetic leather upper that is durable and comfortable. A Cloudfoam midsole keeps you light on your feet.</t>
        </is>
      </c>
    </row>
    <row r="130">
      <c r="A130" t="inlineStr">
        <is>
          <t>com</t>
        </is>
      </c>
      <c r="B130" t="inlineStr">
        <is>
          <t>B0CKMNZSTW</t>
        </is>
      </c>
      <c r="C130" t="inlineStr">
        <is>
          <t>adidas Women's Grand Court Alpha 00s Sneaker, Grey/White/Silver Metallic, 7</t>
        </is>
      </c>
      <c r="D130" t="n">
        <v>79.95</v>
      </c>
      <c r="E130" t="n">
        <v>79.95</v>
      </c>
      <c r="F130" t="n">
        <v>55574</v>
      </c>
      <c r="G130" t="n">
        <v>45049</v>
      </c>
      <c r="H130" t="n">
        <v>79.95</v>
      </c>
      <c r="I130" t="n">
        <v>79.95</v>
      </c>
      <c r="J130" t="n">
        <v>0.77</v>
      </c>
      <c r="K130" t="n">
        <v>0.96</v>
      </c>
      <c r="L130" t="n">
        <v>1</v>
      </c>
      <c r="M130" t="n">
        <v>1</v>
      </c>
      <c r="N130" t="n">
        <v>4.7</v>
      </c>
      <c r="O130" t="n">
        <v>0</v>
      </c>
      <c r="P130" t="n">
        <v>36</v>
      </c>
      <c r="Q130" t="n">
        <v>14</v>
      </c>
      <c r="R130" t="n">
        <v>40</v>
      </c>
      <c r="S130" t="inlineStr">
        <is>
          <t>B0CKMTNJNM</t>
        </is>
      </c>
      <c r="U130" t="n">
        <v>2.25091702</v>
      </c>
      <c r="V130" t="n">
        <v>7.7</v>
      </c>
      <c r="W130" t="n">
        <v>11.99</v>
      </c>
      <c r="X130" t="inlineStr">
        <is>
          <t>197609350473</t>
        </is>
      </c>
      <c r="Y130" t="inlineStr">
        <is>
          <t>NMM60</t>
        </is>
      </c>
      <c r="Z130" t="inlineStr">
        <is>
          <t>NMM60</t>
        </is>
      </c>
      <c r="AA130" t="inlineStr">
        <is>
          <t>Grey/White/Silver Metallic</t>
        </is>
      </c>
      <c r="AB130" t="inlineStr">
        <is>
          <t>0197609350473</t>
        </is>
      </c>
      <c r="AC130" t="inlineStr">
        <is>
          <t>Amazon offer is back-ordered</t>
        </is>
      </c>
      <c r="AD130" t="inlineStr">
        <is>
          <t>adidas</t>
        </is>
      </c>
      <c r="AE130" t="inlineStr">
        <is>
          <t>7</t>
        </is>
      </c>
      <c r="AF130"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0" t="inlineStr">
        <is>
          <t>Description
Classic style goes with everything, just like these women's adidas sneakers. They feature a synthetic leather upper that is durable and comfortable. A Cloudfoam midsole keeps you light on your feet.</t>
        </is>
      </c>
    </row>
    <row r="131">
      <c r="A131" t="inlineStr">
        <is>
          <t>com</t>
        </is>
      </c>
      <c r="B131" t="inlineStr">
        <is>
          <t>B0CKMNJMN7</t>
        </is>
      </c>
      <c r="C131" t="inlineStr">
        <is>
          <t>adidas Women's Grand Court Alpha 00s Sneaker, Grey/White/Silver Metallic, 7.5</t>
        </is>
      </c>
      <c r="D131" t="n">
        <v>79.95</v>
      </c>
      <c r="E131" t="n">
        <v>79.95</v>
      </c>
      <c r="F131" t="n">
        <v>52743</v>
      </c>
      <c r="G131" t="n">
        <v>46641</v>
      </c>
      <c r="H131" t="n">
        <v>79.95</v>
      </c>
      <c r="I131" t="n">
        <v>79.95</v>
      </c>
      <c r="J131" t="n">
        <v>0.77</v>
      </c>
      <c r="K131" t="n">
        <v>0.96</v>
      </c>
      <c r="L131" t="n">
        <v>1</v>
      </c>
      <c r="M131" t="n">
        <v>1</v>
      </c>
      <c r="N131" t="n">
        <v>4.7</v>
      </c>
      <c r="O131" t="n">
        <v>0</v>
      </c>
      <c r="P131" t="n">
        <v>36</v>
      </c>
      <c r="Q131" t="n">
        <v>15</v>
      </c>
      <c r="R131" t="n">
        <v>38</v>
      </c>
      <c r="S131" t="inlineStr">
        <is>
          <t>B0CKMTNJNM</t>
        </is>
      </c>
      <c r="U131" t="n">
        <v>2.1605276</v>
      </c>
      <c r="V131" t="n">
        <v>7.7</v>
      </c>
      <c r="W131" t="n">
        <v>11.99</v>
      </c>
      <c r="X131" t="inlineStr">
        <is>
          <t>197609350435</t>
        </is>
      </c>
      <c r="Y131" t="inlineStr">
        <is>
          <t>NMM60</t>
        </is>
      </c>
      <c r="Z131" t="inlineStr">
        <is>
          <t>NMM60</t>
        </is>
      </c>
      <c r="AA131" t="inlineStr">
        <is>
          <t>Grey/White/Silver Metallic</t>
        </is>
      </c>
      <c r="AB131" t="inlineStr">
        <is>
          <t>0197609350435</t>
        </is>
      </c>
      <c r="AC131" t="inlineStr">
        <is>
          <t>Amazon offer is back-ordered</t>
        </is>
      </c>
      <c r="AD131" t="inlineStr">
        <is>
          <t>adidas</t>
        </is>
      </c>
      <c r="AE131" t="inlineStr">
        <is>
          <t>7.5</t>
        </is>
      </c>
      <c r="AF131"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1" t="inlineStr">
        <is>
          <t>Description
Classic style goes with everything, just like these women's adidas sneakers. They feature a synthetic leather upper that is durable and comfortable. A Cloudfoam midsole keeps you light on your feet.</t>
        </is>
      </c>
    </row>
    <row r="132">
      <c r="A132" t="inlineStr">
        <is>
          <t>com</t>
        </is>
      </c>
      <c r="B132" t="inlineStr">
        <is>
          <t>B0CKMPDT85</t>
        </is>
      </c>
      <c r="C132" t="inlineStr">
        <is>
          <t>adidas Women's Grand Court Alpha 00s Sneaker, Grey/White/Silver Metallic, 8</t>
        </is>
      </c>
      <c r="D132" t="n">
        <v>79.95</v>
      </c>
      <c r="E132" t="n">
        <v>79.95</v>
      </c>
      <c r="F132" t="n">
        <v>55574</v>
      </c>
      <c r="G132" t="n">
        <v>45100</v>
      </c>
      <c r="H132" t="n">
        <v>79.95</v>
      </c>
      <c r="I132" t="n">
        <v>79.95</v>
      </c>
      <c r="J132" t="n">
        <v>0.77</v>
      </c>
      <c r="K132" t="n">
        <v>0.96</v>
      </c>
      <c r="L132" t="n">
        <v>1</v>
      </c>
      <c r="M132" t="n">
        <v>1</v>
      </c>
      <c r="N132" t="n">
        <v>4.7</v>
      </c>
      <c r="O132" t="n">
        <v>0</v>
      </c>
      <c r="P132" t="n">
        <v>41</v>
      </c>
      <c r="Q132" t="n">
        <v>13</v>
      </c>
      <c r="R132" t="n">
        <v>45</v>
      </c>
      <c r="S132" t="inlineStr">
        <is>
          <t>B0CKMTNJNM</t>
        </is>
      </c>
      <c r="U132" t="n">
        <v>2.4691744</v>
      </c>
      <c r="V132" t="n">
        <v>7.7</v>
      </c>
      <c r="W132" t="n">
        <v>11.99</v>
      </c>
      <c r="X132" t="inlineStr">
        <is>
          <t>197609350381</t>
        </is>
      </c>
      <c r="Y132" t="inlineStr">
        <is>
          <t>NMM60</t>
        </is>
      </c>
      <c r="Z132" t="inlineStr">
        <is>
          <t>NMM60</t>
        </is>
      </c>
      <c r="AA132" t="inlineStr">
        <is>
          <t>Grey/White/Silver Metallic</t>
        </is>
      </c>
      <c r="AB132" t="inlineStr">
        <is>
          <t>0197609350381</t>
        </is>
      </c>
      <c r="AC132" t="inlineStr">
        <is>
          <t>Amazon offer is back-ordered</t>
        </is>
      </c>
      <c r="AD132" t="inlineStr">
        <is>
          <t>adidas</t>
        </is>
      </c>
      <c r="AE132" t="inlineStr">
        <is>
          <t>8</t>
        </is>
      </c>
      <c r="AF132"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2" t="inlineStr">
        <is>
          <t>Description
Classic style goes with everything, just like these women's adidas sneakers. They feature a synthetic leather upper that is durable and comfortable. A Cloudfoam midsole keeps you light on your feet.</t>
        </is>
      </c>
    </row>
    <row r="133">
      <c r="A133" t="inlineStr">
        <is>
          <t>com</t>
        </is>
      </c>
      <c r="B133" t="inlineStr">
        <is>
          <t>B0CKMPV788</t>
        </is>
      </c>
      <c r="C133" t="inlineStr">
        <is>
          <t>adidas Women's Grand Court Alpha 00s Sneaker, Grey/White/Silver Metallic, 8.5</t>
        </is>
      </c>
      <c r="D133" t="n">
        <v>79.95</v>
      </c>
      <c r="E133" t="n">
        <v>79.95</v>
      </c>
      <c r="F133" t="n">
        <v>55574</v>
      </c>
      <c r="G133" t="n">
        <v>44874</v>
      </c>
      <c r="H133" t="n">
        <v>79.95</v>
      </c>
      <c r="I133" t="n">
        <v>79.95</v>
      </c>
      <c r="J133" t="n">
        <v>0.8</v>
      </c>
      <c r="K133" t="n">
        <v>0.99</v>
      </c>
      <c r="L133" t="n">
        <v>1</v>
      </c>
      <c r="M133" t="n">
        <v>1</v>
      </c>
      <c r="N133" t="n">
        <v>4.7</v>
      </c>
      <c r="O133" t="n">
        <v>0</v>
      </c>
      <c r="P133" t="n">
        <v>43</v>
      </c>
      <c r="Q133" t="n">
        <v>14</v>
      </c>
      <c r="R133" t="n">
        <v>42</v>
      </c>
      <c r="S133" t="inlineStr">
        <is>
          <t>B0CKMTNJNM</t>
        </is>
      </c>
      <c r="U133" t="n">
        <v>2.3589434</v>
      </c>
      <c r="V133" t="n">
        <v>7.7</v>
      </c>
      <c r="W133" t="n">
        <v>11.99</v>
      </c>
      <c r="X133" t="inlineStr">
        <is>
          <t>197609350398</t>
        </is>
      </c>
      <c r="Y133" t="inlineStr">
        <is>
          <t>NMM60</t>
        </is>
      </c>
      <c r="Z133" t="inlineStr">
        <is>
          <t>NMM60</t>
        </is>
      </c>
      <c r="AA133" t="inlineStr">
        <is>
          <t>Grey/White/Silver Metallic</t>
        </is>
      </c>
      <c r="AB133" t="inlineStr">
        <is>
          <t>0197609350398</t>
        </is>
      </c>
      <c r="AC133" t="inlineStr">
        <is>
          <t>Amazon offer is back-ordered</t>
        </is>
      </c>
      <c r="AD133" t="inlineStr">
        <is>
          <t>adidas</t>
        </is>
      </c>
      <c r="AE133" t="inlineStr">
        <is>
          <t>8.5</t>
        </is>
      </c>
      <c r="AF133" t="inlineStr">
        <is>
          <t>https://m.media-amazon.com/images/I/31WgcMXocQL.jpg;https://m.media-amazon.com/images/I/21sqB+XWdwL.jpg;https://m.media-amazon.com/images/I/21a1aq2FlLL.jpg;https://m.media-amazon.com/images/I/31ssM5+uZmL.jpg;https://m.media-amazon.com/images/I/31yc3Hc1y+L.jpg;https://m.media-amazon.com/images/I/31xvu2vKYhL.jpg;https://m.media-amazon.com/images/I/319Wf2UXHPL.jpg</t>
        </is>
      </c>
      <c r="AG133" t="inlineStr">
        <is>
          <t>Description
Classic style goes with everything, just like these women's adidas sneakers. They feature a synthetic leather upper that is durable and comfortable. A Cloudfoam midsole keeps you light on your feet.</t>
        </is>
      </c>
    </row>
    <row r="134">
      <c r="A134" t="inlineStr">
        <is>
          <t>com</t>
        </is>
      </c>
      <c r="B134" t="inlineStr">
        <is>
          <t>B0CKMQJVRQ</t>
        </is>
      </c>
      <c r="C134" t="inlineStr">
        <is>
          <t>adidas Women's Grand Court Alpha 00s Sneaker, Grey/White/Silver Metallic, 9</t>
        </is>
      </c>
      <c r="D134" t="n">
        <v>88.95</v>
      </c>
      <c r="E134" t="n">
        <v>88.95</v>
      </c>
      <c r="F134" t="n">
        <v>1467547</v>
      </c>
      <c r="G134" t="n">
        <v>110491</v>
      </c>
      <c r="H134" t="n">
        <v>88.95</v>
      </c>
      <c r="I134" t="n">
        <v>88.95</v>
      </c>
      <c r="J134" t="n">
        <v>0.85</v>
      </c>
      <c r="K134" t="n">
        <v>1</v>
      </c>
      <c r="L134" t="n">
        <v>1</v>
      </c>
      <c r="M134" t="n">
        <v>1</v>
      </c>
      <c r="O134" t="n">
        <v>0</v>
      </c>
      <c r="Q134" t="n">
        <v>0</v>
      </c>
      <c r="R134" t="n">
        <v>12</v>
      </c>
      <c r="S134" t="inlineStr"/>
      <c r="U134" t="n">
        <v>2.55956382</v>
      </c>
      <c r="V134" t="n">
        <v>7.86</v>
      </c>
      <c r="W134" t="n">
        <v>13.34</v>
      </c>
      <c r="X134" t="inlineStr">
        <is>
          <t>197609350497</t>
        </is>
      </c>
      <c r="Y134" t="inlineStr">
        <is>
          <t>NMM60</t>
        </is>
      </c>
      <c r="Z134" t="inlineStr">
        <is>
          <t>NMM60</t>
        </is>
      </c>
      <c r="AA134" t="inlineStr">
        <is>
          <t>Grey/White/Silver Metallic</t>
        </is>
      </c>
      <c r="AB134" t="inlineStr">
        <is>
          <t>0197609350497</t>
        </is>
      </c>
      <c r="AC134" t="inlineStr">
        <is>
          <t>no Amazon offer exists</t>
        </is>
      </c>
      <c r="AD134" t="inlineStr">
        <is>
          <t>adidas</t>
        </is>
      </c>
      <c r="AE134" t="inlineStr">
        <is>
          <t>9</t>
        </is>
      </c>
      <c r="AF134"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4" t="inlineStr">
        <is>
          <t>Description
Classic style goes with everything, just like these women's adidas sneakers. They feature a synthetic leather upper that is durable and comfortable. A Cloudfoam midsole keeps you light on your feet.</t>
        </is>
      </c>
    </row>
    <row r="135">
      <c r="A135" t="inlineStr">
        <is>
          <t>com</t>
        </is>
      </c>
      <c r="B135" t="inlineStr">
        <is>
          <t>B0CKMMJKYN</t>
        </is>
      </c>
      <c r="C135" t="inlineStr">
        <is>
          <t>adidas Women's Grand Court Alpha 00s Sneaker, Grey/White/Silver Metallic, 9.5</t>
        </is>
      </c>
      <c r="D135" t="n">
        <v>79.95</v>
      </c>
      <c r="E135" t="n">
        <v>79.95</v>
      </c>
      <c r="F135" t="n">
        <v>57820</v>
      </c>
      <c r="G135" t="n">
        <v>45458</v>
      </c>
      <c r="H135" t="n">
        <v>98.69</v>
      </c>
      <c r="I135" t="n">
        <v>98.69</v>
      </c>
      <c r="J135" t="n">
        <v>0.82</v>
      </c>
      <c r="K135" t="n">
        <v>0.99</v>
      </c>
      <c r="L135" t="n">
        <v>1</v>
      </c>
      <c r="M135" t="n">
        <v>1</v>
      </c>
      <c r="N135" t="n">
        <v>4.7</v>
      </c>
      <c r="O135" t="n">
        <v>0</v>
      </c>
      <c r="P135" t="n">
        <v>40</v>
      </c>
      <c r="Q135" t="n">
        <v>15</v>
      </c>
      <c r="R135" t="n">
        <v>40</v>
      </c>
      <c r="S135" t="inlineStr">
        <is>
          <t>B0CKMTNJNM</t>
        </is>
      </c>
      <c r="U135" t="n">
        <v>2.5794054</v>
      </c>
      <c r="V135" t="n">
        <v>7.86</v>
      </c>
      <c r="W135" t="n">
        <v>11.99</v>
      </c>
      <c r="X135" t="inlineStr">
        <is>
          <t>197609350411</t>
        </is>
      </c>
      <c r="Y135" t="inlineStr">
        <is>
          <t>NMM60</t>
        </is>
      </c>
      <c r="Z135" t="inlineStr">
        <is>
          <t>NMM60</t>
        </is>
      </c>
      <c r="AA135" t="inlineStr">
        <is>
          <t>Grey/White/Silver Metallic</t>
        </is>
      </c>
      <c r="AB135" t="inlineStr">
        <is>
          <t>0197609350411</t>
        </is>
      </c>
      <c r="AC135" t="inlineStr">
        <is>
          <t>Amazon offer is back-ordered</t>
        </is>
      </c>
      <c r="AD135" t="inlineStr">
        <is>
          <t>adidas</t>
        </is>
      </c>
      <c r="AE135" t="inlineStr">
        <is>
          <t>9.5</t>
        </is>
      </c>
      <c r="AF135"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5" t="inlineStr">
        <is>
          <t>Description
Classic style goes with everything, just like these women's adidas sneakers. They feature a synthetic leather upper that is durable and comfortable. A Cloudfoam midsole keeps you light on your feet.</t>
        </is>
      </c>
    </row>
    <row r="136">
      <c r="A136" t="inlineStr">
        <is>
          <t>com</t>
        </is>
      </c>
      <c r="B136" t="inlineStr">
        <is>
          <t>B0CKMQJD17</t>
        </is>
      </c>
      <c r="C136" t="inlineStr">
        <is>
          <t>adidas Women's Grand Court Alpha 00s Sneaker, Grey/White/Silver Metallic, 10</t>
        </is>
      </c>
      <c r="D136" t="n">
        <v>79.95</v>
      </c>
      <c r="E136" t="n">
        <v>79.95</v>
      </c>
      <c r="F136" t="n">
        <v>55574</v>
      </c>
      <c r="G136" t="n">
        <v>45358</v>
      </c>
      <c r="H136" t="n">
        <v>90.2</v>
      </c>
      <c r="I136" t="n">
        <v>90.2</v>
      </c>
      <c r="J136" t="n">
        <v>0.8100000000000001</v>
      </c>
      <c r="K136" t="n">
        <v>1</v>
      </c>
      <c r="L136" t="n">
        <v>1</v>
      </c>
      <c r="M136" t="n">
        <v>1</v>
      </c>
      <c r="N136" t="n">
        <v>4.7</v>
      </c>
      <c r="O136" t="n">
        <v>0</v>
      </c>
      <c r="P136" t="n">
        <v>43</v>
      </c>
      <c r="Q136" t="n">
        <v>10</v>
      </c>
      <c r="R136" t="n">
        <v>33</v>
      </c>
      <c r="S136" t="inlineStr">
        <is>
          <t>B0CKMTNJNM</t>
        </is>
      </c>
      <c r="U136" t="n">
        <v>2.66979482</v>
      </c>
      <c r="V136" t="n">
        <v>7.86</v>
      </c>
      <c r="W136" t="n">
        <v>11.99</v>
      </c>
      <c r="X136" t="inlineStr">
        <is>
          <t>197609350428</t>
        </is>
      </c>
      <c r="Y136" t="inlineStr">
        <is>
          <t>NMM60</t>
        </is>
      </c>
      <c r="Z136" t="inlineStr">
        <is>
          <t>NMM60</t>
        </is>
      </c>
      <c r="AA136" t="inlineStr">
        <is>
          <t>Grey/White/Silver Metallic</t>
        </is>
      </c>
      <c r="AB136" t="inlineStr">
        <is>
          <t>0197609350428</t>
        </is>
      </c>
      <c r="AC136" t="inlineStr">
        <is>
          <t>Amazon offer is back-ordered</t>
        </is>
      </c>
      <c r="AD136" t="inlineStr">
        <is>
          <t>adidas</t>
        </is>
      </c>
      <c r="AE136" t="inlineStr">
        <is>
          <t>10</t>
        </is>
      </c>
      <c r="AF136"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6" t="inlineStr">
        <is>
          <t>Description
Classic style goes with everything, just like these women's adidas sneakers. They feature a synthetic leather upper that is durable and comfortable. A Cloudfoam midsole keeps you light on your feet.</t>
        </is>
      </c>
    </row>
    <row r="137">
      <c r="A137" t="inlineStr">
        <is>
          <t>com</t>
        </is>
      </c>
      <c r="B137" t="inlineStr">
        <is>
          <t>B0CKMPYQ36</t>
        </is>
      </c>
      <c r="C137" t="inlineStr">
        <is>
          <t>adidas Women's Grand Court Alpha 00s Sneaker, Grey/White/Silver Metallic, 11</t>
        </is>
      </c>
      <c r="D137" t="n">
        <v>79.95</v>
      </c>
      <c r="E137" t="n">
        <v>79.95</v>
      </c>
      <c r="F137" t="n">
        <v>55574</v>
      </c>
      <c r="G137" t="n">
        <v>45717</v>
      </c>
      <c r="H137" t="n">
        <v>108</v>
      </c>
      <c r="I137" t="n">
        <v>108</v>
      </c>
      <c r="J137" t="n">
        <v>0.9</v>
      </c>
      <c r="K137" t="n">
        <v>1</v>
      </c>
      <c r="L137" t="n">
        <v>1</v>
      </c>
      <c r="N137" t="n">
        <v>4.7</v>
      </c>
      <c r="O137" t="n">
        <v>0</v>
      </c>
      <c r="P137" t="n">
        <v>43</v>
      </c>
      <c r="Q137" t="n">
        <v>11</v>
      </c>
      <c r="R137" t="n">
        <v>30</v>
      </c>
      <c r="S137" t="inlineStr">
        <is>
          <t>B0CKMTNJNM</t>
        </is>
      </c>
      <c r="U137" t="n">
        <v>2.70947798</v>
      </c>
      <c r="V137" t="n">
        <v>7.86</v>
      </c>
      <c r="W137" t="n">
        <v>11.99</v>
      </c>
      <c r="X137" t="inlineStr">
        <is>
          <t>197609350459</t>
        </is>
      </c>
      <c r="Y137" t="inlineStr">
        <is>
          <t>NMM60</t>
        </is>
      </c>
      <c r="Z137" t="inlineStr">
        <is>
          <t>NMM60</t>
        </is>
      </c>
      <c r="AA137" t="inlineStr">
        <is>
          <t>Grey/White/Silver Metallic</t>
        </is>
      </c>
      <c r="AB137" t="inlineStr">
        <is>
          <t>0197609350459</t>
        </is>
      </c>
      <c r="AC137" t="inlineStr">
        <is>
          <t>Amazon offer is back-ordered</t>
        </is>
      </c>
      <c r="AD137" t="inlineStr">
        <is>
          <t>adidas</t>
        </is>
      </c>
      <c r="AE137" t="inlineStr">
        <is>
          <t>11</t>
        </is>
      </c>
      <c r="AF137" t="inlineStr">
        <is>
          <t>https://m.media-amazon.com/images/I/71qpcQBfMbL.jpg;https://m.media-amazon.com/images/I/61StN4iW1XL.jpg;https://m.media-amazon.com/images/I/51+rS9oXzJL.jpg;https://m.media-amazon.com/images/I/71zibbV+n5L.jpg;https://m.media-amazon.com/images/I/61chfK9N-NL.jpg;https://m.media-amazon.com/images/I/71PD1Iwm46L.jpg;https://m.media-amazon.com/images/I/71wEcAve20L.jpg</t>
        </is>
      </c>
      <c r="AG137" t="inlineStr">
        <is>
          <t>Description
Classic style goes with everything, just like these women's adidas sneakers. They feature a synthetic leather upper that is durable and comfortable. A Cloudfoam midsole keeps you light on your feet.</t>
        </is>
      </c>
    </row>
    <row r="138">
      <c r="A138" t="inlineStr">
        <is>
          <t>com</t>
        </is>
      </c>
      <c r="B138" t="inlineStr">
        <is>
          <t>B0C2JY4JRN</t>
        </is>
      </c>
      <c r="C138" t="inlineStr">
        <is>
          <t>adidas Women's VL Court 3.0 Sneaker</t>
        </is>
      </c>
      <c r="D138" t="n">
        <v>63.18</v>
      </c>
      <c r="E138" t="n">
        <v>63.18</v>
      </c>
      <c r="F138" t="n">
        <v>815</v>
      </c>
      <c r="G138" t="n">
        <v>1673</v>
      </c>
      <c r="H138" t="n">
        <v>66.54000000000001</v>
      </c>
      <c r="I138" t="n">
        <v>68.2</v>
      </c>
      <c r="J138" t="n">
        <v>0</v>
      </c>
      <c r="K138" t="n">
        <v>0.06</v>
      </c>
      <c r="L138" t="n">
        <v>4</v>
      </c>
      <c r="M138" t="n">
        <v>5</v>
      </c>
      <c r="N138" t="n">
        <v>4.5</v>
      </c>
      <c r="O138" t="n">
        <v>1</v>
      </c>
      <c r="P138" t="n">
        <v>1562</v>
      </c>
      <c r="Q138" t="n">
        <v>77</v>
      </c>
      <c r="R138" t="n">
        <v>199</v>
      </c>
      <c r="S138" t="inlineStr">
        <is>
          <t>B0C2K2PHL8</t>
        </is>
      </c>
      <c r="U138" t="n">
        <v>1.5211878</v>
      </c>
      <c r="V138" t="n">
        <v>6.61</v>
      </c>
      <c r="W138" t="n">
        <v>9.48</v>
      </c>
      <c r="X138" t="inlineStr">
        <is>
          <t>196474610057</t>
        </is>
      </c>
      <c r="Y138" t="inlineStr">
        <is>
          <t>NLF94</t>
        </is>
      </c>
      <c r="Z138" t="inlineStr">
        <is>
          <t>NLF94</t>
        </is>
      </c>
      <c r="AA138" t="inlineStr">
        <is>
          <t>Grey/White/Silver Metallic</t>
        </is>
      </c>
      <c r="AB138" t="inlineStr">
        <is>
          <t>0196474610057</t>
        </is>
      </c>
      <c r="AC138" t="inlineStr">
        <is>
          <t>Amazon offer is in stock and shippable</t>
        </is>
      </c>
      <c r="AD138" t="inlineStr">
        <is>
          <t>adidas</t>
        </is>
      </c>
      <c r="AE138" t="inlineStr">
        <is>
          <t>5</t>
        </is>
      </c>
      <c r="AF138"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38" t="inlineStr">
        <is>
          <t>Description
adidas womens VL Court 3.0</t>
        </is>
      </c>
    </row>
    <row r="139">
      <c r="A139" t="inlineStr">
        <is>
          <t>com</t>
        </is>
      </c>
      <c r="B139" t="inlineStr">
        <is>
          <t>B0C2JXZ7T5</t>
        </is>
      </c>
      <c r="C139" t="inlineStr">
        <is>
          <t>adidas Women's VL Court 3.0 Sneaker</t>
        </is>
      </c>
      <c r="D139" t="n">
        <v>74.95</v>
      </c>
      <c r="E139" t="n">
        <v>74.95</v>
      </c>
      <c r="F139" t="n">
        <v>815</v>
      </c>
      <c r="G139" t="n">
        <v>1695</v>
      </c>
      <c r="H139" t="n">
        <v>68.58</v>
      </c>
      <c r="I139" t="n">
        <v>70.01000000000001</v>
      </c>
      <c r="J139" t="n">
        <v>0.09</v>
      </c>
      <c r="K139" t="n">
        <v>0.54</v>
      </c>
      <c r="L139" t="n">
        <v>3</v>
      </c>
      <c r="M139" t="n">
        <v>4</v>
      </c>
      <c r="N139" t="n">
        <v>4.5</v>
      </c>
      <c r="O139" t="n">
        <v>0</v>
      </c>
      <c r="P139" t="n">
        <v>1562</v>
      </c>
      <c r="Q139" t="n">
        <v>65</v>
      </c>
      <c r="R139" t="n">
        <v>177</v>
      </c>
      <c r="S139" t="inlineStr">
        <is>
          <t>B0C2K2PHL8</t>
        </is>
      </c>
      <c r="U139" t="n">
        <v>1.5542571</v>
      </c>
      <c r="V139" t="n">
        <v>6.61</v>
      </c>
      <c r="W139" t="n">
        <v>11.24</v>
      </c>
      <c r="X139" t="inlineStr">
        <is>
          <t>196474610095</t>
        </is>
      </c>
      <c r="Y139" t="inlineStr">
        <is>
          <t>NLF94</t>
        </is>
      </c>
      <c r="Z139" t="inlineStr">
        <is>
          <t>NLF94</t>
        </is>
      </c>
      <c r="AA139" t="inlineStr">
        <is>
          <t>Grey/White/Silver Metallic</t>
        </is>
      </c>
      <c r="AB139" t="inlineStr">
        <is>
          <t>0196474610095</t>
        </is>
      </c>
      <c r="AC139" t="inlineStr">
        <is>
          <t>Amazon offer is in stock and shippable</t>
        </is>
      </c>
      <c r="AD139" t="inlineStr">
        <is>
          <t>adidas</t>
        </is>
      </c>
      <c r="AE139" t="inlineStr">
        <is>
          <t>5.5</t>
        </is>
      </c>
      <c r="AF139"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39" t="inlineStr">
        <is>
          <t>Description
adidas womens VL Court 3.0</t>
        </is>
      </c>
    </row>
    <row r="140">
      <c r="A140" t="inlineStr">
        <is>
          <t>com</t>
        </is>
      </c>
      <c r="B140" t="inlineStr">
        <is>
          <t>B0C2JZF5W4</t>
        </is>
      </c>
      <c r="C140" t="inlineStr">
        <is>
          <t>adidas Women's VL Court 3.0 Sneaker</t>
        </is>
      </c>
      <c r="D140" t="n">
        <v>74.95</v>
      </c>
      <c r="E140" t="n">
        <v>74.95</v>
      </c>
      <c r="F140" t="n">
        <v>815</v>
      </c>
      <c r="G140" t="n">
        <v>1682</v>
      </c>
      <c r="H140" t="n">
        <v>67.68000000000001</v>
      </c>
      <c r="I140" t="n">
        <v>69.66</v>
      </c>
      <c r="J140" t="n">
        <v>0</v>
      </c>
      <c r="K140" t="n">
        <v>0.06</v>
      </c>
      <c r="L140" t="n">
        <v>6</v>
      </c>
      <c r="M140" t="n">
        <v>4</v>
      </c>
      <c r="N140" t="n">
        <v>4.5</v>
      </c>
      <c r="O140" t="n">
        <v>4</v>
      </c>
      <c r="P140" t="n">
        <v>1562</v>
      </c>
      <c r="Q140" t="n">
        <v>69</v>
      </c>
      <c r="R140" t="n">
        <v>202</v>
      </c>
      <c r="S140" t="inlineStr">
        <is>
          <t>B0C2K2PHL8</t>
        </is>
      </c>
      <c r="U140" t="n">
        <v>1.543234</v>
      </c>
      <c r="V140" t="n">
        <v>7.03</v>
      </c>
      <c r="W140" t="n">
        <v>11.24</v>
      </c>
      <c r="X140" t="inlineStr">
        <is>
          <t>196474610125</t>
        </is>
      </c>
      <c r="Y140" t="inlineStr">
        <is>
          <t>NLF94</t>
        </is>
      </c>
      <c r="Z140" t="inlineStr">
        <is>
          <t>NLF94</t>
        </is>
      </c>
      <c r="AA140" t="inlineStr">
        <is>
          <t>Grey/White/Silver Metallic</t>
        </is>
      </c>
      <c r="AB140" t="inlineStr">
        <is>
          <t>0196474610125</t>
        </is>
      </c>
      <c r="AC140" t="inlineStr">
        <is>
          <t>Amazon offer is in stock and shippable</t>
        </is>
      </c>
      <c r="AD140" t="inlineStr">
        <is>
          <t>adidas</t>
        </is>
      </c>
      <c r="AE140" t="inlineStr">
        <is>
          <t>6</t>
        </is>
      </c>
      <c r="AF140"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0" t="inlineStr">
        <is>
          <t>Description
adidas womens VL Court 3.0</t>
        </is>
      </c>
    </row>
    <row r="141">
      <c r="A141" t="inlineStr">
        <is>
          <t>com</t>
        </is>
      </c>
      <c r="B141" t="inlineStr">
        <is>
          <t>B0C2JY6GCT</t>
        </is>
      </c>
      <c r="C141" t="inlineStr">
        <is>
          <t>adidas Women's VL Court 3.0 Sneaker</t>
        </is>
      </c>
      <c r="D141" t="n">
        <v>74.95</v>
      </c>
      <c r="E141" t="n">
        <v>74.95</v>
      </c>
      <c r="F141" t="n">
        <v>815</v>
      </c>
      <c r="G141" t="n">
        <v>1672</v>
      </c>
      <c r="H141" t="n">
        <v>70.44</v>
      </c>
      <c r="I141" t="n">
        <v>70.77</v>
      </c>
      <c r="J141" t="n">
        <v>0.01</v>
      </c>
      <c r="K141" t="n">
        <v>0.4</v>
      </c>
      <c r="L141" t="n">
        <v>6</v>
      </c>
      <c r="M141" t="n">
        <v>6</v>
      </c>
      <c r="N141" t="n">
        <v>4.5</v>
      </c>
      <c r="O141" t="n">
        <v>4</v>
      </c>
      <c r="P141" t="n">
        <v>1562</v>
      </c>
      <c r="Q141" t="n">
        <v>72</v>
      </c>
      <c r="R141" t="n">
        <v>204</v>
      </c>
      <c r="S141" t="inlineStr">
        <is>
          <t>B0C2K2PHL8</t>
        </is>
      </c>
      <c r="U141" t="n">
        <v>1.7085805</v>
      </c>
      <c r="V141" t="n">
        <v>6.61</v>
      </c>
      <c r="W141" t="n">
        <v>11.24</v>
      </c>
      <c r="X141" t="inlineStr">
        <is>
          <t>196474610064</t>
        </is>
      </c>
      <c r="Y141" t="inlineStr">
        <is>
          <t>NLF94</t>
        </is>
      </c>
      <c r="Z141" t="inlineStr">
        <is>
          <t>NLF94</t>
        </is>
      </c>
      <c r="AA141" t="inlineStr">
        <is>
          <t>Grey/White/Silver Metallic</t>
        </is>
      </c>
      <c r="AB141" t="inlineStr">
        <is>
          <t>0196474610064</t>
        </is>
      </c>
      <c r="AC141" t="inlineStr">
        <is>
          <t>Amazon offer is in stock and shippable</t>
        </is>
      </c>
      <c r="AD141" t="inlineStr">
        <is>
          <t>adidas</t>
        </is>
      </c>
      <c r="AE141" t="inlineStr">
        <is>
          <t>6.5</t>
        </is>
      </c>
      <c r="AF141"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1" t="inlineStr">
        <is>
          <t>Description
adidas womens VL Court 3.0</t>
        </is>
      </c>
    </row>
    <row r="142">
      <c r="A142" t="inlineStr">
        <is>
          <t>com</t>
        </is>
      </c>
      <c r="B142" t="inlineStr">
        <is>
          <t>B0C2JZBY8T</t>
        </is>
      </c>
      <c r="C142" t="inlineStr">
        <is>
          <t>adidas Women's VL Court 3.0 Sneaker</t>
        </is>
      </c>
      <c r="D142" t="n">
        <v>74.95</v>
      </c>
      <c r="E142" t="n">
        <v>74.95</v>
      </c>
      <c r="F142" t="n">
        <v>815</v>
      </c>
      <c r="G142" t="n">
        <v>1680</v>
      </c>
      <c r="H142" t="n">
        <v>71.86</v>
      </c>
      <c r="I142" t="n">
        <v>70.83</v>
      </c>
      <c r="J142" t="n">
        <v>0</v>
      </c>
      <c r="K142" t="n">
        <v>0.5600000000000001</v>
      </c>
      <c r="L142" t="n">
        <v>5</v>
      </c>
      <c r="M142" t="n">
        <v>8</v>
      </c>
      <c r="N142" t="n">
        <v>4.5</v>
      </c>
      <c r="O142" t="n">
        <v>2</v>
      </c>
      <c r="P142" t="n">
        <v>1569</v>
      </c>
      <c r="Q142" t="n">
        <v>94</v>
      </c>
      <c r="R142" t="n">
        <v>228</v>
      </c>
      <c r="S142" t="inlineStr">
        <is>
          <t>B0C2K2PHL8</t>
        </is>
      </c>
      <c r="T142" t="n">
        <v>50</v>
      </c>
      <c r="U142" t="n">
        <v>1.7196036</v>
      </c>
      <c r="V142" t="n">
        <v>7.54</v>
      </c>
      <c r="W142" t="n">
        <v>11.24</v>
      </c>
      <c r="X142" t="inlineStr">
        <is>
          <t>196474610132</t>
        </is>
      </c>
      <c r="Y142" t="inlineStr">
        <is>
          <t>NLF94</t>
        </is>
      </c>
      <c r="Z142" t="inlineStr">
        <is>
          <t>NLF94</t>
        </is>
      </c>
      <c r="AA142" t="inlineStr">
        <is>
          <t>Grey/White/Silver Metallic</t>
        </is>
      </c>
      <c r="AB142" t="inlineStr">
        <is>
          <t>0196474610132</t>
        </is>
      </c>
      <c r="AC142" t="inlineStr">
        <is>
          <t>Amazon offer is in stock and shippable</t>
        </is>
      </c>
      <c r="AD142" t="inlineStr">
        <is>
          <t>adidas</t>
        </is>
      </c>
      <c r="AE142" t="inlineStr">
        <is>
          <t>7</t>
        </is>
      </c>
      <c r="AF142"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2" t="inlineStr">
        <is>
          <t>Description
adidas womens VL Court 3.0</t>
        </is>
      </c>
    </row>
    <row r="143">
      <c r="A143" t="inlineStr">
        <is>
          <t>com</t>
        </is>
      </c>
      <c r="B143" t="inlineStr">
        <is>
          <t>B0C2JY3QP7</t>
        </is>
      </c>
      <c r="C143" t="inlineStr">
        <is>
          <t>adidas Women's VL Court 3.0 Sneaker</t>
        </is>
      </c>
      <c r="D143" t="n">
        <v>74.95</v>
      </c>
      <c r="E143" t="n">
        <v>74.95</v>
      </c>
      <c r="F143" t="n">
        <v>815</v>
      </c>
      <c r="G143" t="n">
        <v>1678</v>
      </c>
      <c r="H143" t="n">
        <v>71.14</v>
      </c>
      <c r="I143" t="n">
        <v>71.53</v>
      </c>
      <c r="J143" t="n">
        <v>0</v>
      </c>
      <c r="K143" t="n">
        <v>0.34</v>
      </c>
      <c r="L143" t="n">
        <v>6</v>
      </c>
      <c r="M143" t="n">
        <v>5</v>
      </c>
      <c r="N143" t="n">
        <v>4.5</v>
      </c>
      <c r="O143" t="n">
        <v>7</v>
      </c>
      <c r="P143" t="n">
        <v>1562</v>
      </c>
      <c r="Q143" t="n">
        <v>70</v>
      </c>
      <c r="R143" t="n">
        <v>199</v>
      </c>
      <c r="S143" t="inlineStr">
        <is>
          <t>B0C2K2PHL8</t>
        </is>
      </c>
      <c r="T143" t="n">
        <v>50</v>
      </c>
      <c r="U143" t="n">
        <v>1.8408577</v>
      </c>
      <c r="V143" t="n">
        <v>7.7</v>
      </c>
      <c r="W143" t="n">
        <v>11.24</v>
      </c>
      <c r="X143" t="inlineStr">
        <is>
          <t>196474610101</t>
        </is>
      </c>
      <c r="Y143" t="inlineStr">
        <is>
          <t>NLF94</t>
        </is>
      </c>
      <c r="Z143" t="inlineStr">
        <is>
          <t>NLF94</t>
        </is>
      </c>
      <c r="AA143" t="inlineStr">
        <is>
          <t>Grey/White/Silver Metallic</t>
        </is>
      </c>
      <c r="AB143" t="inlineStr">
        <is>
          <t>0196474610101</t>
        </is>
      </c>
      <c r="AC143" t="inlineStr">
        <is>
          <t>Amazon offer shipping is delayed</t>
        </is>
      </c>
      <c r="AD143" t="inlineStr">
        <is>
          <t>adidas</t>
        </is>
      </c>
      <c r="AE143" t="inlineStr">
        <is>
          <t>7.5</t>
        </is>
      </c>
      <c r="AF143"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3" t="inlineStr">
        <is>
          <t>Description
adidas womens VL Court 3.0</t>
        </is>
      </c>
    </row>
    <row r="144">
      <c r="A144" t="inlineStr">
        <is>
          <t>com</t>
        </is>
      </c>
      <c r="B144" t="inlineStr">
        <is>
          <t>B0C2JZGR94</t>
        </is>
      </c>
      <c r="C144" t="inlineStr">
        <is>
          <t>adidas Women's VL Court 3.0 Sneaker</t>
        </is>
      </c>
      <c r="D144" t="n">
        <v>74.95</v>
      </c>
      <c r="E144" t="n">
        <v>74.95</v>
      </c>
      <c r="F144" t="n">
        <v>815</v>
      </c>
      <c r="G144" t="n">
        <v>1696</v>
      </c>
      <c r="H144" t="n">
        <v>68.36</v>
      </c>
      <c r="I144" t="n">
        <v>69.02</v>
      </c>
      <c r="J144" t="n">
        <v>0</v>
      </c>
      <c r="K144" t="n">
        <v>0.22</v>
      </c>
      <c r="L144" t="n">
        <v>6</v>
      </c>
      <c r="M144" t="n">
        <v>6</v>
      </c>
      <c r="N144" t="n">
        <v>4.5</v>
      </c>
      <c r="O144" t="n">
        <v>9</v>
      </c>
      <c r="P144" t="n">
        <v>1569</v>
      </c>
      <c r="Q144" t="n">
        <v>59</v>
      </c>
      <c r="R144" t="n">
        <v>161</v>
      </c>
      <c r="S144" t="inlineStr">
        <is>
          <t>B0C2K2PHL8</t>
        </is>
      </c>
      <c r="T144" t="n">
        <v>100</v>
      </c>
      <c r="U144" t="n">
        <v>1.9400656</v>
      </c>
      <c r="V144" t="n">
        <v>7.7</v>
      </c>
      <c r="W144" t="n">
        <v>11.24</v>
      </c>
      <c r="X144" t="inlineStr">
        <is>
          <t>196474610033</t>
        </is>
      </c>
      <c r="Y144" t="inlineStr">
        <is>
          <t>NLF94</t>
        </is>
      </c>
      <c r="Z144" t="inlineStr">
        <is>
          <t>NLF94</t>
        </is>
      </c>
      <c r="AA144" t="inlineStr">
        <is>
          <t>Grey/White/Silver Metallic</t>
        </is>
      </c>
      <c r="AB144" t="inlineStr">
        <is>
          <t>0196474610033</t>
        </is>
      </c>
      <c r="AC144" t="inlineStr">
        <is>
          <t>Amazon offer is in stock and shippable</t>
        </is>
      </c>
      <c r="AD144" t="inlineStr">
        <is>
          <t>adidas</t>
        </is>
      </c>
      <c r="AE144" t="inlineStr">
        <is>
          <t>8</t>
        </is>
      </c>
      <c r="AF144"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4" t="inlineStr">
        <is>
          <t>Description
adidas womens VL Court 3.0</t>
        </is>
      </c>
    </row>
    <row r="145">
      <c r="A145" t="inlineStr">
        <is>
          <t>com</t>
        </is>
      </c>
      <c r="B145" t="inlineStr">
        <is>
          <t>B0C2JXJS3M</t>
        </is>
      </c>
      <c r="C145" t="inlineStr">
        <is>
          <t>adidas Women's VL Court 3.0 Sneaker</t>
        </is>
      </c>
      <c r="D145" t="n">
        <v>74.95</v>
      </c>
      <c r="E145" t="n">
        <v>74.95</v>
      </c>
      <c r="F145" t="n">
        <v>815</v>
      </c>
      <c r="G145" t="n">
        <v>1679</v>
      </c>
      <c r="H145" t="n">
        <v>68.19</v>
      </c>
      <c r="I145" t="n">
        <v>68.20999999999999</v>
      </c>
      <c r="J145" t="n">
        <v>0</v>
      </c>
      <c r="K145" t="n">
        <v>0.25</v>
      </c>
      <c r="L145" t="n">
        <v>5</v>
      </c>
      <c r="M145" t="n">
        <v>5</v>
      </c>
      <c r="N145" t="n">
        <v>4.5</v>
      </c>
      <c r="O145" t="n">
        <v>10</v>
      </c>
      <c r="P145" t="n">
        <v>1569</v>
      </c>
      <c r="Q145" t="n">
        <v>103</v>
      </c>
      <c r="R145" t="n">
        <v>245</v>
      </c>
      <c r="S145" t="inlineStr">
        <is>
          <t>B0C2K2PHL8</t>
        </is>
      </c>
      <c r="T145" t="n">
        <v>50</v>
      </c>
      <c r="U145" t="n">
        <v>1.90038244</v>
      </c>
      <c r="V145" t="n">
        <v>7.7</v>
      </c>
      <c r="W145" t="n">
        <v>11.24</v>
      </c>
      <c r="X145" t="inlineStr">
        <is>
          <t>196474610118</t>
        </is>
      </c>
      <c r="Y145" t="inlineStr">
        <is>
          <t>NLF94</t>
        </is>
      </c>
      <c r="Z145" t="inlineStr">
        <is>
          <t>NLF94</t>
        </is>
      </c>
      <c r="AA145" t="inlineStr">
        <is>
          <t>Grey/White/Silver Metallic</t>
        </is>
      </c>
      <c r="AB145" t="inlineStr">
        <is>
          <t>0196474610118</t>
        </is>
      </c>
      <c r="AC145" t="inlineStr">
        <is>
          <t>Amazon offer is in stock and shippable</t>
        </is>
      </c>
      <c r="AD145" t="inlineStr">
        <is>
          <t>adidas</t>
        </is>
      </c>
      <c r="AE145" t="inlineStr">
        <is>
          <t>8.5</t>
        </is>
      </c>
      <c r="AF145"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5" t="inlineStr">
        <is>
          <t>Description
adidas womens VL Court 3.0</t>
        </is>
      </c>
    </row>
    <row r="146">
      <c r="A146" t="inlineStr">
        <is>
          <t>com</t>
        </is>
      </c>
      <c r="B146" t="inlineStr">
        <is>
          <t>B0C2JYNSMM</t>
        </is>
      </c>
      <c r="C146" t="inlineStr">
        <is>
          <t>adidas Women's VL Court 3.0 Sneaker</t>
        </is>
      </c>
      <c r="D146" t="n">
        <v>74.95</v>
      </c>
      <c r="E146" t="n">
        <v>71.69</v>
      </c>
      <c r="F146" t="n">
        <v>815</v>
      </c>
      <c r="G146" t="n">
        <v>1687</v>
      </c>
      <c r="H146" t="n">
        <v>69.72</v>
      </c>
      <c r="I146" t="n">
        <v>69.65000000000001</v>
      </c>
      <c r="J146" t="n">
        <v>0</v>
      </c>
      <c r="K146" t="n">
        <v>0.31</v>
      </c>
      <c r="L146" t="n">
        <v>6</v>
      </c>
      <c r="M146" t="n">
        <v>5</v>
      </c>
      <c r="N146" t="n">
        <v>4.5</v>
      </c>
      <c r="O146" t="n">
        <v>9</v>
      </c>
      <c r="P146" t="n">
        <v>1569</v>
      </c>
      <c r="Q146" t="n">
        <v>67</v>
      </c>
      <c r="R146" t="n">
        <v>169</v>
      </c>
      <c r="S146" t="inlineStr">
        <is>
          <t>B0C2K2PHL8</t>
        </is>
      </c>
      <c r="T146" t="n">
        <v>50</v>
      </c>
      <c r="U146" t="n">
        <v>2.01061344</v>
      </c>
      <c r="V146" t="n">
        <v>7.7</v>
      </c>
      <c r="W146" t="n">
        <v>11.24</v>
      </c>
      <c r="X146" t="inlineStr">
        <is>
          <t>196474610149</t>
        </is>
      </c>
      <c r="Y146" t="inlineStr">
        <is>
          <t>NLF94</t>
        </is>
      </c>
      <c r="Z146" t="inlineStr">
        <is>
          <t>NLF94</t>
        </is>
      </c>
      <c r="AA146" t="inlineStr">
        <is>
          <t>Grey/White/Silver Metallic</t>
        </is>
      </c>
      <c r="AB146" t="inlineStr">
        <is>
          <t>0196474610149</t>
        </is>
      </c>
      <c r="AC146" t="inlineStr">
        <is>
          <t>Amazon offer is back-ordered</t>
        </is>
      </c>
      <c r="AD146" t="inlineStr">
        <is>
          <t>adidas</t>
        </is>
      </c>
      <c r="AE146" t="inlineStr">
        <is>
          <t>9</t>
        </is>
      </c>
      <c r="AF146"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6" t="inlineStr">
        <is>
          <t>Description
adidas womens VL Court 3.0</t>
        </is>
      </c>
    </row>
    <row r="147">
      <c r="A147" t="inlineStr">
        <is>
          <t>com</t>
        </is>
      </c>
      <c r="B147" t="inlineStr">
        <is>
          <t>B0C2JYZH7B</t>
        </is>
      </c>
      <c r="C147" t="inlineStr">
        <is>
          <t>adidas Women's VL Court 3.0 Sneaker</t>
        </is>
      </c>
      <c r="D147" t="n">
        <v>74.95</v>
      </c>
      <c r="E147" t="n">
        <v>74.95</v>
      </c>
      <c r="F147" t="n">
        <v>815</v>
      </c>
      <c r="G147" t="n">
        <v>1677</v>
      </c>
      <c r="H147" t="n">
        <v>66.02</v>
      </c>
      <c r="I147" t="n">
        <v>67.64</v>
      </c>
      <c r="J147" t="n">
        <v>0</v>
      </c>
      <c r="K147" t="n">
        <v>0.06</v>
      </c>
      <c r="L147" t="n">
        <v>7</v>
      </c>
      <c r="M147" t="n">
        <v>5</v>
      </c>
      <c r="N147" t="n">
        <v>4.5</v>
      </c>
      <c r="O147" t="n">
        <v>3</v>
      </c>
      <c r="P147" t="n">
        <v>1562</v>
      </c>
      <c r="Q147" t="n">
        <v>83</v>
      </c>
      <c r="R147" t="n">
        <v>231</v>
      </c>
      <c r="S147" t="inlineStr">
        <is>
          <t>B0C2K2PHL8</t>
        </is>
      </c>
      <c r="U147" t="n">
        <v>2.12084444</v>
      </c>
      <c r="V147" t="n">
        <v>7.7</v>
      </c>
      <c r="W147" t="n">
        <v>11.24</v>
      </c>
      <c r="X147" t="inlineStr">
        <is>
          <t>196474610088</t>
        </is>
      </c>
      <c r="Y147" t="inlineStr">
        <is>
          <t>NLF94</t>
        </is>
      </c>
      <c r="Z147" t="inlineStr">
        <is>
          <t>NLF94</t>
        </is>
      </c>
      <c r="AA147" t="inlineStr">
        <is>
          <t>Grey/White/Silver Metallic</t>
        </is>
      </c>
      <c r="AB147" t="inlineStr">
        <is>
          <t>0196474610088</t>
        </is>
      </c>
      <c r="AC147" t="inlineStr">
        <is>
          <t>Amazon offer is in stock and shippable</t>
        </is>
      </c>
      <c r="AD147" t="inlineStr">
        <is>
          <t>adidas</t>
        </is>
      </c>
      <c r="AE147" t="inlineStr">
        <is>
          <t>9.5</t>
        </is>
      </c>
      <c r="AF147"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7" t="inlineStr">
        <is>
          <t>Description
adidas womens VL Court 3.0</t>
        </is>
      </c>
    </row>
    <row r="148">
      <c r="A148" t="inlineStr">
        <is>
          <t>com</t>
        </is>
      </c>
      <c r="B148" t="inlineStr">
        <is>
          <t>B0C2JYWYGD</t>
        </is>
      </c>
      <c r="C148" t="inlineStr">
        <is>
          <t>adidas Women's VL Court 3.0 Sneaker</t>
        </is>
      </c>
      <c r="D148" t="n">
        <v>74.95</v>
      </c>
      <c r="E148" t="n">
        <v>72.72</v>
      </c>
      <c r="F148" t="n">
        <v>815</v>
      </c>
      <c r="G148" t="n">
        <v>1672</v>
      </c>
      <c r="H148" t="n">
        <v>63.72</v>
      </c>
      <c r="I148" t="n">
        <v>66.8</v>
      </c>
      <c r="J148" t="n">
        <v>0</v>
      </c>
      <c r="K148" t="n">
        <v>0</v>
      </c>
      <c r="L148" t="n">
        <v>8</v>
      </c>
      <c r="M148" t="n">
        <v>6</v>
      </c>
      <c r="N148" t="n">
        <v>4.5</v>
      </c>
      <c r="O148" t="n">
        <v>4</v>
      </c>
      <c r="P148" t="n">
        <v>1562</v>
      </c>
      <c r="Q148" t="n">
        <v>82</v>
      </c>
      <c r="R148" t="n">
        <v>241</v>
      </c>
      <c r="S148" t="inlineStr">
        <is>
          <t>B0C2K2PHL8</t>
        </is>
      </c>
      <c r="U148" t="n">
        <v>2.15391374</v>
      </c>
      <c r="V148" t="n">
        <v>7.7</v>
      </c>
      <c r="W148" t="n">
        <v>11.24</v>
      </c>
      <c r="X148" t="inlineStr">
        <is>
          <t>196474610040</t>
        </is>
      </c>
      <c r="Y148" t="inlineStr">
        <is>
          <t>NLF94</t>
        </is>
      </c>
      <c r="Z148" t="inlineStr">
        <is>
          <t>NLF94</t>
        </is>
      </c>
      <c r="AA148" t="inlineStr">
        <is>
          <t>Grey/White/Silver Metallic</t>
        </is>
      </c>
      <c r="AB148" t="inlineStr">
        <is>
          <t>0196474610040</t>
        </is>
      </c>
      <c r="AC148" t="inlineStr">
        <is>
          <t>Amazon offer is in stock and shippable</t>
        </is>
      </c>
      <c r="AD148" t="inlineStr">
        <is>
          <t>adidas</t>
        </is>
      </c>
      <c r="AE148" t="inlineStr">
        <is>
          <t>10</t>
        </is>
      </c>
      <c r="AF148"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8" t="inlineStr">
        <is>
          <t>Description
adidas womens VL Court 3.0</t>
        </is>
      </c>
    </row>
    <row r="149">
      <c r="A149" t="inlineStr">
        <is>
          <t>com</t>
        </is>
      </c>
      <c r="B149" t="inlineStr">
        <is>
          <t>B0C2JXK4FT</t>
        </is>
      </c>
      <c r="C149" t="inlineStr">
        <is>
          <t>adidas Women's VL Court 3.0 Sneaker</t>
        </is>
      </c>
      <c r="D149" t="n">
        <v>69.81999999999999</v>
      </c>
      <c r="E149" t="n">
        <v>69.81999999999999</v>
      </c>
      <c r="F149" t="n">
        <v>815</v>
      </c>
      <c r="G149" t="n">
        <v>1683</v>
      </c>
      <c r="H149" t="n">
        <v>66.31</v>
      </c>
      <c r="I149" t="n">
        <v>68.01000000000001</v>
      </c>
      <c r="J149" t="n">
        <v>0</v>
      </c>
      <c r="K149" t="n">
        <v>0</v>
      </c>
      <c r="L149" t="n">
        <v>5</v>
      </c>
      <c r="M149" t="n">
        <v>7</v>
      </c>
      <c r="N149" t="n">
        <v>4.5</v>
      </c>
      <c r="O149" t="n">
        <v>1</v>
      </c>
      <c r="P149" t="n">
        <v>1562</v>
      </c>
      <c r="Q149" t="n">
        <v>77</v>
      </c>
      <c r="R149" t="n">
        <v>211</v>
      </c>
      <c r="S149" t="inlineStr">
        <is>
          <t>B0C2K2PHL8</t>
        </is>
      </c>
      <c r="U149" t="n">
        <v>2.25091702</v>
      </c>
      <c r="V149" t="n">
        <v>7.86</v>
      </c>
      <c r="W149" t="n">
        <v>10.47</v>
      </c>
      <c r="X149" t="inlineStr">
        <is>
          <t>196474610071</t>
        </is>
      </c>
      <c r="Y149" t="inlineStr">
        <is>
          <t>NLF94</t>
        </is>
      </c>
      <c r="Z149" t="inlineStr">
        <is>
          <t>NLF94</t>
        </is>
      </c>
      <c r="AA149" t="inlineStr">
        <is>
          <t>Grey/White/Silver Metallic</t>
        </is>
      </c>
      <c r="AB149" t="inlineStr">
        <is>
          <t>0196474610071</t>
        </is>
      </c>
      <c r="AC149" t="inlineStr">
        <is>
          <t>Amazon offer is in stock and shippable</t>
        </is>
      </c>
      <c r="AD149" t="inlineStr">
        <is>
          <t>adidas</t>
        </is>
      </c>
      <c r="AE149" t="inlineStr">
        <is>
          <t>11</t>
        </is>
      </c>
      <c r="AF149" t="inlineStr">
        <is>
          <t>https://m.media-amazon.com/images/I/31Sl1DustrL.jpg;https://m.media-amazon.com/images/I/413QNUvR-4L.jpg;https://m.media-amazon.com/images/I/41fQWHqC4FL.jpg;https://m.media-amazon.com/images/I/31C7Zge6AML.jpg;https://m.media-amazon.com/images/I/31MVWIVZ7lL.jpg;https://m.media-amazon.com/images/I/617NfC6ob4L.jpg;https://m.media-amazon.com/images/I/41nxmWtChnL.jpg</t>
        </is>
      </c>
      <c r="AG149" t="inlineStr">
        <is>
          <t>Description
adidas womens VL Court 3.0</t>
        </is>
      </c>
    </row>
    <row r="150">
      <c r="A150" t="inlineStr">
        <is>
          <t>com</t>
        </is>
      </c>
      <c r="B150" t="inlineStr">
        <is>
          <t>B0CKMQ7JHL</t>
        </is>
      </c>
      <c r="C150" t="inlineStr">
        <is>
          <t>adidas Women's VL Court 3.0 Sneaker, Halo Mint/White/Halo Mint, 5</t>
        </is>
      </c>
      <c r="D150" t="n">
        <v>75</v>
      </c>
      <c r="E150" t="n">
        <v>75</v>
      </c>
      <c r="F150" t="n">
        <v>815</v>
      </c>
      <c r="G150" t="n">
        <v>1672</v>
      </c>
      <c r="H150" t="n">
        <v>72.09999999999999</v>
      </c>
      <c r="I150" t="n">
        <v>73.22</v>
      </c>
      <c r="J150" t="n">
        <v>0.1</v>
      </c>
      <c r="K150" t="n">
        <v>0.2</v>
      </c>
      <c r="L150" t="n">
        <v>3</v>
      </c>
      <c r="M150" t="n">
        <v>4</v>
      </c>
      <c r="N150" t="n">
        <v>4.5</v>
      </c>
      <c r="O150" t="n">
        <v>0</v>
      </c>
      <c r="P150" t="n">
        <v>1562</v>
      </c>
      <c r="Q150" t="n">
        <v>67</v>
      </c>
      <c r="R150" t="n">
        <v>182</v>
      </c>
      <c r="S150" t="inlineStr">
        <is>
          <t>B0C2K2PHL8</t>
        </is>
      </c>
      <c r="U150" t="n">
        <v>1.5652802</v>
      </c>
      <c r="V150" t="n">
        <v>5.84</v>
      </c>
      <c r="W150" t="n">
        <v>11.25</v>
      </c>
      <c r="X150" t="inlineStr">
        <is>
          <t>196478476703</t>
        </is>
      </c>
      <c r="Y150" t="inlineStr">
        <is>
          <t>NLF94</t>
        </is>
      </c>
      <c r="Z150" t="inlineStr">
        <is>
          <t>NLF94</t>
        </is>
      </c>
      <c r="AA150" t="inlineStr">
        <is>
          <t>Halo Mint/White/Halo Mint</t>
        </is>
      </c>
      <c r="AB150" t="inlineStr">
        <is>
          <t>0196478476703</t>
        </is>
      </c>
      <c r="AC150" t="inlineStr">
        <is>
          <t>Amazon offer is in stock and shippable</t>
        </is>
      </c>
      <c r="AD150" t="inlineStr">
        <is>
          <t>adidas</t>
        </is>
      </c>
      <c r="AE150" t="inlineStr">
        <is>
          <t>5</t>
        </is>
      </c>
      <c r="AF150"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0" t="inlineStr">
        <is>
          <t>Description
adidas womens VL Court 3.0</t>
        </is>
      </c>
    </row>
    <row r="151">
      <c r="A151" t="inlineStr">
        <is>
          <t>com</t>
        </is>
      </c>
      <c r="B151" t="inlineStr">
        <is>
          <t>B0CKMNG6Y3</t>
        </is>
      </c>
      <c r="C151" t="inlineStr">
        <is>
          <t>adidas Women's VL Court 3.0 Sneaker, Halo Mint/White/Halo Mint, 5.5</t>
        </is>
      </c>
      <c r="D151" t="n">
        <v>75</v>
      </c>
      <c r="E151" t="n">
        <v>74.95</v>
      </c>
      <c r="F151" t="n">
        <v>815</v>
      </c>
      <c r="G151" t="n">
        <v>1688</v>
      </c>
      <c r="H151" t="n">
        <v>70.20999999999999</v>
      </c>
      <c r="I151" t="n">
        <v>71.88</v>
      </c>
      <c r="J151" t="n">
        <v>0.05</v>
      </c>
      <c r="K151" t="n">
        <v>0.16</v>
      </c>
      <c r="L151" t="n">
        <v>2</v>
      </c>
      <c r="M151" t="n">
        <v>3</v>
      </c>
      <c r="N151" t="n">
        <v>4.5</v>
      </c>
      <c r="O151" t="n">
        <v>0</v>
      </c>
      <c r="P151" t="n">
        <v>1562</v>
      </c>
      <c r="Q151" t="n">
        <v>58</v>
      </c>
      <c r="R151" t="n">
        <v>152</v>
      </c>
      <c r="S151" t="inlineStr">
        <is>
          <t>B0C2K2PHL8</t>
        </is>
      </c>
      <c r="U151" t="n">
        <v>1.4109568</v>
      </c>
      <c r="V151" t="n">
        <v>6.61</v>
      </c>
      <c r="W151" t="n">
        <v>11.25</v>
      </c>
      <c r="X151" t="inlineStr">
        <is>
          <t>196478476734</t>
        </is>
      </c>
      <c r="Y151" t="inlineStr">
        <is>
          <t>NLF94</t>
        </is>
      </c>
      <c r="Z151" t="inlineStr">
        <is>
          <t>NLF94</t>
        </is>
      </c>
      <c r="AA151" t="inlineStr">
        <is>
          <t>Halo Mint/White/Halo Mint</t>
        </is>
      </c>
      <c r="AB151" t="inlineStr">
        <is>
          <t>0196478476734</t>
        </is>
      </c>
      <c r="AC151" t="inlineStr">
        <is>
          <t>Amazon offer is in stock and shippable</t>
        </is>
      </c>
      <c r="AD151" t="inlineStr">
        <is>
          <t>adidas</t>
        </is>
      </c>
      <c r="AE151" t="inlineStr">
        <is>
          <t>5.5</t>
        </is>
      </c>
      <c r="AF151"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1" t="inlineStr">
        <is>
          <t>Description
adidas womens VL Court 3.0</t>
        </is>
      </c>
    </row>
    <row r="152">
      <c r="A152" t="inlineStr">
        <is>
          <t>com</t>
        </is>
      </c>
      <c r="B152" t="inlineStr">
        <is>
          <t>B0CKMNSWC8</t>
        </is>
      </c>
      <c r="C152" t="inlineStr">
        <is>
          <t>adidas Women's VL Court 3.0 Sneaker, Halo Mint/White/Halo Mint, 6</t>
        </is>
      </c>
      <c r="D152" t="n">
        <v>75</v>
      </c>
      <c r="E152" t="n">
        <v>74.95</v>
      </c>
      <c r="F152" t="n">
        <v>755</v>
      </c>
      <c r="G152" t="n">
        <v>1678</v>
      </c>
      <c r="H152" t="n">
        <v>70.79000000000001</v>
      </c>
      <c r="I152" t="n">
        <v>72.22</v>
      </c>
      <c r="J152" t="n">
        <v>0</v>
      </c>
      <c r="K152" t="n">
        <v>0.19</v>
      </c>
      <c r="L152" t="n">
        <v>4</v>
      </c>
      <c r="M152" t="n">
        <v>5</v>
      </c>
      <c r="N152" t="n">
        <v>4.5</v>
      </c>
      <c r="O152" t="n">
        <v>2</v>
      </c>
      <c r="P152" t="n">
        <v>1562</v>
      </c>
      <c r="Q152" t="n">
        <v>53</v>
      </c>
      <c r="R152" t="n">
        <v>180</v>
      </c>
      <c r="S152" t="inlineStr">
        <is>
          <t>B0C2K2PHL8</t>
        </is>
      </c>
      <c r="U152" t="n">
        <v>1.6755112</v>
      </c>
      <c r="V152" t="n">
        <v>5.84</v>
      </c>
      <c r="W152" t="n">
        <v>11.25</v>
      </c>
      <c r="X152" t="inlineStr">
        <is>
          <t>196478476635</t>
        </is>
      </c>
      <c r="Y152" t="inlineStr">
        <is>
          <t>NLF94</t>
        </is>
      </c>
      <c r="Z152" t="inlineStr">
        <is>
          <t>NLF94</t>
        </is>
      </c>
      <c r="AA152" t="inlineStr">
        <is>
          <t>Halo Mint/White/Halo Mint</t>
        </is>
      </c>
      <c r="AB152" t="inlineStr">
        <is>
          <t>0196478476635</t>
        </is>
      </c>
      <c r="AC152" t="inlineStr">
        <is>
          <t>Amazon offer is in stock and shippable</t>
        </is>
      </c>
      <c r="AD152" t="inlineStr">
        <is>
          <t>adidas</t>
        </is>
      </c>
      <c r="AE152" t="inlineStr">
        <is>
          <t>6</t>
        </is>
      </c>
      <c r="AF152"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2" t="inlineStr">
        <is>
          <t>Description
adidas womens VL Court 3.0</t>
        </is>
      </c>
    </row>
    <row r="153">
      <c r="A153" t="inlineStr">
        <is>
          <t>com</t>
        </is>
      </c>
      <c r="B153" t="inlineStr">
        <is>
          <t>B0CKMQ8V7N</t>
        </is>
      </c>
      <c r="C153" t="inlineStr">
        <is>
          <t>adidas Women's VL Court 3.0 Sneaker, Halo Mint/White/Halo Mint, 6.5</t>
        </is>
      </c>
      <c r="D153" t="n">
        <v>75</v>
      </c>
      <c r="E153" t="n">
        <v>74.90000000000001</v>
      </c>
      <c r="F153" t="n">
        <v>815</v>
      </c>
      <c r="G153" t="n">
        <v>1681</v>
      </c>
      <c r="H153" t="n">
        <v>72.94</v>
      </c>
      <c r="I153" t="n">
        <v>73.39</v>
      </c>
      <c r="J153" t="n">
        <v>0.01</v>
      </c>
      <c r="K153" t="n">
        <v>0.48</v>
      </c>
      <c r="L153" t="n">
        <v>3</v>
      </c>
      <c r="M153" t="n">
        <v>6</v>
      </c>
      <c r="N153" t="n">
        <v>4.5</v>
      </c>
      <c r="O153" t="n">
        <v>0</v>
      </c>
      <c r="P153" t="n">
        <v>1562</v>
      </c>
      <c r="Q153" t="n">
        <v>60</v>
      </c>
      <c r="R153" t="n">
        <v>184</v>
      </c>
      <c r="S153" t="inlineStr">
        <is>
          <t>B0C2K2PHL8</t>
        </is>
      </c>
      <c r="U153" t="n">
        <v>1.51898318</v>
      </c>
      <c r="V153" t="n">
        <v>6.61</v>
      </c>
      <c r="W153" t="n">
        <v>11.25</v>
      </c>
      <c r="X153" t="inlineStr">
        <is>
          <t>196478476710</t>
        </is>
      </c>
      <c r="Y153" t="inlineStr">
        <is>
          <t>NLF94</t>
        </is>
      </c>
      <c r="Z153" t="inlineStr">
        <is>
          <t>NLF94</t>
        </is>
      </c>
      <c r="AA153" t="inlineStr">
        <is>
          <t>Halo Mint/White/Halo Mint</t>
        </is>
      </c>
      <c r="AB153" t="inlineStr">
        <is>
          <t>0196478476710</t>
        </is>
      </c>
      <c r="AC153" t="inlineStr">
        <is>
          <t>Amazon offer is in stock and shippable</t>
        </is>
      </c>
      <c r="AD153" t="inlineStr">
        <is>
          <t>adidas</t>
        </is>
      </c>
      <c r="AE153" t="inlineStr">
        <is>
          <t>6.5</t>
        </is>
      </c>
      <c r="AF153"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3" t="inlineStr">
        <is>
          <t>Description
adidas womens VL Court 3.0</t>
        </is>
      </c>
    </row>
    <row r="154">
      <c r="A154" t="inlineStr">
        <is>
          <t>com</t>
        </is>
      </c>
      <c r="B154" t="inlineStr">
        <is>
          <t>B0CKMMHWFP</t>
        </is>
      </c>
      <c r="C154" t="inlineStr">
        <is>
          <t>adidas Women's VL Court 3.0 Sneaker, Halo Mint/White/Halo Mint, 7</t>
        </is>
      </c>
      <c r="D154" t="n">
        <v>75</v>
      </c>
      <c r="E154" t="n">
        <v>74.95</v>
      </c>
      <c r="F154" t="n">
        <v>815</v>
      </c>
      <c r="G154" t="n">
        <v>1685</v>
      </c>
      <c r="H154" t="n">
        <v>72.27</v>
      </c>
      <c r="I154" t="n">
        <v>73.45</v>
      </c>
      <c r="J154" t="n">
        <v>0.03</v>
      </c>
      <c r="K154" t="n">
        <v>0.35</v>
      </c>
      <c r="L154" t="n">
        <v>3</v>
      </c>
      <c r="M154" t="n">
        <v>5</v>
      </c>
      <c r="N154" t="n">
        <v>4.5</v>
      </c>
      <c r="O154" t="n">
        <v>0</v>
      </c>
      <c r="P154" t="n">
        <v>1562</v>
      </c>
      <c r="Q154" t="n">
        <v>62</v>
      </c>
      <c r="R154" t="n">
        <v>184</v>
      </c>
      <c r="S154" t="inlineStr">
        <is>
          <t>B0C2K2PHL8</t>
        </is>
      </c>
      <c r="U154" t="n">
        <v>1.58953102</v>
      </c>
      <c r="V154" t="n">
        <v>6.61</v>
      </c>
      <c r="W154" t="n">
        <v>11.25</v>
      </c>
      <c r="X154" t="inlineStr">
        <is>
          <t>196478476673</t>
        </is>
      </c>
      <c r="Y154" t="inlineStr">
        <is>
          <t>NLF94</t>
        </is>
      </c>
      <c r="Z154" t="inlineStr">
        <is>
          <t>NLF94</t>
        </is>
      </c>
      <c r="AA154" t="inlineStr">
        <is>
          <t>Halo Mint/White/Halo Mint</t>
        </is>
      </c>
      <c r="AB154" t="inlineStr">
        <is>
          <t>0196478476673</t>
        </is>
      </c>
      <c r="AC154" t="inlineStr">
        <is>
          <t>Amazon offer is in stock and shippable</t>
        </is>
      </c>
      <c r="AD154" t="inlineStr">
        <is>
          <t>adidas</t>
        </is>
      </c>
      <c r="AE154" t="inlineStr">
        <is>
          <t>7</t>
        </is>
      </c>
      <c r="AF154"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4" t="inlineStr">
        <is>
          <t>Description
adidas womens VL Court 3.0</t>
        </is>
      </c>
    </row>
    <row r="155">
      <c r="A155" t="inlineStr">
        <is>
          <t>com</t>
        </is>
      </c>
      <c r="B155" t="inlineStr">
        <is>
          <t>B0CKMNMZ31</t>
        </is>
      </c>
      <c r="C155" t="inlineStr">
        <is>
          <t>adidas Women's VL Court 3.0 Sneaker, Halo Mint/White/Halo Mint, 7.5</t>
        </is>
      </c>
      <c r="D155" t="n">
        <v>75</v>
      </c>
      <c r="E155" t="n">
        <v>75</v>
      </c>
      <c r="F155" t="n">
        <v>815</v>
      </c>
      <c r="G155" t="n">
        <v>1680</v>
      </c>
      <c r="H155" t="n">
        <v>73.18000000000001</v>
      </c>
      <c r="I155" t="n">
        <v>73.66</v>
      </c>
      <c r="J155" t="n">
        <v>0.03</v>
      </c>
      <c r="K155" t="n">
        <v>0.5600000000000001</v>
      </c>
      <c r="L155" t="n">
        <v>2</v>
      </c>
      <c r="M155" t="n">
        <v>4</v>
      </c>
      <c r="N155" t="n">
        <v>4.5</v>
      </c>
      <c r="O155" t="n">
        <v>0</v>
      </c>
      <c r="P155" t="n">
        <v>1566</v>
      </c>
      <c r="Q155" t="n">
        <v>59</v>
      </c>
      <c r="R155" t="n">
        <v>174</v>
      </c>
      <c r="S155" t="inlineStr">
        <is>
          <t>B0C2K2PHL8</t>
        </is>
      </c>
      <c r="U155" t="n">
        <v>1.62921418</v>
      </c>
      <c r="V155" t="n">
        <v>7.7</v>
      </c>
      <c r="W155" t="n">
        <v>11.25</v>
      </c>
      <c r="X155" t="inlineStr">
        <is>
          <t>196478476697</t>
        </is>
      </c>
      <c r="Y155" t="inlineStr">
        <is>
          <t>NLF94</t>
        </is>
      </c>
      <c r="Z155" t="inlineStr">
        <is>
          <t>NLF94</t>
        </is>
      </c>
      <c r="AA155" t="inlineStr">
        <is>
          <t>Halo Mint/White/Halo Mint</t>
        </is>
      </c>
      <c r="AB155" t="inlineStr">
        <is>
          <t>0196478476697</t>
        </is>
      </c>
      <c r="AC155" t="inlineStr">
        <is>
          <t>Amazon offer is in stock and shippable</t>
        </is>
      </c>
      <c r="AD155" t="inlineStr">
        <is>
          <t>adidas</t>
        </is>
      </c>
      <c r="AE155" t="inlineStr">
        <is>
          <t>7.5</t>
        </is>
      </c>
      <c r="AF155"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5" t="inlineStr">
        <is>
          <t>Description
adidas womens VL Court 3.0</t>
        </is>
      </c>
    </row>
    <row r="156">
      <c r="A156" t="inlineStr">
        <is>
          <t>com</t>
        </is>
      </c>
      <c r="B156" t="inlineStr">
        <is>
          <t>B0CKMPHNGX</t>
        </is>
      </c>
      <c r="C156" t="inlineStr">
        <is>
          <t>adidas Women's VL Court 3.0 Sneaker, Halo Mint/White/Halo Mint, 8</t>
        </is>
      </c>
      <c r="D156" t="n">
        <v>75</v>
      </c>
      <c r="E156" t="n">
        <v>75</v>
      </c>
      <c r="F156" t="n">
        <v>815</v>
      </c>
      <c r="G156" t="n">
        <v>1682</v>
      </c>
      <c r="H156" t="n">
        <v>68.69</v>
      </c>
      <c r="I156" t="n">
        <v>71.34</v>
      </c>
      <c r="J156" t="n">
        <v>0.14</v>
      </c>
      <c r="K156" t="n">
        <v>0.27</v>
      </c>
      <c r="L156" t="n">
        <v>3</v>
      </c>
      <c r="M156" t="n">
        <v>4</v>
      </c>
      <c r="N156" t="n">
        <v>4.5</v>
      </c>
      <c r="O156" t="n">
        <v>0</v>
      </c>
      <c r="P156" t="n">
        <v>1569</v>
      </c>
      <c r="Q156" t="n">
        <v>69</v>
      </c>
      <c r="R156" t="n">
        <v>166</v>
      </c>
      <c r="S156" t="inlineStr">
        <is>
          <t>B0C2K2PHL8</t>
        </is>
      </c>
      <c r="U156" t="n">
        <v>1.9400656</v>
      </c>
      <c r="V156" t="n">
        <v>7.7</v>
      </c>
      <c r="W156" t="n">
        <v>11.25</v>
      </c>
      <c r="X156" t="inlineStr">
        <is>
          <t>196478476666</t>
        </is>
      </c>
      <c r="Y156" t="inlineStr">
        <is>
          <t>NLF94</t>
        </is>
      </c>
      <c r="Z156" t="inlineStr">
        <is>
          <t>NLF94</t>
        </is>
      </c>
      <c r="AA156" t="inlineStr">
        <is>
          <t>Halo Mint/White/Halo Mint</t>
        </is>
      </c>
      <c r="AB156" t="inlineStr">
        <is>
          <t>0196478476666</t>
        </is>
      </c>
      <c r="AC156" t="inlineStr">
        <is>
          <t>Amazon offer is in stock and shippable</t>
        </is>
      </c>
      <c r="AD156" t="inlineStr">
        <is>
          <t>adidas</t>
        </is>
      </c>
      <c r="AE156" t="inlineStr">
        <is>
          <t>8</t>
        </is>
      </c>
      <c r="AF156"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6" t="inlineStr">
        <is>
          <t>Description
adidas womens VL Court 3.0</t>
        </is>
      </c>
    </row>
    <row r="157">
      <c r="A157" t="inlineStr">
        <is>
          <t>com</t>
        </is>
      </c>
      <c r="B157" t="inlineStr">
        <is>
          <t>B0CKMPZZQL</t>
        </is>
      </c>
      <c r="C157" t="inlineStr">
        <is>
          <t>adidas Women's VL Court 3.0 Sneaker, Halo Mint/White/Halo Mint, 8.5</t>
        </is>
      </c>
      <c r="D157" t="n">
        <v>75</v>
      </c>
      <c r="E157" t="n">
        <v>75</v>
      </c>
      <c r="F157" t="n">
        <v>815</v>
      </c>
      <c r="G157" t="n">
        <v>1695</v>
      </c>
      <c r="H157" t="n">
        <v>70.17</v>
      </c>
      <c r="I157" t="n">
        <v>71.69</v>
      </c>
      <c r="J157" t="n">
        <v>0.03</v>
      </c>
      <c r="K157" t="n">
        <v>0.33</v>
      </c>
      <c r="L157" t="n">
        <v>3</v>
      </c>
      <c r="M157" t="n">
        <v>4</v>
      </c>
      <c r="N157" t="n">
        <v>4.5</v>
      </c>
      <c r="O157" t="n">
        <v>1</v>
      </c>
      <c r="P157" t="n">
        <v>1566</v>
      </c>
      <c r="Q157" t="n">
        <v>65</v>
      </c>
      <c r="R157" t="n">
        <v>177</v>
      </c>
      <c r="S157" t="inlineStr">
        <is>
          <t>B0C2K2PHL8</t>
        </is>
      </c>
      <c r="U157" t="n">
        <v>1.67992044</v>
      </c>
      <c r="V157" t="n">
        <v>7.7</v>
      </c>
      <c r="W157" t="n">
        <v>11.25</v>
      </c>
      <c r="X157" t="inlineStr">
        <is>
          <t>196478476659</t>
        </is>
      </c>
      <c r="Y157" t="inlineStr">
        <is>
          <t>NLF94</t>
        </is>
      </c>
      <c r="Z157" t="inlineStr">
        <is>
          <t>NLF94</t>
        </is>
      </c>
      <c r="AA157" t="inlineStr">
        <is>
          <t>Halo Mint/White/Halo Mint</t>
        </is>
      </c>
      <c r="AB157" t="inlineStr">
        <is>
          <t>0196478476659</t>
        </is>
      </c>
      <c r="AC157" t="inlineStr">
        <is>
          <t>Amazon offer is in stock and shippable</t>
        </is>
      </c>
      <c r="AD157" t="inlineStr">
        <is>
          <t>adidas</t>
        </is>
      </c>
      <c r="AE157" t="inlineStr">
        <is>
          <t>8.5</t>
        </is>
      </c>
      <c r="AF157"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7" t="inlineStr">
        <is>
          <t>Description
adidas womens VL Court 3.0</t>
        </is>
      </c>
    </row>
    <row r="158">
      <c r="A158" t="inlineStr">
        <is>
          <t>com</t>
        </is>
      </c>
      <c r="B158" t="inlineStr">
        <is>
          <t>B0CKMMMKMT</t>
        </is>
      </c>
      <c r="C158" t="inlineStr">
        <is>
          <t>adidas Women's VL Court 3.0 Sneaker, Halo Mint/White/Halo Mint, 9</t>
        </is>
      </c>
      <c r="D158" t="n">
        <v>75</v>
      </c>
      <c r="E158" t="n">
        <v>74.95</v>
      </c>
      <c r="F158" t="n">
        <v>815</v>
      </c>
      <c r="G158" t="n">
        <v>1681</v>
      </c>
      <c r="H158" t="n">
        <v>69.04000000000001</v>
      </c>
      <c r="I158" t="n">
        <v>71.14</v>
      </c>
      <c r="J158" t="n">
        <v>0</v>
      </c>
      <c r="K158" t="n">
        <v>0.02</v>
      </c>
      <c r="L158" t="n">
        <v>3</v>
      </c>
      <c r="M158" t="n">
        <v>4</v>
      </c>
      <c r="N158" t="n">
        <v>4.5</v>
      </c>
      <c r="O158" t="n">
        <v>0</v>
      </c>
      <c r="P158" t="n">
        <v>1566</v>
      </c>
      <c r="Q158" t="n">
        <v>64</v>
      </c>
      <c r="R158" t="n">
        <v>167</v>
      </c>
      <c r="S158" t="inlineStr">
        <is>
          <t>B0C2K2PHL8</t>
        </is>
      </c>
      <c r="U158" t="n">
        <v>2.03045502</v>
      </c>
      <c r="V158" t="n">
        <v>7.7</v>
      </c>
      <c r="W158" t="n">
        <v>11.25</v>
      </c>
      <c r="X158" t="inlineStr">
        <is>
          <t>196478476611</t>
        </is>
      </c>
      <c r="Y158" t="inlineStr">
        <is>
          <t>NLF94</t>
        </is>
      </c>
      <c r="Z158" t="inlineStr">
        <is>
          <t>NLF94</t>
        </is>
      </c>
      <c r="AA158" t="inlineStr">
        <is>
          <t>Halo Mint/White/Halo Mint</t>
        </is>
      </c>
      <c r="AB158" t="inlineStr">
        <is>
          <t>0196478476611</t>
        </is>
      </c>
      <c r="AC158" t="inlineStr">
        <is>
          <t>Amazon offer is in stock and shippable</t>
        </is>
      </c>
      <c r="AD158" t="inlineStr">
        <is>
          <t>adidas</t>
        </is>
      </c>
      <c r="AE158" t="inlineStr">
        <is>
          <t>9</t>
        </is>
      </c>
      <c r="AF158"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8" t="inlineStr">
        <is>
          <t>Description
adidas womens VL Court 3.0</t>
        </is>
      </c>
    </row>
    <row r="159">
      <c r="A159" t="inlineStr">
        <is>
          <t>com</t>
        </is>
      </c>
      <c r="B159" t="inlineStr">
        <is>
          <t>B0CKMN47TC</t>
        </is>
      </c>
      <c r="C159" t="inlineStr">
        <is>
          <t>adidas Women's VL Court 3.0 Sneaker, Halo Mint/White/Halo Mint, 9.5</t>
        </is>
      </c>
      <c r="D159" t="n">
        <v>75</v>
      </c>
      <c r="E159" t="n">
        <v>75</v>
      </c>
      <c r="F159" t="n">
        <v>815</v>
      </c>
      <c r="G159" t="n">
        <v>1689</v>
      </c>
      <c r="H159" t="n">
        <v>70.44</v>
      </c>
      <c r="I159" t="n">
        <v>72.33</v>
      </c>
      <c r="J159" t="n">
        <v>0.2</v>
      </c>
      <c r="K159" t="n">
        <v>0.5600000000000001</v>
      </c>
      <c r="L159" t="n">
        <v>2</v>
      </c>
      <c r="M159" t="n">
        <v>3</v>
      </c>
      <c r="N159" t="n">
        <v>4.5</v>
      </c>
      <c r="O159" t="n">
        <v>0</v>
      </c>
      <c r="P159" t="n">
        <v>1562</v>
      </c>
      <c r="Q159" t="n">
        <v>64</v>
      </c>
      <c r="R159" t="n">
        <v>165</v>
      </c>
      <c r="S159" t="inlineStr">
        <is>
          <t>B0C2K2PHL8</t>
        </is>
      </c>
      <c r="U159" t="n">
        <v>1.8188115</v>
      </c>
      <c r="V159" t="n">
        <v>7.62</v>
      </c>
      <c r="W159" t="n">
        <v>11.25</v>
      </c>
      <c r="X159" t="inlineStr">
        <is>
          <t>196478476727</t>
        </is>
      </c>
      <c r="Y159" t="inlineStr">
        <is>
          <t>NLF94</t>
        </is>
      </c>
      <c r="Z159" t="inlineStr">
        <is>
          <t>NLF94</t>
        </is>
      </c>
      <c r="AA159" t="inlineStr">
        <is>
          <t>Halo Mint/White/Halo Mint</t>
        </is>
      </c>
      <c r="AB159" t="inlineStr">
        <is>
          <t>0196478476727</t>
        </is>
      </c>
      <c r="AC159" t="inlineStr">
        <is>
          <t>Amazon offer is in stock and shippable</t>
        </is>
      </c>
      <c r="AD159" t="inlineStr">
        <is>
          <t>adidas</t>
        </is>
      </c>
      <c r="AE159" t="inlineStr">
        <is>
          <t>9.5</t>
        </is>
      </c>
      <c r="AF159"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59" t="inlineStr">
        <is>
          <t>Description
adidas womens VL Court 3.0</t>
        </is>
      </c>
    </row>
    <row r="160">
      <c r="A160" t="inlineStr">
        <is>
          <t>com</t>
        </is>
      </c>
      <c r="B160" t="inlineStr">
        <is>
          <t>B0CKMP4GS9</t>
        </is>
      </c>
      <c r="C160" t="inlineStr">
        <is>
          <t>adidas Women's VL Court 3.0 Sneaker, Halo Mint/White/Halo Mint, 10</t>
        </is>
      </c>
      <c r="D160" t="n">
        <v>75</v>
      </c>
      <c r="E160" t="n">
        <v>75</v>
      </c>
      <c r="F160" t="n">
        <v>815</v>
      </c>
      <c r="G160" t="n">
        <v>1677</v>
      </c>
      <c r="H160" t="n">
        <v>68.41</v>
      </c>
      <c r="I160" t="n">
        <v>70.79000000000001</v>
      </c>
      <c r="J160" t="n">
        <v>0.02</v>
      </c>
      <c r="K160" t="n">
        <v>0.17</v>
      </c>
      <c r="L160" t="n">
        <v>2</v>
      </c>
      <c r="M160" t="n">
        <v>4</v>
      </c>
      <c r="N160" t="n">
        <v>4.5</v>
      </c>
      <c r="O160" t="n">
        <v>0</v>
      </c>
      <c r="P160" t="n">
        <v>1562</v>
      </c>
      <c r="Q160" t="n">
        <v>69</v>
      </c>
      <c r="R160" t="n">
        <v>168</v>
      </c>
      <c r="S160" t="inlineStr">
        <is>
          <t>B0C2K2PHL8</t>
        </is>
      </c>
      <c r="U160" t="n">
        <v>2.07013818</v>
      </c>
      <c r="V160" t="n">
        <v>7.7</v>
      </c>
      <c r="W160" t="n">
        <v>11.25</v>
      </c>
      <c r="X160" t="inlineStr">
        <is>
          <t>196478476604</t>
        </is>
      </c>
      <c r="Y160" t="inlineStr">
        <is>
          <t>NLF94</t>
        </is>
      </c>
      <c r="Z160" t="inlineStr">
        <is>
          <t>NLF94</t>
        </is>
      </c>
      <c r="AA160" t="inlineStr">
        <is>
          <t>Halo Mint/White/Halo Mint</t>
        </is>
      </c>
      <c r="AB160" t="inlineStr">
        <is>
          <t>0196478476604</t>
        </is>
      </c>
      <c r="AC160" t="inlineStr">
        <is>
          <t>Amazon offer is in stock and shippable</t>
        </is>
      </c>
      <c r="AD160" t="inlineStr">
        <is>
          <t>adidas</t>
        </is>
      </c>
      <c r="AE160" t="inlineStr">
        <is>
          <t>10</t>
        </is>
      </c>
      <c r="AF160"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60" t="inlineStr">
        <is>
          <t>Description
adidas womens VL Court 3.0</t>
        </is>
      </c>
    </row>
    <row r="161">
      <c r="A161" t="inlineStr">
        <is>
          <t>com</t>
        </is>
      </c>
      <c r="B161" t="inlineStr">
        <is>
          <t>B0CKMNRDK7</t>
        </is>
      </c>
      <c r="C161" t="inlineStr">
        <is>
          <t>adidas Women's VL Court 3.0 Sneaker, Halo Mint/White/Halo Mint, 11</t>
        </is>
      </c>
      <c r="D161" t="n">
        <v>75</v>
      </c>
      <c r="E161" t="n">
        <v>74.95</v>
      </c>
      <c r="F161" t="n">
        <v>815</v>
      </c>
      <c r="G161" t="n">
        <v>1680</v>
      </c>
      <c r="H161" t="n">
        <v>68.8</v>
      </c>
      <c r="I161" t="n">
        <v>71.05</v>
      </c>
      <c r="J161" t="n">
        <v>0</v>
      </c>
      <c r="K161" t="n">
        <v>0</v>
      </c>
      <c r="L161" t="n">
        <v>2</v>
      </c>
      <c r="M161" t="n">
        <v>2</v>
      </c>
      <c r="N161" t="n">
        <v>4.5</v>
      </c>
      <c r="O161" t="n">
        <v>0</v>
      </c>
      <c r="P161" t="n">
        <v>1562</v>
      </c>
      <c r="Q161" t="n">
        <v>50</v>
      </c>
      <c r="R161" t="n">
        <v>147</v>
      </c>
      <c r="S161" t="inlineStr">
        <is>
          <t>B0C2K2PHL8</t>
        </is>
      </c>
      <c r="U161" t="n">
        <v>2.26194012</v>
      </c>
      <c r="V161" t="n">
        <v>7.86</v>
      </c>
      <c r="W161" t="n">
        <v>11.25</v>
      </c>
      <c r="X161" t="inlineStr">
        <is>
          <t>196478476642</t>
        </is>
      </c>
      <c r="Y161" t="inlineStr">
        <is>
          <t>NLF94</t>
        </is>
      </c>
      <c r="Z161" t="inlineStr">
        <is>
          <t>NLF94</t>
        </is>
      </c>
      <c r="AA161" t="inlineStr">
        <is>
          <t>Halo Mint/White/Halo Mint</t>
        </is>
      </c>
      <c r="AB161" t="inlineStr">
        <is>
          <t>0196478476642</t>
        </is>
      </c>
      <c r="AC161" t="inlineStr">
        <is>
          <t>Amazon offer is in stock and shippable</t>
        </is>
      </c>
      <c r="AD161" t="inlineStr">
        <is>
          <t>adidas</t>
        </is>
      </c>
      <c r="AE161" t="inlineStr">
        <is>
          <t>11</t>
        </is>
      </c>
      <c r="AF161" t="inlineStr">
        <is>
          <t>https://m.media-amazon.com/images/I/61h4aQipRjL.jpg;https://m.media-amazon.com/images/I/61BkwZFnitL.jpg;https://m.media-amazon.com/images/I/61CcIj3ql1L.jpg;https://m.media-amazon.com/images/I/61UYpZXjc5L.jpg;https://m.media-amazon.com/images/I/61C+3y+uo1L.jpg;https://m.media-amazon.com/images/I/71lw3Sm+UuL.jpg;https://m.media-amazon.com/images/I/61mvO3rB5aL.jpg</t>
        </is>
      </c>
      <c r="AG161" t="inlineStr">
        <is>
          <t>Description
adidas womens VL Court 3.0</t>
        </is>
      </c>
    </row>
    <row r="162">
      <c r="A162" t="inlineStr">
        <is>
          <t>com</t>
        </is>
      </c>
      <c r="B162" t="inlineStr">
        <is>
          <t>B0C2JZ2PJR</t>
        </is>
      </c>
      <c r="C162" t="inlineStr">
        <is>
          <t>adidas Women's VL Court 3.0 Sneaker</t>
        </is>
      </c>
      <c r="D162" t="n">
        <v>74.95</v>
      </c>
      <c r="E162" t="n">
        <v>74.95</v>
      </c>
      <c r="F162" t="n">
        <v>815</v>
      </c>
      <c r="G162" t="n">
        <v>1680</v>
      </c>
      <c r="H162" t="n">
        <v>67.36</v>
      </c>
      <c r="I162" t="n">
        <v>69.81999999999999</v>
      </c>
      <c r="J162" t="n">
        <v>0</v>
      </c>
      <c r="K162" t="n">
        <v>0</v>
      </c>
      <c r="L162" t="n">
        <v>2</v>
      </c>
      <c r="M162" t="n">
        <v>1</v>
      </c>
      <c r="N162" t="n">
        <v>4.5</v>
      </c>
      <c r="O162" t="n">
        <v>0</v>
      </c>
      <c r="P162" t="n">
        <v>1566</v>
      </c>
      <c r="Q162" t="n">
        <v>57</v>
      </c>
      <c r="R162" t="n">
        <v>184</v>
      </c>
      <c r="S162" t="inlineStr">
        <is>
          <t>B0C2K2PHL8</t>
        </is>
      </c>
      <c r="U162" t="n">
        <v>2.31044176</v>
      </c>
      <c r="V162" t="n">
        <v>6.61</v>
      </c>
      <c r="W162" t="n">
        <v>11.24</v>
      </c>
      <c r="X162" t="inlineStr">
        <is>
          <t>196474610200</t>
        </is>
      </c>
      <c r="Y162" t="inlineStr">
        <is>
          <t>NLF94</t>
        </is>
      </c>
      <c r="Z162" t="inlineStr">
        <is>
          <t>NLF94</t>
        </is>
      </c>
      <c r="AA162" t="inlineStr">
        <is>
          <t>Black/White/Gold Metallic</t>
        </is>
      </c>
      <c r="AB162" t="inlineStr">
        <is>
          <t>0196474610200</t>
        </is>
      </c>
      <c r="AC162" t="inlineStr">
        <is>
          <t>Amazon offer is in stock and shippable</t>
        </is>
      </c>
      <c r="AD162" t="inlineStr">
        <is>
          <t>adidas</t>
        </is>
      </c>
      <c r="AE162" t="inlineStr">
        <is>
          <t>5</t>
        </is>
      </c>
      <c r="AF162"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62" t="inlineStr">
        <is>
          <t>Description
adidas womens VL Court 3.0</t>
        </is>
      </c>
    </row>
    <row r="163">
      <c r="A163" t="inlineStr">
        <is>
          <t>com</t>
        </is>
      </c>
      <c r="B163" t="inlineStr">
        <is>
          <t>B0C2JXRQT4</t>
        </is>
      </c>
      <c r="C163" t="inlineStr">
        <is>
          <t>adidas Women's VL Court 3.0 Sneaker</t>
        </is>
      </c>
      <c r="D163" t="n">
        <v>74.95</v>
      </c>
      <c r="E163" t="n">
        <v>74.95</v>
      </c>
      <c r="F163" t="n">
        <v>815</v>
      </c>
      <c r="G163" t="n">
        <v>1671</v>
      </c>
      <c r="H163" t="n">
        <v>66.16</v>
      </c>
      <c r="I163" t="n">
        <v>67.11</v>
      </c>
      <c r="J163" t="n">
        <v>0</v>
      </c>
      <c r="K163" t="n">
        <v>0</v>
      </c>
      <c r="L163" t="n">
        <v>5</v>
      </c>
      <c r="M163" t="n">
        <v>6</v>
      </c>
      <c r="N163" t="n">
        <v>4.5</v>
      </c>
      <c r="O163" t="n">
        <v>3</v>
      </c>
      <c r="P163" t="n">
        <v>1570</v>
      </c>
      <c r="Q163" t="n">
        <v>64</v>
      </c>
      <c r="R163" t="n">
        <v>209</v>
      </c>
      <c r="S163" t="inlineStr">
        <is>
          <t>B0C2K2PHL8</t>
        </is>
      </c>
      <c r="U163" t="n">
        <v>1.53882476</v>
      </c>
      <c r="V163" t="n">
        <v>7.86</v>
      </c>
      <c r="W163" t="n">
        <v>11.24</v>
      </c>
      <c r="X163" t="inlineStr">
        <is>
          <t>196474610187</t>
        </is>
      </c>
      <c r="Y163" t="inlineStr">
        <is>
          <t>NLF94</t>
        </is>
      </c>
      <c r="Z163" t="inlineStr">
        <is>
          <t>NLF94</t>
        </is>
      </c>
      <c r="AA163" t="inlineStr">
        <is>
          <t>Black/White/Gold Metallic</t>
        </is>
      </c>
      <c r="AB163" t="inlineStr">
        <is>
          <t>0196474610187</t>
        </is>
      </c>
      <c r="AC163" t="inlineStr">
        <is>
          <t>Amazon offer is in stock and shippable</t>
        </is>
      </c>
      <c r="AD163" t="inlineStr">
        <is>
          <t>adidas</t>
        </is>
      </c>
      <c r="AE163" t="inlineStr">
        <is>
          <t>5.5</t>
        </is>
      </c>
      <c r="AF163"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63" t="inlineStr">
        <is>
          <t>Description
adidas womens VL Court 3.0</t>
        </is>
      </c>
    </row>
    <row r="164">
      <c r="A164" t="inlineStr">
        <is>
          <t>com</t>
        </is>
      </c>
      <c r="B164" t="inlineStr">
        <is>
          <t>B0DJP6D54S</t>
        </is>
      </c>
      <c r="C164" t="inlineStr">
        <is>
          <t>adidas VL Court 3.0 Shoes Black/White</t>
        </is>
      </c>
      <c r="D164" t="n">
        <v>74.98999999999999</v>
      </c>
      <c r="E164" t="n">
        <v>74.98999999999999</v>
      </c>
      <c r="H164" t="n">
        <v>74.98999999999999</v>
      </c>
      <c r="I164" t="n">
        <v>74.98999999999999</v>
      </c>
      <c r="J164" t="n">
        <v>0</v>
      </c>
      <c r="K164" t="n">
        <v>1</v>
      </c>
      <c r="L164" t="n">
        <v>1</v>
      </c>
      <c r="M164" t="n">
        <v>1</v>
      </c>
      <c r="Q164" t="n">
        <v>-1</v>
      </c>
      <c r="R164" t="n">
        <v>-1</v>
      </c>
      <c r="S164" t="inlineStr">
        <is>
          <t>B0CTCDLC18</t>
        </is>
      </c>
      <c r="U164" t="n">
        <v>0.5004487400000001</v>
      </c>
      <c r="V164" t="n">
        <v>5.29</v>
      </c>
      <c r="W164" t="n">
        <v>11.25</v>
      </c>
      <c r="X164" t="inlineStr">
        <is>
          <t>196474612648</t>
        </is>
      </c>
      <c r="Y164" t="inlineStr">
        <is>
          <t>ID6279</t>
        </is>
      </c>
      <c r="Z164" t="inlineStr">
        <is>
          <t>47496112501</t>
        </is>
      </c>
      <c r="AA164" t="inlineStr">
        <is>
          <t>Black/White</t>
        </is>
      </c>
      <c r="AB164" t="inlineStr">
        <is>
          <t>0196474612648</t>
        </is>
      </c>
      <c r="AC164" t="inlineStr">
        <is>
          <t>no Amazon offer exists</t>
        </is>
      </c>
      <c r="AD164" t="inlineStr">
        <is>
          <t>adidas</t>
        </is>
      </c>
      <c r="AE164" t="inlineStr">
        <is>
          <t>6</t>
        </is>
      </c>
      <c r="AF164" t="inlineStr">
        <is>
          <t>https://m.media-amazon.com/images/I/5160m5eTNrL.jpg;https://m.media-amazon.com/images/I/4175nscI12L.jpg;https://m.media-amazon.com/images/I/51p83IqJ4TL.jpg</t>
        </is>
      </c>
      <c r="AG164" t="inlineStr"/>
    </row>
    <row r="165">
      <c r="A165" t="inlineStr">
        <is>
          <t>com</t>
        </is>
      </c>
      <c r="B165" t="inlineStr">
        <is>
          <t>B0C2JYWHZ4</t>
        </is>
      </c>
      <c r="C165" t="inlineStr">
        <is>
          <t>adidas Women's VL Court 3.0 Sneaker</t>
        </is>
      </c>
      <c r="D165" t="n">
        <v>74.95</v>
      </c>
      <c r="E165" t="n">
        <v>74.95</v>
      </c>
      <c r="F165" t="n">
        <v>729</v>
      </c>
      <c r="G165" t="n">
        <v>1683</v>
      </c>
      <c r="H165" t="n">
        <v>67.19</v>
      </c>
      <c r="I165" t="n">
        <v>67.84</v>
      </c>
      <c r="J165" t="n">
        <v>0</v>
      </c>
      <c r="K165" t="n">
        <v>0.16</v>
      </c>
      <c r="L165" t="n">
        <v>6</v>
      </c>
      <c r="M165" t="n">
        <v>3</v>
      </c>
      <c r="N165" t="n">
        <v>4.5</v>
      </c>
      <c r="O165" t="n">
        <v>2</v>
      </c>
      <c r="P165" t="n">
        <v>1570</v>
      </c>
      <c r="Q165" t="n">
        <v>75</v>
      </c>
      <c r="R165" t="n">
        <v>212</v>
      </c>
      <c r="S165" t="inlineStr">
        <is>
          <t>B0C2K2PHL8</t>
        </is>
      </c>
      <c r="U165" t="n">
        <v>1.54102938</v>
      </c>
      <c r="V165" t="n">
        <v>6.61</v>
      </c>
      <c r="W165" t="n">
        <v>11.24</v>
      </c>
      <c r="X165" t="inlineStr">
        <is>
          <t>196474612648</t>
        </is>
      </c>
      <c r="Y165" t="inlineStr">
        <is>
          <t>NLF94</t>
        </is>
      </c>
      <c r="Z165" t="inlineStr">
        <is>
          <t>NLF94</t>
        </is>
      </c>
      <c r="AA165" t="inlineStr">
        <is>
          <t>Black/White/Gold Metallic</t>
        </is>
      </c>
      <c r="AB165" t="inlineStr">
        <is>
          <t>0196474612648</t>
        </is>
      </c>
      <c r="AC165" t="inlineStr">
        <is>
          <t>Amazon offer is in stock and shippable</t>
        </is>
      </c>
      <c r="AD165" t="inlineStr">
        <is>
          <t>adidas</t>
        </is>
      </c>
      <c r="AE165" t="inlineStr">
        <is>
          <t>6</t>
        </is>
      </c>
      <c r="AF165"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65" t="inlineStr">
        <is>
          <t>Description
adidas womens VL Court 3.0</t>
        </is>
      </c>
    </row>
    <row r="166">
      <c r="A166" t="inlineStr">
        <is>
          <t>com</t>
        </is>
      </c>
      <c r="B166" t="inlineStr">
        <is>
          <t>B0DJP4RPX8</t>
        </is>
      </c>
      <c r="C166" t="inlineStr">
        <is>
          <t>adidas VL Court 3.0 Shoes Black/White</t>
        </is>
      </c>
      <c r="D166" t="n">
        <v>74.98999999999999</v>
      </c>
      <c r="E166" t="n">
        <v>74.98999999999999</v>
      </c>
      <c r="H166" t="n">
        <v>74.98999999999999</v>
      </c>
      <c r="I166" t="n">
        <v>74.98999999999999</v>
      </c>
      <c r="J166" t="n">
        <v>0</v>
      </c>
      <c r="K166" t="n">
        <v>1</v>
      </c>
      <c r="L166" t="n">
        <v>1</v>
      </c>
      <c r="M166" t="n">
        <v>1</v>
      </c>
      <c r="Q166" t="n">
        <v>-1</v>
      </c>
      <c r="R166" t="n">
        <v>-1</v>
      </c>
      <c r="S166" t="inlineStr">
        <is>
          <t>B0CTCDLC18</t>
        </is>
      </c>
      <c r="U166" t="n">
        <v>0.5004487400000001</v>
      </c>
      <c r="V166" t="n">
        <v>5.29</v>
      </c>
      <c r="W166" t="n">
        <v>11.25</v>
      </c>
      <c r="X166" t="inlineStr">
        <is>
          <t>196474612662</t>
        </is>
      </c>
      <c r="Y166" t="inlineStr">
        <is>
          <t>ID6279</t>
        </is>
      </c>
      <c r="Z166" t="inlineStr">
        <is>
          <t>47496112502</t>
        </is>
      </c>
      <c r="AA166" t="inlineStr">
        <is>
          <t>Black/White</t>
        </is>
      </c>
      <c r="AB166" t="inlineStr">
        <is>
          <t>0196474612662</t>
        </is>
      </c>
      <c r="AC166" t="inlineStr">
        <is>
          <t>no Amazon offer exists</t>
        </is>
      </c>
      <c r="AD166" t="inlineStr">
        <is>
          <t>adidas</t>
        </is>
      </c>
      <c r="AE166" t="inlineStr">
        <is>
          <t>6.5</t>
        </is>
      </c>
      <c r="AF166" t="inlineStr">
        <is>
          <t>https://m.media-amazon.com/images/I/5160m5eTNrL.jpg;https://m.media-amazon.com/images/I/4175nscI12L.jpg;https://m.media-amazon.com/images/I/51p83IqJ4TL.jpg</t>
        </is>
      </c>
      <c r="AG166" t="inlineStr"/>
    </row>
    <row r="167">
      <c r="A167" t="inlineStr">
        <is>
          <t>com</t>
        </is>
      </c>
      <c r="B167" t="inlineStr">
        <is>
          <t>B0C2JZX32H</t>
        </is>
      </c>
      <c r="C167" t="inlineStr">
        <is>
          <t>adidas Women's VL Court 3.0 Sneaker</t>
        </is>
      </c>
      <c r="D167" t="n">
        <v>74.95</v>
      </c>
      <c r="E167" t="n">
        <v>74.95</v>
      </c>
      <c r="F167" t="n">
        <v>755</v>
      </c>
      <c r="G167" t="n">
        <v>1679</v>
      </c>
      <c r="H167" t="n">
        <v>68.7</v>
      </c>
      <c r="I167" t="n">
        <v>68.81</v>
      </c>
      <c r="J167" t="n">
        <v>0</v>
      </c>
      <c r="K167" t="n">
        <v>0.3</v>
      </c>
      <c r="L167" t="n">
        <v>5</v>
      </c>
      <c r="M167" t="n">
        <v>4</v>
      </c>
      <c r="N167" t="n">
        <v>4.5</v>
      </c>
      <c r="O167" t="n">
        <v>4</v>
      </c>
      <c r="P167" t="n">
        <v>1562</v>
      </c>
      <c r="Q167" t="n">
        <v>66</v>
      </c>
      <c r="R167" t="n">
        <v>218</v>
      </c>
      <c r="S167" t="inlineStr">
        <is>
          <t>B0C2K2PHL8</t>
        </is>
      </c>
      <c r="U167" t="n">
        <v>1.5652802</v>
      </c>
      <c r="V167" t="n">
        <v>6.61</v>
      </c>
      <c r="W167" t="n">
        <v>11.24</v>
      </c>
      <c r="X167" t="inlineStr">
        <is>
          <t>196474612662</t>
        </is>
      </c>
      <c r="Y167" t="inlineStr">
        <is>
          <t>NLF94</t>
        </is>
      </c>
      <c r="Z167" t="inlineStr">
        <is>
          <t>NLF94</t>
        </is>
      </c>
      <c r="AA167" t="inlineStr">
        <is>
          <t>Black/White/Gold Metallic</t>
        </is>
      </c>
      <c r="AB167" t="inlineStr">
        <is>
          <t>0196474612662</t>
        </is>
      </c>
      <c r="AC167" t="inlineStr">
        <is>
          <t>Amazon offer is in stock and shippable</t>
        </is>
      </c>
      <c r="AD167" t="inlineStr">
        <is>
          <t>adidas</t>
        </is>
      </c>
      <c r="AE167" t="inlineStr">
        <is>
          <t>6.5</t>
        </is>
      </c>
      <c r="AF167"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67" t="inlineStr">
        <is>
          <t>Description
adidas womens VL Court 3.0</t>
        </is>
      </c>
    </row>
    <row r="168">
      <c r="A168" t="inlineStr">
        <is>
          <t>com</t>
        </is>
      </c>
      <c r="B168" t="inlineStr">
        <is>
          <t>B0C2K1H1NK</t>
        </is>
      </c>
      <c r="C168" t="inlineStr">
        <is>
          <t>adidas Women's VL Court 3.0 Sneaker</t>
        </is>
      </c>
      <c r="D168" t="n">
        <v>74.95</v>
      </c>
      <c r="E168" t="n">
        <v>74.95</v>
      </c>
      <c r="F168" t="n">
        <v>815</v>
      </c>
      <c r="G168" t="n">
        <v>1682</v>
      </c>
      <c r="H168" t="n">
        <v>71.17</v>
      </c>
      <c r="I168" t="n">
        <v>69.89</v>
      </c>
      <c r="J168" t="n">
        <v>0</v>
      </c>
      <c r="K168" t="n">
        <v>0.29</v>
      </c>
      <c r="L168" t="n">
        <v>5</v>
      </c>
      <c r="M168" t="n">
        <v>5</v>
      </c>
      <c r="N168" t="n">
        <v>4.5</v>
      </c>
      <c r="O168" t="n">
        <v>2</v>
      </c>
      <c r="P168" t="n">
        <v>1569</v>
      </c>
      <c r="Q168" t="n">
        <v>59</v>
      </c>
      <c r="R168" t="n">
        <v>164</v>
      </c>
      <c r="S168" t="inlineStr">
        <is>
          <t>B0C2K2PHL8</t>
        </is>
      </c>
      <c r="T168" t="n">
        <v>50</v>
      </c>
      <c r="U168" t="n">
        <v>1.64905576</v>
      </c>
      <c r="V168" t="n">
        <v>7.03</v>
      </c>
      <c r="W168" t="n">
        <v>11.24</v>
      </c>
      <c r="X168" t="inlineStr">
        <is>
          <t>196474612631</t>
        </is>
      </c>
      <c r="Y168" t="inlineStr">
        <is>
          <t>NLF94</t>
        </is>
      </c>
      <c r="Z168" t="inlineStr">
        <is>
          <t>NLF94</t>
        </is>
      </c>
      <c r="AA168" t="inlineStr">
        <is>
          <t>Black/White/Gold Metallic</t>
        </is>
      </c>
      <c r="AB168" t="inlineStr">
        <is>
          <t>0196474612631</t>
        </is>
      </c>
      <c r="AC168" t="inlineStr">
        <is>
          <t>Amazon offer is in stock and shippable</t>
        </is>
      </c>
      <c r="AD168" t="inlineStr">
        <is>
          <t>adidas</t>
        </is>
      </c>
      <c r="AE168" t="inlineStr">
        <is>
          <t>7</t>
        </is>
      </c>
      <c r="AF168"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68" t="inlineStr">
        <is>
          <t>Description
adidas womens VL Court 3.0</t>
        </is>
      </c>
    </row>
    <row r="169">
      <c r="A169" t="inlineStr">
        <is>
          <t>com</t>
        </is>
      </c>
      <c r="B169" t="inlineStr">
        <is>
          <t>B0DJP45NHG</t>
        </is>
      </c>
      <c r="C169" t="inlineStr">
        <is>
          <t>adidas VL Court 3.0 Shoes Black/White</t>
        </is>
      </c>
      <c r="D169" t="n">
        <v>74.98999999999999</v>
      </c>
      <c r="E169" t="n">
        <v>74.98999999999999</v>
      </c>
      <c r="H169" t="n">
        <v>74.98999999999999</v>
      </c>
      <c r="I169" t="n">
        <v>74.98999999999999</v>
      </c>
      <c r="J169" t="n">
        <v>0</v>
      </c>
      <c r="K169" t="n">
        <v>1</v>
      </c>
      <c r="L169" t="n">
        <v>1</v>
      </c>
      <c r="M169" t="n">
        <v>1</v>
      </c>
      <c r="Q169" t="n">
        <v>-1</v>
      </c>
      <c r="R169" t="n">
        <v>-1</v>
      </c>
      <c r="S169" t="inlineStr">
        <is>
          <t>B0CTCDLC18</t>
        </is>
      </c>
      <c r="U169" t="n">
        <v>0.5004487400000001</v>
      </c>
      <c r="V169" t="n">
        <v>5.29</v>
      </c>
      <c r="W169" t="n">
        <v>11.25</v>
      </c>
      <c r="X169" t="inlineStr">
        <is>
          <t>196474612631</t>
        </is>
      </c>
      <c r="Y169" t="inlineStr">
        <is>
          <t>ID6279</t>
        </is>
      </c>
      <c r="Z169" t="inlineStr">
        <is>
          <t>47496112503</t>
        </is>
      </c>
      <c r="AA169" t="inlineStr">
        <is>
          <t>Black/White</t>
        </is>
      </c>
      <c r="AB169" t="inlineStr">
        <is>
          <t>0196474612631</t>
        </is>
      </c>
      <c r="AC169" t="inlineStr">
        <is>
          <t>no Amazon offer exists</t>
        </is>
      </c>
      <c r="AD169" t="inlineStr">
        <is>
          <t>adidas</t>
        </is>
      </c>
      <c r="AE169" t="inlineStr">
        <is>
          <t>7</t>
        </is>
      </c>
      <c r="AF169" t="inlineStr">
        <is>
          <t>https://m.media-amazon.com/images/I/5160m5eTNrL.jpg;https://m.media-amazon.com/images/I/4175nscI12L.jpg;https://m.media-amazon.com/images/I/51p83IqJ4TL.jpg</t>
        </is>
      </c>
      <c r="AG169" t="inlineStr">
        <is>
          <t>Description
adidas VL Court 3.0 Shoes. These adidas sneakers are all clean lines and a smooth coated leather upper atop a skater-style vulcanized outsole. Wear yours with crop pants or a floaty skirt. Either way, you'll want to show off every angle. Lightweight cushioning and a soft lining keep the foot wrapped in comfort right through the day. Regular fit. Lace closure. Coated leather upper. Textile lining. Cushioned midsole. Imported.</t>
        </is>
      </c>
    </row>
    <row r="170">
      <c r="A170" t="inlineStr">
        <is>
          <t>com</t>
        </is>
      </c>
      <c r="B170" t="inlineStr">
        <is>
          <t>B0C2JYBJ1W</t>
        </is>
      </c>
      <c r="C170" t="inlineStr">
        <is>
          <t>adidas Women's VL Court 3.0 Sneaker</t>
        </is>
      </c>
      <c r="D170" t="n">
        <v>74.95</v>
      </c>
      <c r="E170" t="n">
        <v>74.95</v>
      </c>
      <c r="F170" t="n">
        <v>815</v>
      </c>
      <c r="G170" t="n">
        <v>1693</v>
      </c>
      <c r="H170" t="n">
        <v>69.20999999999999</v>
      </c>
      <c r="I170" t="n">
        <v>70.94</v>
      </c>
      <c r="J170" t="n">
        <v>0</v>
      </c>
      <c r="K170" t="n">
        <v>0.52</v>
      </c>
      <c r="L170" t="n">
        <v>4</v>
      </c>
      <c r="M170" t="n">
        <v>4</v>
      </c>
      <c r="N170" t="n">
        <v>4.5</v>
      </c>
      <c r="O170" t="n">
        <v>7</v>
      </c>
      <c r="P170" t="n">
        <v>1562</v>
      </c>
      <c r="Q170" t="n">
        <v>70</v>
      </c>
      <c r="R170" t="n">
        <v>206</v>
      </c>
      <c r="S170" t="inlineStr">
        <is>
          <t>B0C2K2PHL8</t>
        </is>
      </c>
      <c r="U170" t="n">
        <v>1.7196036</v>
      </c>
      <c r="V170" t="n">
        <v>7.7</v>
      </c>
      <c r="W170" t="n">
        <v>11.24</v>
      </c>
      <c r="X170" t="inlineStr">
        <is>
          <t>196474610156</t>
        </is>
      </c>
      <c r="Y170" t="inlineStr">
        <is>
          <t>NLF94</t>
        </is>
      </c>
      <c r="Z170" t="inlineStr">
        <is>
          <t>NLF94</t>
        </is>
      </c>
      <c r="AA170" t="inlineStr">
        <is>
          <t>Black/White/Gold Metallic</t>
        </is>
      </c>
      <c r="AB170" t="inlineStr">
        <is>
          <t>0196474610156</t>
        </is>
      </c>
      <c r="AC170" t="inlineStr">
        <is>
          <t>Amazon offer is in stock and shippable</t>
        </is>
      </c>
      <c r="AD170" t="inlineStr">
        <is>
          <t>adidas</t>
        </is>
      </c>
      <c r="AE170" t="inlineStr">
        <is>
          <t>7.5</t>
        </is>
      </c>
      <c r="AF170"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0" t="inlineStr">
        <is>
          <t>Description
adidas womens VL Court 3.0</t>
        </is>
      </c>
    </row>
    <row r="171">
      <c r="A171" t="inlineStr">
        <is>
          <t>com</t>
        </is>
      </c>
      <c r="B171" t="inlineStr">
        <is>
          <t>B0DJN5SRS3</t>
        </is>
      </c>
      <c r="C171" t="inlineStr">
        <is>
          <t>adidas VL Court 3.0 Shoes Black/White</t>
        </is>
      </c>
      <c r="D171" t="n">
        <v>74.98999999999999</v>
      </c>
      <c r="E171" t="n">
        <v>74.98999999999999</v>
      </c>
      <c r="H171" t="n">
        <v>74.98999999999999</v>
      </c>
      <c r="I171" t="n">
        <v>74.98999999999999</v>
      </c>
      <c r="J171" t="n">
        <v>0</v>
      </c>
      <c r="K171" t="n">
        <v>1</v>
      </c>
      <c r="L171" t="n">
        <v>1</v>
      </c>
      <c r="M171" t="n">
        <v>1</v>
      </c>
      <c r="Q171" t="n">
        <v>-1</v>
      </c>
      <c r="R171" t="n">
        <v>-1</v>
      </c>
      <c r="S171" t="inlineStr">
        <is>
          <t>B0CTCDLC18</t>
        </is>
      </c>
      <c r="U171" t="n">
        <v>0.5004487400000001</v>
      </c>
      <c r="V171" t="n">
        <v>5.29</v>
      </c>
      <c r="W171" t="n">
        <v>11.25</v>
      </c>
      <c r="X171" t="inlineStr">
        <is>
          <t>196474612655</t>
        </is>
      </c>
      <c r="Y171" t="inlineStr">
        <is>
          <t>ID6279</t>
        </is>
      </c>
      <c r="Z171" t="inlineStr">
        <is>
          <t>47496112505</t>
        </is>
      </c>
      <c r="AA171" t="inlineStr">
        <is>
          <t>Black/White</t>
        </is>
      </c>
      <c r="AB171" t="inlineStr">
        <is>
          <t>0196474612655</t>
        </is>
      </c>
      <c r="AC171" t="inlineStr">
        <is>
          <t>no Amazon offer exists</t>
        </is>
      </c>
      <c r="AD171" t="inlineStr">
        <is>
          <t>adidas</t>
        </is>
      </c>
      <c r="AE171" t="inlineStr">
        <is>
          <t>8</t>
        </is>
      </c>
      <c r="AF171" t="inlineStr">
        <is>
          <t>https://m.media-amazon.com/images/I/5160m5eTNrL.jpg;https://m.media-amazon.com/images/I/4175nscI12L.jpg;https://m.media-amazon.com/images/I/51p83IqJ4TL.jpg</t>
        </is>
      </c>
      <c r="AG171" t="inlineStr"/>
    </row>
    <row r="172">
      <c r="A172" t="inlineStr">
        <is>
          <t>com</t>
        </is>
      </c>
      <c r="B172" t="inlineStr">
        <is>
          <t>B0C2JYYTBG</t>
        </is>
      </c>
      <c r="C172" t="inlineStr">
        <is>
          <t>adidas Women's VL Court 3.0 Sneaker</t>
        </is>
      </c>
      <c r="D172" t="n">
        <v>74.95</v>
      </c>
      <c r="E172" t="n">
        <v>74.95</v>
      </c>
      <c r="F172" t="n">
        <v>815</v>
      </c>
      <c r="G172" t="n">
        <v>1681</v>
      </c>
      <c r="H172" t="n">
        <v>69.34999999999999</v>
      </c>
      <c r="I172" t="n">
        <v>70.20999999999999</v>
      </c>
      <c r="J172" t="n">
        <v>0</v>
      </c>
      <c r="K172" t="n">
        <v>0.14</v>
      </c>
      <c r="L172" t="n">
        <v>6</v>
      </c>
      <c r="M172" t="n">
        <v>5</v>
      </c>
      <c r="N172" t="n">
        <v>4.5</v>
      </c>
      <c r="O172" t="n">
        <v>10</v>
      </c>
      <c r="P172" t="n">
        <v>1569</v>
      </c>
      <c r="Q172" t="n">
        <v>57</v>
      </c>
      <c r="R172" t="n">
        <v>147</v>
      </c>
      <c r="S172" t="inlineStr">
        <is>
          <t>B0C2K2PHL8</t>
        </is>
      </c>
      <c r="T172" t="n">
        <v>100</v>
      </c>
      <c r="U172" t="n">
        <v>1.763696</v>
      </c>
      <c r="V172" t="n">
        <v>7.78</v>
      </c>
      <c r="W172" t="n">
        <v>11.24</v>
      </c>
      <c r="X172" t="inlineStr">
        <is>
          <t>196474612655</t>
        </is>
      </c>
      <c r="Y172" t="inlineStr">
        <is>
          <t>NLF94</t>
        </is>
      </c>
      <c r="Z172" t="inlineStr">
        <is>
          <t>NLF94</t>
        </is>
      </c>
      <c r="AA172" t="inlineStr">
        <is>
          <t>Black/White/Gold Metallic</t>
        </is>
      </c>
      <c r="AB172" t="inlineStr">
        <is>
          <t>0196474612655</t>
        </is>
      </c>
      <c r="AC172" t="inlineStr">
        <is>
          <t>Amazon offer is in stock and shippable</t>
        </is>
      </c>
      <c r="AD172" t="inlineStr">
        <is>
          <t>adidas</t>
        </is>
      </c>
      <c r="AE172" t="inlineStr">
        <is>
          <t>8</t>
        </is>
      </c>
      <c r="AF172"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2" t="inlineStr">
        <is>
          <t>Description
adidas womens VL Court 3.0</t>
        </is>
      </c>
    </row>
    <row r="173">
      <c r="A173" t="inlineStr">
        <is>
          <t>com</t>
        </is>
      </c>
      <c r="B173" t="inlineStr">
        <is>
          <t>B0C2JYBGWZ</t>
        </is>
      </c>
      <c r="C173" t="inlineStr">
        <is>
          <t>adidas Women's VL Court 3.0 Sneaker</t>
        </is>
      </c>
      <c r="D173" t="n">
        <v>74.95</v>
      </c>
      <c r="E173" t="n">
        <v>74.95</v>
      </c>
      <c r="F173" t="n">
        <v>815</v>
      </c>
      <c r="G173" t="n">
        <v>1685</v>
      </c>
      <c r="H173" t="n">
        <v>68.18000000000001</v>
      </c>
      <c r="I173" t="n">
        <v>68.8</v>
      </c>
      <c r="J173" t="n">
        <v>0</v>
      </c>
      <c r="K173" t="n">
        <v>0.14</v>
      </c>
      <c r="L173" t="n">
        <v>7</v>
      </c>
      <c r="M173" t="n">
        <v>5</v>
      </c>
      <c r="N173" t="n">
        <v>4.5</v>
      </c>
      <c r="O173" t="n">
        <v>7</v>
      </c>
      <c r="P173" t="n">
        <v>1569</v>
      </c>
      <c r="Q173" t="n">
        <v>60</v>
      </c>
      <c r="R173" t="n">
        <v>161</v>
      </c>
      <c r="S173" t="inlineStr">
        <is>
          <t>B0C2K2PHL8</t>
        </is>
      </c>
      <c r="T173" t="n">
        <v>50</v>
      </c>
      <c r="U173" t="n">
        <v>1.8959732</v>
      </c>
      <c r="V173" t="n">
        <v>7.78</v>
      </c>
      <c r="W173" t="n">
        <v>11.24</v>
      </c>
      <c r="X173" t="inlineStr">
        <is>
          <t>196474610217</t>
        </is>
      </c>
      <c r="Y173" t="inlineStr">
        <is>
          <t>NLF94</t>
        </is>
      </c>
      <c r="Z173" t="inlineStr">
        <is>
          <t>NLF94</t>
        </is>
      </c>
      <c r="AA173" t="inlineStr">
        <is>
          <t>Black/White/Gold Metallic</t>
        </is>
      </c>
      <c r="AB173" t="inlineStr">
        <is>
          <t>0196474610217</t>
        </is>
      </c>
      <c r="AC173" t="inlineStr">
        <is>
          <t>Amazon offer is in stock and shippable</t>
        </is>
      </c>
      <c r="AD173" t="inlineStr">
        <is>
          <t>adidas</t>
        </is>
      </c>
      <c r="AE173" t="inlineStr">
        <is>
          <t>8.5</t>
        </is>
      </c>
      <c r="AF173"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3" t="inlineStr">
        <is>
          <t>Description
adidas womens VL Court 3.0</t>
        </is>
      </c>
    </row>
    <row r="174">
      <c r="A174" t="inlineStr">
        <is>
          <t>com</t>
        </is>
      </c>
      <c r="B174" t="inlineStr">
        <is>
          <t>B0DJP47QW5</t>
        </is>
      </c>
      <c r="C174" t="inlineStr">
        <is>
          <t>adidas VL Court 3.0 Shoes Black/White</t>
        </is>
      </c>
      <c r="D174" t="n">
        <v>74.98999999999999</v>
      </c>
      <c r="E174" t="n">
        <v>74.98999999999999</v>
      </c>
      <c r="H174" t="n">
        <v>74.98999999999999</v>
      </c>
      <c r="I174" t="n">
        <v>74.98999999999999</v>
      </c>
      <c r="J174" t="n">
        <v>0</v>
      </c>
      <c r="K174" t="n">
        <v>1</v>
      </c>
      <c r="L174" t="n">
        <v>1</v>
      </c>
      <c r="M174" t="n">
        <v>1</v>
      </c>
      <c r="Q174" t="n">
        <v>-1</v>
      </c>
      <c r="R174" t="n">
        <v>-1</v>
      </c>
      <c r="S174" t="inlineStr">
        <is>
          <t>B0CTCDLC18</t>
        </is>
      </c>
      <c r="U174" t="n">
        <v>0.5004487400000001</v>
      </c>
      <c r="V174" t="n">
        <v>5.29</v>
      </c>
      <c r="W174" t="n">
        <v>11.25</v>
      </c>
      <c r="X174" t="inlineStr">
        <is>
          <t>196474610217</t>
        </is>
      </c>
      <c r="Y174" t="inlineStr">
        <is>
          <t>ID6279</t>
        </is>
      </c>
      <c r="Z174" t="inlineStr">
        <is>
          <t>47496112506</t>
        </is>
      </c>
      <c r="AA174" t="inlineStr">
        <is>
          <t>Black/White</t>
        </is>
      </c>
      <c r="AB174" t="inlineStr">
        <is>
          <t>0196474610217</t>
        </is>
      </c>
      <c r="AC174" t="inlineStr">
        <is>
          <t>no Amazon offer exists</t>
        </is>
      </c>
      <c r="AD174" t="inlineStr">
        <is>
          <t>adidas</t>
        </is>
      </c>
      <c r="AE174" t="inlineStr">
        <is>
          <t>8.5</t>
        </is>
      </c>
      <c r="AF174" t="inlineStr">
        <is>
          <t>https://m.media-amazon.com/images/I/5160m5eTNrL.jpg;https://m.media-amazon.com/images/I/4175nscI12L.jpg;https://m.media-amazon.com/images/I/51p83IqJ4TL.jpg</t>
        </is>
      </c>
      <c r="AG174" t="inlineStr"/>
    </row>
    <row r="175">
      <c r="A175" t="inlineStr">
        <is>
          <t>com</t>
        </is>
      </c>
      <c r="B175" t="inlineStr">
        <is>
          <t>B0C2JX5WBY</t>
        </is>
      </c>
      <c r="C175" t="inlineStr">
        <is>
          <t>adidas Women's VL Court 3.0 Sneaker</t>
        </is>
      </c>
      <c r="D175" t="n">
        <v>74.95</v>
      </c>
      <c r="E175" t="n">
        <v>73.40000000000001</v>
      </c>
      <c r="F175" t="n">
        <v>815</v>
      </c>
      <c r="G175" t="n">
        <v>1684</v>
      </c>
      <c r="H175" t="n">
        <v>68.56999999999999</v>
      </c>
      <c r="I175" t="n">
        <v>69.29000000000001</v>
      </c>
      <c r="J175" t="n">
        <v>0</v>
      </c>
      <c r="K175" t="n">
        <v>0.63</v>
      </c>
      <c r="L175" t="n">
        <v>7</v>
      </c>
      <c r="M175" t="n">
        <v>5</v>
      </c>
      <c r="N175" t="n">
        <v>4.5</v>
      </c>
      <c r="O175" t="n">
        <v>8</v>
      </c>
      <c r="P175" t="n">
        <v>1567</v>
      </c>
      <c r="Q175" t="n">
        <v>67</v>
      </c>
      <c r="R175" t="n">
        <v>167</v>
      </c>
      <c r="S175" t="inlineStr">
        <is>
          <t>B0C2K2PHL8</t>
        </is>
      </c>
      <c r="U175" t="n">
        <v>2.66979482</v>
      </c>
      <c r="V175" t="n">
        <v>7.7</v>
      </c>
      <c r="W175" t="n">
        <v>11.24</v>
      </c>
      <c r="X175" t="inlineStr">
        <is>
          <t>196474610170</t>
        </is>
      </c>
      <c r="Y175" t="inlineStr">
        <is>
          <t>NLF94</t>
        </is>
      </c>
      <c r="Z175" t="inlineStr">
        <is>
          <t>NLF94</t>
        </is>
      </c>
      <c r="AA175" t="inlineStr">
        <is>
          <t>Black/White/Gold Metallic</t>
        </is>
      </c>
      <c r="AB175" t="inlineStr">
        <is>
          <t>0196474610170</t>
        </is>
      </c>
      <c r="AC175" t="inlineStr">
        <is>
          <t>Amazon offer is in stock and shippable</t>
        </is>
      </c>
      <c r="AD175" t="inlineStr">
        <is>
          <t>adidas</t>
        </is>
      </c>
      <c r="AE175" t="inlineStr">
        <is>
          <t>9</t>
        </is>
      </c>
      <c r="AF175"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5" t="inlineStr">
        <is>
          <t>Description
adidas womens VL Court 3.0</t>
        </is>
      </c>
    </row>
    <row r="176">
      <c r="A176" t="inlineStr">
        <is>
          <t>com</t>
        </is>
      </c>
      <c r="B176" t="inlineStr">
        <is>
          <t>B0C2JYCN6C</t>
        </is>
      </c>
      <c r="C176" t="inlineStr">
        <is>
          <t>adidas Women's VL Court 3.0 Sneaker</t>
        </is>
      </c>
      <c r="D176" t="n">
        <v>74.95</v>
      </c>
      <c r="E176" t="n">
        <v>71.69</v>
      </c>
      <c r="F176" t="n">
        <v>815</v>
      </c>
      <c r="G176" t="n">
        <v>1687</v>
      </c>
      <c r="H176" t="n">
        <v>66.87</v>
      </c>
      <c r="I176" t="n">
        <v>68.95</v>
      </c>
      <c r="J176" t="n">
        <v>0</v>
      </c>
      <c r="K176" t="n">
        <v>0.2</v>
      </c>
      <c r="L176" t="n">
        <v>8</v>
      </c>
      <c r="M176" t="n">
        <v>10</v>
      </c>
      <c r="N176" t="n">
        <v>4.5</v>
      </c>
      <c r="O176" t="n">
        <v>2</v>
      </c>
      <c r="P176" t="n">
        <v>1562</v>
      </c>
      <c r="Q176" t="n">
        <v>81</v>
      </c>
      <c r="R176" t="n">
        <v>215</v>
      </c>
      <c r="S176" t="inlineStr">
        <is>
          <t>B0C2K2PHL8</t>
        </is>
      </c>
      <c r="U176" t="n">
        <v>2.0282504</v>
      </c>
      <c r="V176" t="n">
        <v>7.94</v>
      </c>
      <c r="W176" t="n">
        <v>11.24</v>
      </c>
      <c r="X176" t="inlineStr">
        <is>
          <t>196474610194</t>
        </is>
      </c>
      <c r="Y176" t="inlineStr">
        <is>
          <t>NLF94</t>
        </is>
      </c>
      <c r="Z176" t="inlineStr">
        <is>
          <t>NLF94</t>
        </is>
      </c>
      <c r="AA176" t="inlineStr">
        <is>
          <t>Black/White/Gold Metallic</t>
        </is>
      </c>
      <c r="AB176" t="inlineStr">
        <is>
          <t>0196474610194</t>
        </is>
      </c>
      <c r="AC176" t="inlineStr">
        <is>
          <t>Amazon offer is in stock and shippable</t>
        </is>
      </c>
      <c r="AD176" t="inlineStr">
        <is>
          <t>adidas</t>
        </is>
      </c>
      <c r="AE176" t="inlineStr">
        <is>
          <t>9.5</t>
        </is>
      </c>
      <c r="AF176"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6" t="inlineStr">
        <is>
          <t>Description
adidas womens VL Court 3.0</t>
        </is>
      </c>
    </row>
    <row r="177">
      <c r="A177" t="inlineStr">
        <is>
          <t>com</t>
        </is>
      </c>
      <c r="B177" t="inlineStr">
        <is>
          <t>B0C2JYYPN3</t>
        </is>
      </c>
      <c r="C177" t="inlineStr">
        <is>
          <t>adidas Women's VL Court 3.0 Sneaker</t>
        </is>
      </c>
      <c r="D177" t="n">
        <v>74.95</v>
      </c>
      <c r="E177" t="n">
        <v>74.95</v>
      </c>
      <c r="F177" t="n">
        <v>815</v>
      </c>
      <c r="G177" t="n">
        <v>1678</v>
      </c>
      <c r="H177" t="n">
        <v>66.31999999999999</v>
      </c>
      <c r="I177" t="n">
        <v>67.23</v>
      </c>
      <c r="J177" t="n">
        <v>0</v>
      </c>
      <c r="K177" t="n">
        <v>0</v>
      </c>
      <c r="L177" t="n">
        <v>10</v>
      </c>
      <c r="M177" t="n">
        <v>9</v>
      </c>
      <c r="N177" t="n">
        <v>4.5</v>
      </c>
      <c r="O177" t="n">
        <v>6</v>
      </c>
      <c r="P177" t="n">
        <v>1566</v>
      </c>
      <c r="Q177" t="n">
        <v>77</v>
      </c>
      <c r="R177" t="n">
        <v>208</v>
      </c>
      <c r="S177" t="inlineStr">
        <is>
          <t>B0C2K2PHL8</t>
        </is>
      </c>
      <c r="U177" t="n">
        <v>1.9621118</v>
      </c>
      <c r="V177" t="n">
        <v>7.7</v>
      </c>
      <c r="W177" t="n">
        <v>11.24</v>
      </c>
      <c r="X177" t="inlineStr">
        <is>
          <t>196474612686</t>
        </is>
      </c>
      <c r="Y177" t="inlineStr">
        <is>
          <t>NLF94</t>
        </is>
      </c>
      <c r="Z177" t="inlineStr">
        <is>
          <t>NLF94</t>
        </is>
      </c>
      <c r="AA177" t="inlineStr">
        <is>
          <t>Black/White/Gold Metallic</t>
        </is>
      </c>
      <c r="AB177" t="inlineStr">
        <is>
          <t>0196474612686</t>
        </is>
      </c>
      <c r="AC177" t="inlineStr">
        <is>
          <t>Amazon offer is in stock and shippable</t>
        </is>
      </c>
      <c r="AD177" t="inlineStr">
        <is>
          <t>adidas</t>
        </is>
      </c>
      <c r="AE177" t="inlineStr">
        <is>
          <t>10</t>
        </is>
      </c>
      <c r="AF177"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7" t="inlineStr">
        <is>
          <t>Description
adidas womens VL Court 3.0</t>
        </is>
      </c>
    </row>
    <row r="178">
      <c r="A178" t="inlineStr">
        <is>
          <t>com</t>
        </is>
      </c>
      <c r="B178" t="inlineStr">
        <is>
          <t>B0DJP56LRF</t>
        </is>
      </c>
      <c r="C178" t="inlineStr">
        <is>
          <t>adidas VL Court 3.0 Shoes Black/White</t>
        </is>
      </c>
      <c r="D178" t="n">
        <v>74.98999999999999</v>
      </c>
      <c r="E178" t="n">
        <v>74.98999999999999</v>
      </c>
      <c r="H178" t="n">
        <v>74.98999999999999</v>
      </c>
      <c r="I178" t="n">
        <v>74.98999999999999</v>
      </c>
      <c r="J178" t="n">
        <v>0</v>
      </c>
      <c r="K178" t="n">
        <v>1</v>
      </c>
      <c r="L178" t="n">
        <v>1</v>
      </c>
      <c r="M178" t="n">
        <v>1</v>
      </c>
      <c r="Q178" t="n">
        <v>-1</v>
      </c>
      <c r="R178" t="n">
        <v>-1</v>
      </c>
      <c r="S178" t="inlineStr">
        <is>
          <t>B0CTCDLC18</t>
        </is>
      </c>
      <c r="U178" t="n">
        <v>0.5004487400000001</v>
      </c>
      <c r="V178" t="n">
        <v>5.29</v>
      </c>
      <c r="W178" t="n">
        <v>11.25</v>
      </c>
      <c r="X178" t="inlineStr">
        <is>
          <t>196474612686</t>
        </is>
      </c>
      <c r="Y178" t="inlineStr">
        <is>
          <t>ID6279</t>
        </is>
      </c>
      <c r="Z178" t="inlineStr">
        <is>
          <t>47496112508</t>
        </is>
      </c>
      <c r="AA178" t="inlineStr">
        <is>
          <t>Black/White</t>
        </is>
      </c>
      <c r="AB178" t="inlineStr">
        <is>
          <t>0196474612686</t>
        </is>
      </c>
      <c r="AC178" t="inlineStr">
        <is>
          <t>no Amazon offer exists</t>
        </is>
      </c>
      <c r="AD178" t="inlineStr">
        <is>
          <t>adidas</t>
        </is>
      </c>
      <c r="AE178" t="inlineStr">
        <is>
          <t>10</t>
        </is>
      </c>
      <c r="AF178" t="inlineStr">
        <is>
          <t>https://m.media-amazon.com/images/I/5160m5eTNrL.jpg;https://m.media-amazon.com/images/I/4175nscI12L.jpg;https://m.media-amazon.com/images/I/51p83IqJ4TL.jpg</t>
        </is>
      </c>
      <c r="AG178" t="inlineStr">
        <is>
          <t>Description
adidas VL Court 3.0 Shoes. These adidas sneakers are all clean lines and a smooth coated leather upper atop a skater-style vulcanized outsole. Wear yours with crop pants or a floaty skirt. Either way, you'll want to show off every angle. Lightweight cushioning and a soft lining keep the foot wrapped in comfort right through the day. Regular fit. Lace closure. Coated leather upper. Textile lining. Cushioned midsole. Imported.</t>
        </is>
      </c>
    </row>
    <row r="179">
      <c r="A179" t="inlineStr">
        <is>
          <t>com</t>
        </is>
      </c>
      <c r="B179" t="inlineStr">
        <is>
          <t>B0C2JXCMYZ</t>
        </is>
      </c>
      <c r="C179" t="inlineStr">
        <is>
          <t>adidas Women's VL Court 3.0 Sneaker</t>
        </is>
      </c>
      <c r="D179" t="n">
        <v>74.95</v>
      </c>
      <c r="E179" t="n">
        <v>71.69</v>
      </c>
      <c r="F179" t="n">
        <v>815</v>
      </c>
      <c r="G179" t="n">
        <v>1683</v>
      </c>
      <c r="H179" t="n">
        <v>66.34</v>
      </c>
      <c r="I179" t="n">
        <v>66.93000000000001</v>
      </c>
      <c r="J179" t="n">
        <v>0</v>
      </c>
      <c r="K179" t="n">
        <v>0</v>
      </c>
      <c r="L179" t="n">
        <v>10</v>
      </c>
      <c r="M179" t="n">
        <v>12</v>
      </c>
      <c r="N179" t="n">
        <v>4.5</v>
      </c>
      <c r="O179" t="n">
        <v>0</v>
      </c>
      <c r="P179" t="n">
        <v>1569</v>
      </c>
      <c r="Q179" t="n">
        <v>80</v>
      </c>
      <c r="R179" t="n">
        <v>219</v>
      </c>
      <c r="S179" t="inlineStr">
        <is>
          <t>B0C2K2PHL8</t>
        </is>
      </c>
      <c r="U179" t="n">
        <v>2.0833659</v>
      </c>
      <c r="V179" t="n">
        <v>7.94</v>
      </c>
      <c r="W179" t="n">
        <v>11.24</v>
      </c>
      <c r="X179" t="inlineStr">
        <is>
          <t>196474612679</t>
        </is>
      </c>
      <c r="Y179" t="inlineStr">
        <is>
          <t>NLF94</t>
        </is>
      </c>
      <c r="Z179" t="inlineStr">
        <is>
          <t>NLF94</t>
        </is>
      </c>
      <c r="AA179" t="inlineStr">
        <is>
          <t>Black/White/Gold Metallic</t>
        </is>
      </c>
      <c r="AB179" t="inlineStr">
        <is>
          <t>0196474612679</t>
        </is>
      </c>
      <c r="AC179" t="inlineStr">
        <is>
          <t>Amazon offer is in stock and shippable</t>
        </is>
      </c>
      <c r="AD179" t="inlineStr">
        <is>
          <t>adidas</t>
        </is>
      </c>
      <c r="AE179" t="inlineStr">
        <is>
          <t>11</t>
        </is>
      </c>
      <c r="AF179" t="inlineStr">
        <is>
          <t>https://m.media-amazon.com/images/I/61aI8gXpekL.jpg;https://m.media-amazon.com/images/I/61rWR0t9AlL.jpg;https://m.media-amazon.com/images/I/71HBdsdpA4L.jpg;https://m.media-amazon.com/images/I/71p4iVu21QL.jpg;https://m.media-amazon.com/images/I/81VPDOrwcsL.jpg;https://m.media-amazon.com/images/I/713rNRExYKL.jpg;https://m.media-amazon.com/images/I/71waG5N7G3L.jpg</t>
        </is>
      </c>
      <c r="AG179" t="inlineStr">
        <is>
          <t>Description
adidas womens VL Court 3.0</t>
        </is>
      </c>
    </row>
    <row r="180">
      <c r="A180" t="inlineStr">
        <is>
          <t>com</t>
        </is>
      </c>
      <c r="B180" t="inlineStr">
        <is>
          <t>B0C2JZ3F8N</t>
        </is>
      </c>
      <c r="C180" t="inlineStr">
        <is>
          <t>adidas Women's VL Court 3.0 Sneaker</t>
        </is>
      </c>
      <c r="D180" t="n">
        <v>55.45</v>
      </c>
      <c r="E180" t="inlineStr"/>
      <c r="F180" t="n">
        <v>815</v>
      </c>
      <c r="G180" t="n">
        <v>1695</v>
      </c>
      <c r="H180" t="n">
        <v>55.45</v>
      </c>
      <c r="I180" t="n">
        <v>69.37</v>
      </c>
      <c r="J180" t="n">
        <v>0.53</v>
      </c>
      <c r="K180" t="n">
        <v>0.98</v>
      </c>
      <c r="L180" t="n">
        <v>1</v>
      </c>
      <c r="M180" t="n">
        <v>1</v>
      </c>
      <c r="N180" t="n">
        <v>4.5</v>
      </c>
      <c r="O180" t="n">
        <v>1</v>
      </c>
      <c r="P180" t="n">
        <v>1562</v>
      </c>
      <c r="Q180" t="n">
        <v>52</v>
      </c>
      <c r="R180" t="n">
        <v>118</v>
      </c>
      <c r="S180" t="inlineStr">
        <is>
          <t>B0C2K2PHL8</t>
        </is>
      </c>
      <c r="U180" t="n">
        <v>1.3889106</v>
      </c>
      <c r="V180" t="n">
        <v>6.61</v>
      </c>
      <c r="W180" t="inlineStr"/>
      <c r="X180" t="inlineStr">
        <is>
          <t>196474610002</t>
        </is>
      </c>
      <c r="Y180" t="inlineStr">
        <is>
          <t>NLF94</t>
        </is>
      </c>
      <c r="Z180" t="inlineStr">
        <is>
          <t>NLF94</t>
        </is>
      </c>
      <c r="AA180" t="inlineStr">
        <is>
          <t>Almost Pink/White/Almost Pink</t>
        </is>
      </c>
      <c r="AB180" t="inlineStr">
        <is>
          <t>0196474610002</t>
        </is>
      </c>
      <c r="AC180" t="inlineStr">
        <is>
          <t>no Amazon offer exists</t>
        </is>
      </c>
      <c r="AD180" t="inlineStr">
        <is>
          <t>adidas</t>
        </is>
      </c>
      <c r="AE180" t="inlineStr">
        <is>
          <t>5</t>
        </is>
      </c>
      <c r="AF180"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0" t="inlineStr">
        <is>
          <t>Description
adidas womens VL Court 3.0</t>
        </is>
      </c>
    </row>
    <row r="181">
      <c r="A181" t="inlineStr">
        <is>
          <t>com</t>
        </is>
      </c>
      <c r="B181" t="inlineStr">
        <is>
          <t>B0C2JYSTBT</t>
        </is>
      </c>
      <c r="C181" t="inlineStr">
        <is>
          <t>adidas Women's VL Court 3.0 Sneaker</t>
        </is>
      </c>
      <c r="D181" t="n">
        <v>80.79000000000001</v>
      </c>
      <c r="E181" t="n">
        <v>80.79000000000001</v>
      </c>
      <c r="F181" t="n">
        <v>815</v>
      </c>
      <c r="G181" t="n">
        <v>1667</v>
      </c>
      <c r="H181" t="n">
        <v>69.17</v>
      </c>
      <c r="I181" t="n">
        <v>69.84</v>
      </c>
      <c r="J181" t="n">
        <v>0.34</v>
      </c>
      <c r="K181" t="n">
        <v>0.95</v>
      </c>
      <c r="L181" t="n">
        <v>2</v>
      </c>
      <c r="M181" t="n">
        <v>2</v>
      </c>
      <c r="N181" t="n">
        <v>4.5</v>
      </c>
      <c r="O181" t="n">
        <v>2</v>
      </c>
      <c r="P181" t="n">
        <v>1569</v>
      </c>
      <c r="Q181" t="n">
        <v>63</v>
      </c>
      <c r="R181" t="n">
        <v>140</v>
      </c>
      <c r="S181" t="inlineStr">
        <is>
          <t>B0C2K2PHL8</t>
        </is>
      </c>
      <c r="U181" t="n">
        <v>1.54102938</v>
      </c>
      <c r="V181" t="n">
        <v>7.03</v>
      </c>
      <c r="W181" t="inlineStr"/>
      <c r="X181" t="inlineStr">
        <is>
          <t>196474607514</t>
        </is>
      </c>
      <c r="Y181" t="inlineStr">
        <is>
          <t>NLF94</t>
        </is>
      </c>
      <c r="Z181" t="inlineStr">
        <is>
          <t>NLF94</t>
        </is>
      </c>
      <c r="AA181" t="inlineStr">
        <is>
          <t>Almost Pink/White/Almost Pink</t>
        </is>
      </c>
      <c r="AB181" t="inlineStr">
        <is>
          <t>0196474607514</t>
        </is>
      </c>
      <c r="AC181" t="inlineStr">
        <is>
          <t>no Amazon offer exists</t>
        </is>
      </c>
      <c r="AD181" t="inlineStr">
        <is>
          <t>adidas</t>
        </is>
      </c>
      <c r="AE181" t="inlineStr">
        <is>
          <t>5.5</t>
        </is>
      </c>
      <c r="AF181"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1" t="inlineStr">
        <is>
          <t>Description
adidas womens VL Court 3.0</t>
        </is>
      </c>
    </row>
    <row r="182">
      <c r="A182" t="inlineStr">
        <is>
          <t>com</t>
        </is>
      </c>
      <c r="B182" t="inlineStr">
        <is>
          <t>B0C2JZHTMN</t>
        </is>
      </c>
      <c r="C182" t="inlineStr">
        <is>
          <t>adidas Women's VL Court 3.0 Sneaker</t>
        </is>
      </c>
      <c r="D182" t="n">
        <v>72.44</v>
      </c>
      <c r="E182" t="n">
        <v>72.44</v>
      </c>
      <c r="F182" t="n">
        <v>815</v>
      </c>
      <c r="G182" t="n">
        <v>1668</v>
      </c>
      <c r="H182" t="n">
        <v>73.03</v>
      </c>
      <c r="I182" t="n">
        <v>72.26000000000001</v>
      </c>
      <c r="J182" t="n">
        <v>0.19</v>
      </c>
      <c r="K182" t="n">
        <v>0.99</v>
      </c>
      <c r="L182" t="n">
        <v>6</v>
      </c>
      <c r="M182" t="n">
        <v>8</v>
      </c>
      <c r="N182" t="n">
        <v>4.5</v>
      </c>
      <c r="O182" t="n">
        <v>2</v>
      </c>
      <c r="P182" t="n">
        <v>1569</v>
      </c>
      <c r="Q182" t="n">
        <v>99</v>
      </c>
      <c r="R182" t="n">
        <v>228</v>
      </c>
      <c r="S182" t="inlineStr">
        <is>
          <t>B0C2K2PHL8</t>
        </is>
      </c>
      <c r="U182" t="n">
        <v>1.43079838</v>
      </c>
      <c r="V182" t="n">
        <v>7.03</v>
      </c>
      <c r="W182" t="n">
        <v>10.87</v>
      </c>
      <c r="X182" t="inlineStr">
        <is>
          <t>196474607538</t>
        </is>
      </c>
      <c r="Y182" t="inlineStr">
        <is>
          <t>NLF94</t>
        </is>
      </c>
      <c r="Z182" t="inlineStr">
        <is>
          <t>NLF94</t>
        </is>
      </c>
      <c r="AA182" t="inlineStr">
        <is>
          <t>Almost Pink/White/Almost Pink</t>
        </is>
      </c>
      <c r="AB182" t="inlineStr">
        <is>
          <t>0196474607538</t>
        </is>
      </c>
      <c r="AC182" t="inlineStr">
        <is>
          <t>no Amazon offer exists</t>
        </is>
      </c>
      <c r="AD182" t="inlineStr">
        <is>
          <t>adidas</t>
        </is>
      </c>
      <c r="AE182" t="inlineStr">
        <is>
          <t>6</t>
        </is>
      </c>
      <c r="AF182"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2" t="inlineStr">
        <is>
          <t>Description
adidas womens VL Court 3.0</t>
        </is>
      </c>
    </row>
    <row r="183">
      <c r="A183" t="inlineStr">
        <is>
          <t>com</t>
        </is>
      </c>
      <c r="B183" t="inlineStr">
        <is>
          <t>B0C2JXMF3H</t>
        </is>
      </c>
      <c r="C183" t="inlineStr">
        <is>
          <t>adidas Women's VL Court 3.0 Sneaker</t>
        </is>
      </c>
      <c r="D183" t="n">
        <v>77</v>
      </c>
      <c r="E183" t="n">
        <v>68.98999999999999</v>
      </c>
      <c r="F183" t="n">
        <v>815</v>
      </c>
      <c r="G183" t="n">
        <v>1720</v>
      </c>
      <c r="H183" t="n">
        <v>77.12</v>
      </c>
      <c r="I183" t="n">
        <v>72.61</v>
      </c>
      <c r="J183" t="n">
        <v>0.13</v>
      </c>
      <c r="K183" t="n">
        <v>1</v>
      </c>
      <c r="L183" t="n">
        <v>5</v>
      </c>
      <c r="M183" t="n">
        <v>10</v>
      </c>
      <c r="N183" t="n">
        <v>4.5</v>
      </c>
      <c r="O183" t="n">
        <v>2</v>
      </c>
      <c r="P183" t="n">
        <v>1570</v>
      </c>
      <c r="Q183" t="n">
        <v>82</v>
      </c>
      <c r="R183" t="n">
        <v>192</v>
      </c>
      <c r="S183" t="inlineStr">
        <is>
          <t>B0C2K2PHL8</t>
        </is>
      </c>
      <c r="U183" t="n">
        <v>1.6644881</v>
      </c>
      <c r="V183" t="n">
        <v>6.61</v>
      </c>
      <c r="W183" t="n">
        <v>11.55</v>
      </c>
      <c r="X183" t="inlineStr">
        <is>
          <t>196474609983</t>
        </is>
      </c>
      <c r="Y183" t="inlineStr">
        <is>
          <t>NLF94</t>
        </is>
      </c>
      <c r="Z183" t="inlineStr">
        <is>
          <t>NLF94</t>
        </is>
      </c>
      <c r="AA183" t="inlineStr">
        <is>
          <t>Almost Pink/White/Almost Pink</t>
        </is>
      </c>
      <c r="AB183" t="inlineStr">
        <is>
          <t>0196474609983</t>
        </is>
      </c>
      <c r="AC183" t="inlineStr">
        <is>
          <t>no Amazon offer exists</t>
        </is>
      </c>
      <c r="AD183" t="inlineStr">
        <is>
          <t>adidas</t>
        </is>
      </c>
      <c r="AE183" t="inlineStr">
        <is>
          <t>6.5</t>
        </is>
      </c>
      <c r="AF183"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3" t="inlineStr">
        <is>
          <t>Description
adidas womens VL Court 3.0</t>
        </is>
      </c>
    </row>
    <row r="184">
      <c r="A184" t="inlineStr">
        <is>
          <t>com</t>
        </is>
      </c>
      <c r="B184" t="inlineStr">
        <is>
          <t>B0C2JZ5DY1</t>
        </is>
      </c>
      <c r="C184" t="inlineStr">
        <is>
          <t>adidas Women's VL Court 3.0 Sneaker</t>
        </is>
      </c>
      <c r="D184" t="n">
        <v>109.9</v>
      </c>
      <c r="E184" t="n">
        <v>109.9</v>
      </c>
      <c r="F184" t="n">
        <v>815</v>
      </c>
      <c r="G184" t="n">
        <v>1704</v>
      </c>
      <c r="H184" t="n">
        <v>69.78</v>
      </c>
      <c r="I184" t="n">
        <v>71.34999999999999</v>
      </c>
      <c r="J184" t="n">
        <v>0.33</v>
      </c>
      <c r="K184" t="n">
        <v>0.9399999999999999</v>
      </c>
      <c r="L184" t="n">
        <v>2</v>
      </c>
      <c r="M184" t="n">
        <v>3</v>
      </c>
      <c r="N184" t="n">
        <v>4.5</v>
      </c>
      <c r="O184" t="n">
        <v>2</v>
      </c>
      <c r="P184" t="n">
        <v>1566</v>
      </c>
      <c r="Q184" t="n">
        <v>47</v>
      </c>
      <c r="R184" t="n">
        <v>134</v>
      </c>
      <c r="S184" t="inlineStr">
        <is>
          <t>B0C2K2PHL8</t>
        </is>
      </c>
      <c r="U184" t="n">
        <v>1.58953102</v>
      </c>
      <c r="V184" t="n">
        <v>6.61</v>
      </c>
      <c r="W184" t="inlineStr"/>
      <c r="X184" t="inlineStr">
        <is>
          <t>196474607569</t>
        </is>
      </c>
      <c r="Y184" t="inlineStr">
        <is>
          <t>NLF94</t>
        </is>
      </c>
      <c r="Z184" t="inlineStr">
        <is>
          <t>NLF94</t>
        </is>
      </c>
      <c r="AA184" t="inlineStr">
        <is>
          <t>Almost Pink/White/Almost Pink</t>
        </is>
      </c>
      <c r="AB184" t="inlineStr">
        <is>
          <t>0196474607569</t>
        </is>
      </c>
      <c r="AC184" t="inlineStr">
        <is>
          <t>no Amazon offer exists</t>
        </is>
      </c>
      <c r="AD184" t="inlineStr">
        <is>
          <t>adidas</t>
        </is>
      </c>
      <c r="AE184" t="inlineStr">
        <is>
          <t>7</t>
        </is>
      </c>
      <c r="AF184"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4" t="inlineStr">
        <is>
          <t>Description
adidas womens VL Court 3.0</t>
        </is>
      </c>
    </row>
    <row r="185">
      <c r="A185" t="inlineStr">
        <is>
          <t>com</t>
        </is>
      </c>
      <c r="B185" t="inlineStr">
        <is>
          <t>B0C2JZC5DT</t>
        </is>
      </c>
      <c r="C185" t="inlineStr">
        <is>
          <t>adidas Women's VL Court 3.0 Sneaker</t>
        </is>
      </c>
      <c r="D185" t="n">
        <v>86.51000000000001</v>
      </c>
      <c r="E185" t="n">
        <v>86.51000000000001</v>
      </c>
      <c r="F185" t="n">
        <v>815</v>
      </c>
      <c r="G185" t="n">
        <v>1666</v>
      </c>
      <c r="H185" t="n">
        <v>74.06</v>
      </c>
      <c r="I185" t="n">
        <v>72.55</v>
      </c>
      <c r="J185" t="n">
        <v>0</v>
      </c>
      <c r="K185" t="n">
        <v>0.88</v>
      </c>
      <c r="L185" t="n">
        <v>5</v>
      </c>
      <c r="M185" t="n">
        <v>8</v>
      </c>
      <c r="N185" t="n">
        <v>4.5</v>
      </c>
      <c r="O185" t="n">
        <v>4</v>
      </c>
      <c r="P185" t="n">
        <v>1570</v>
      </c>
      <c r="Q185" t="n">
        <v>91</v>
      </c>
      <c r="R185" t="n">
        <v>229</v>
      </c>
      <c r="S185" t="inlineStr">
        <is>
          <t>B0C2K2PHL8</t>
        </is>
      </c>
      <c r="U185" t="n">
        <v>1.7747191</v>
      </c>
      <c r="V185" t="n">
        <v>7.78</v>
      </c>
      <c r="W185" t="inlineStr"/>
      <c r="X185" t="inlineStr">
        <is>
          <t>196474609990</t>
        </is>
      </c>
      <c r="Y185" t="inlineStr">
        <is>
          <t>NLF94</t>
        </is>
      </c>
      <c r="Z185" t="inlineStr">
        <is>
          <t>NLF94</t>
        </is>
      </c>
      <c r="AA185" t="inlineStr">
        <is>
          <t>Almost Pink/White/Almost Pink</t>
        </is>
      </c>
      <c r="AB185" t="inlineStr">
        <is>
          <t>0196474609990</t>
        </is>
      </c>
      <c r="AC185" t="inlineStr">
        <is>
          <t>no Amazon offer exists</t>
        </is>
      </c>
      <c r="AD185" t="inlineStr">
        <is>
          <t>adidas</t>
        </is>
      </c>
      <c r="AE185" t="inlineStr">
        <is>
          <t>7.5</t>
        </is>
      </c>
      <c r="AF185"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5" t="inlineStr">
        <is>
          <t>Description
adidas womens VL Court 3.0</t>
        </is>
      </c>
    </row>
    <row r="186">
      <c r="A186" t="inlineStr">
        <is>
          <t>com</t>
        </is>
      </c>
      <c r="B186" t="inlineStr">
        <is>
          <t>B0C2JWZVNP</t>
        </is>
      </c>
      <c r="C186" t="inlineStr">
        <is>
          <t>adidas Women's VL Court 3.0 Sneaker</t>
        </is>
      </c>
      <c r="D186" t="n">
        <v>78.98999999999999</v>
      </c>
      <c r="E186" t="n">
        <v>78.98999999999999</v>
      </c>
      <c r="F186" t="n">
        <v>815</v>
      </c>
      <c r="G186" t="n">
        <v>1696</v>
      </c>
      <c r="H186" t="n">
        <v>74.31</v>
      </c>
      <c r="I186" t="n">
        <v>74.38</v>
      </c>
      <c r="J186" t="n">
        <v>0.07000000000000001</v>
      </c>
      <c r="K186" t="n">
        <v>0.9</v>
      </c>
      <c r="L186" t="n">
        <v>4</v>
      </c>
      <c r="M186" t="n">
        <v>4</v>
      </c>
      <c r="N186" t="n">
        <v>4.5</v>
      </c>
      <c r="O186" t="n">
        <v>4</v>
      </c>
      <c r="P186" t="n">
        <v>1570</v>
      </c>
      <c r="Q186" t="n">
        <v>67</v>
      </c>
      <c r="R186" t="n">
        <v>183</v>
      </c>
      <c r="S186" t="inlineStr">
        <is>
          <t>B0C2K2PHL8</t>
        </is>
      </c>
      <c r="U186" t="n">
        <v>1.94667946</v>
      </c>
      <c r="V186" t="n">
        <v>7.7</v>
      </c>
      <c r="W186" t="n">
        <v>11.85</v>
      </c>
      <c r="X186" t="inlineStr">
        <is>
          <t>196474607552</t>
        </is>
      </c>
      <c r="Y186" t="inlineStr">
        <is>
          <t>NLF94</t>
        </is>
      </c>
      <c r="Z186" t="inlineStr">
        <is>
          <t>NLF94</t>
        </is>
      </c>
      <c r="AA186" t="inlineStr">
        <is>
          <t>Almost Pink/White/Almost Pink</t>
        </is>
      </c>
      <c r="AB186" t="inlineStr">
        <is>
          <t>0196474607552</t>
        </is>
      </c>
      <c r="AC186" t="inlineStr">
        <is>
          <t>no Amazon offer exists</t>
        </is>
      </c>
      <c r="AD186" t="inlineStr">
        <is>
          <t>adidas</t>
        </is>
      </c>
      <c r="AE186" t="inlineStr">
        <is>
          <t>8</t>
        </is>
      </c>
      <c r="AF186"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6" t="inlineStr">
        <is>
          <t>Description
adidas womens VL Court 3.0</t>
        </is>
      </c>
    </row>
    <row r="187">
      <c r="A187" t="inlineStr">
        <is>
          <t>com</t>
        </is>
      </c>
      <c r="B187" t="inlineStr">
        <is>
          <t>B0C2JZTRC5</t>
        </is>
      </c>
      <c r="C187" t="inlineStr">
        <is>
          <t>adidas Women's VL Court 3.0 Sneaker</t>
        </is>
      </c>
      <c r="D187" t="n">
        <v>74.44</v>
      </c>
      <c r="E187" t="n">
        <v>74.44</v>
      </c>
      <c r="F187" t="n">
        <v>815</v>
      </c>
      <c r="G187" t="n">
        <v>1693</v>
      </c>
      <c r="H187" t="n">
        <v>77.63</v>
      </c>
      <c r="I187" t="n">
        <v>76.77</v>
      </c>
      <c r="J187" t="n">
        <v>0</v>
      </c>
      <c r="K187" t="n">
        <v>1</v>
      </c>
      <c r="L187" t="n">
        <v>7</v>
      </c>
      <c r="M187" t="n">
        <v>10</v>
      </c>
      <c r="N187" t="n">
        <v>4.5</v>
      </c>
      <c r="O187" t="n">
        <v>4</v>
      </c>
      <c r="P187" t="n">
        <v>1569</v>
      </c>
      <c r="Q187" t="n">
        <v>83</v>
      </c>
      <c r="R187" t="n">
        <v>208</v>
      </c>
      <c r="S187" t="inlineStr">
        <is>
          <t>B0C2K2PHL8</t>
        </is>
      </c>
      <c r="U187" t="n">
        <v>1.67992044</v>
      </c>
      <c r="V187" t="n">
        <v>7.7</v>
      </c>
      <c r="W187" t="n">
        <v>11.17</v>
      </c>
      <c r="X187" t="inlineStr">
        <is>
          <t>196474607491</t>
        </is>
      </c>
      <c r="Y187" t="inlineStr">
        <is>
          <t>NLF94</t>
        </is>
      </c>
      <c r="Z187" t="inlineStr">
        <is>
          <t>NLF94</t>
        </is>
      </c>
      <c r="AA187" t="inlineStr">
        <is>
          <t>Almost Pink/White/Almost Pink</t>
        </is>
      </c>
      <c r="AB187" t="inlineStr">
        <is>
          <t>0196474607491</t>
        </is>
      </c>
      <c r="AC187" t="inlineStr">
        <is>
          <t>no Amazon offer exists</t>
        </is>
      </c>
      <c r="AD187" t="inlineStr">
        <is>
          <t>adidas</t>
        </is>
      </c>
      <c r="AE187" t="inlineStr">
        <is>
          <t>8.5</t>
        </is>
      </c>
      <c r="AF187"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7" t="inlineStr">
        <is>
          <t>Description
adidas womens VL Court 3.0</t>
        </is>
      </c>
    </row>
    <row r="188">
      <c r="A188" t="inlineStr">
        <is>
          <t>com</t>
        </is>
      </c>
      <c r="B188" t="inlineStr">
        <is>
          <t>B0C2JZWZ2S</t>
        </is>
      </c>
      <c r="C188" t="inlineStr">
        <is>
          <t>adidas Women's VL Court 3.0 Sneaker</t>
        </is>
      </c>
      <c r="D188" t="n">
        <v>75.37</v>
      </c>
      <c r="E188" t="inlineStr"/>
      <c r="G188" t="n">
        <v>1669</v>
      </c>
      <c r="H188" t="n">
        <v>75.37</v>
      </c>
      <c r="I188" t="n">
        <v>74.23</v>
      </c>
      <c r="J188" t="n">
        <v>0.01</v>
      </c>
      <c r="K188" t="n">
        <v>0.86</v>
      </c>
      <c r="L188" t="n">
        <v>4</v>
      </c>
      <c r="M188" t="n">
        <v>2</v>
      </c>
      <c r="N188" t="n">
        <v>4.5</v>
      </c>
      <c r="O188" t="n">
        <v>6</v>
      </c>
      <c r="P188" t="n">
        <v>1569</v>
      </c>
      <c r="Q188" t="n">
        <v>95</v>
      </c>
      <c r="R188" t="n">
        <v>244</v>
      </c>
      <c r="S188" t="inlineStr">
        <is>
          <t>B0C2K2PHL8</t>
        </is>
      </c>
      <c r="U188" t="n">
        <v>0.83996022</v>
      </c>
      <c r="V188" t="n">
        <v>7.7</v>
      </c>
      <c r="W188" t="inlineStr"/>
      <c r="X188" t="inlineStr">
        <is>
          <t>196474607484</t>
        </is>
      </c>
      <c r="Y188" t="inlineStr">
        <is>
          <t>NLF94</t>
        </is>
      </c>
      <c r="Z188" t="inlineStr">
        <is>
          <t>NLF94</t>
        </is>
      </c>
      <c r="AA188" t="inlineStr">
        <is>
          <t>Almost Pink/White/Almost Pink</t>
        </is>
      </c>
      <c r="AB188" t="inlineStr">
        <is>
          <t>0196474607484</t>
        </is>
      </c>
      <c r="AC188" t="inlineStr">
        <is>
          <t>no Amazon offer exists</t>
        </is>
      </c>
      <c r="AD188" t="inlineStr">
        <is>
          <t>adidas</t>
        </is>
      </c>
      <c r="AE188" t="inlineStr">
        <is>
          <t>9</t>
        </is>
      </c>
      <c r="AF188"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8" t="inlineStr">
        <is>
          <t>Description
adidas womens VL Court 3.0</t>
        </is>
      </c>
    </row>
    <row r="189">
      <c r="A189" t="inlineStr">
        <is>
          <t>com</t>
        </is>
      </c>
      <c r="B189" t="inlineStr">
        <is>
          <t>B0C2JXBYT9</t>
        </is>
      </c>
      <c r="C189" t="inlineStr">
        <is>
          <t>adidas Women's VL Court 3.0 Sneaker</t>
        </is>
      </c>
      <c r="D189" t="n">
        <v>64.97</v>
      </c>
      <c r="E189" t="n">
        <v>64.97</v>
      </c>
      <c r="F189" t="n">
        <v>815</v>
      </c>
      <c r="G189" t="n">
        <v>1676</v>
      </c>
      <c r="H189" t="n">
        <v>74.88</v>
      </c>
      <c r="I189" t="n">
        <v>73.51000000000001</v>
      </c>
      <c r="J189" t="n">
        <v>0.01</v>
      </c>
      <c r="K189" t="n">
        <v>1</v>
      </c>
      <c r="L189" t="n">
        <v>8</v>
      </c>
      <c r="M189" t="n">
        <v>15</v>
      </c>
      <c r="N189" t="n">
        <v>4.5</v>
      </c>
      <c r="O189" t="n">
        <v>4</v>
      </c>
      <c r="P189" t="n">
        <v>1569</v>
      </c>
      <c r="Q189" t="n">
        <v>106</v>
      </c>
      <c r="R189" t="n">
        <v>268</v>
      </c>
      <c r="S189" t="inlineStr">
        <is>
          <t>B0C2K2PHL8</t>
        </is>
      </c>
      <c r="U189" t="n">
        <v>1.80999302</v>
      </c>
      <c r="V189" t="n">
        <v>7.7</v>
      </c>
      <c r="W189" t="n">
        <v>9.75</v>
      </c>
      <c r="X189" t="inlineStr">
        <is>
          <t>196474610019</t>
        </is>
      </c>
      <c r="Y189" t="inlineStr">
        <is>
          <t>NLF94</t>
        </is>
      </c>
      <c r="Z189" t="inlineStr">
        <is>
          <t>NLF94</t>
        </is>
      </c>
      <c r="AA189" t="inlineStr">
        <is>
          <t>Almost Pink/White/Almost Pink</t>
        </is>
      </c>
      <c r="AB189" t="inlineStr">
        <is>
          <t>0196474610019</t>
        </is>
      </c>
      <c r="AC189" t="inlineStr">
        <is>
          <t>no Amazon offer exists</t>
        </is>
      </c>
      <c r="AD189" t="inlineStr">
        <is>
          <t>adidas</t>
        </is>
      </c>
      <c r="AE189" t="inlineStr">
        <is>
          <t>9.5</t>
        </is>
      </c>
      <c r="AF189"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89" t="inlineStr">
        <is>
          <t>Description
adidas womens VL Court 3.0</t>
        </is>
      </c>
    </row>
    <row r="190">
      <c r="A190" t="inlineStr">
        <is>
          <t>com</t>
        </is>
      </c>
      <c r="B190" t="inlineStr">
        <is>
          <t>B0C2JYCYTX</t>
        </is>
      </c>
      <c r="C190" t="inlineStr">
        <is>
          <t>adidas Women's VL Court 3.0 Sneaker</t>
        </is>
      </c>
      <c r="D190" t="n">
        <v>66.72</v>
      </c>
      <c r="E190" t="n">
        <v>64.77</v>
      </c>
      <c r="F190" t="n">
        <v>815</v>
      </c>
      <c r="G190" t="n">
        <v>1685</v>
      </c>
      <c r="H190" t="n">
        <v>69.52</v>
      </c>
      <c r="I190" t="n">
        <v>71.45999999999999</v>
      </c>
      <c r="J190" t="n">
        <v>0.23</v>
      </c>
      <c r="K190" t="n">
        <v>1</v>
      </c>
      <c r="L190" t="n">
        <v>14</v>
      </c>
      <c r="M190" t="n">
        <v>19</v>
      </c>
      <c r="N190" t="n">
        <v>4.5</v>
      </c>
      <c r="O190" t="n">
        <v>2</v>
      </c>
      <c r="P190" t="n">
        <v>1569</v>
      </c>
      <c r="Q190" t="n">
        <v>141</v>
      </c>
      <c r="R190" t="n">
        <v>284</v>
      </c>
      <c r="S190" t="inlineStr">
        <is>
          <t>B0C2K2PHL8</t>
        </is>
      </c>
      <c r="U190" t="n">
        <v>1.8298346</v>
      </c>
      <c r="V190" t="n">
        <v>7.7</v>
      </c>
      <c r="W190" t="n">
        <v>10.01</v>
      </c>
      <c r="X190" t="inlineStr">
        <is>
          <t>196474607521</t>
        </is>
      </c>
      <c r="Y190" t="inlineStr">
        <is>
          <t>NLF94</t>
        </is>
      </c>
      <c r="Z190" t="inlineStr">
        <is>
          <t>NLF94</t>
        </is>
      </c>
      <c r="AA190" t="inlineStr">
        <is>
          <t>Almost Pink/White/Almost Pink</t>
        </is>
      </c>
      <c r="AB190" t="inlineStr">
        <is>
          <t>0196474607521</t>
        </is>
      </c>
      <c r="AC190" t="inlineStr">
        <is>
          <t>no Amazon offer exists</t>
        </is>
      </c>
      <c r="AD190" t="inlineStr">
        <is>
          <t>adidas</t>
        </is>
      </c>
      <c r="AE190" t="inlineStr">
        <is>
          <t>10</t>
        </is>
      </c>
      <c r="AF190"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90" t="inlineStr">
        <is>
          <t>Description
adidas womens VL Court 3.0</t>
        </is>
      </c>
    </row>
    <row r="191">
      <c r="A191" t="inlineStr">
        <is>
          <t>com</t>
        </is>
      </c>
      <c r="B191" t="inlineStr">
        <is>
          <t>B0C2JZRG6S</t>
        </is>
      </c>
      <c r="C191" t="inlineStr">
        <is>
          <t>adidas Women's VL Court 3.0 Sneaker</t>
        </is>
      </c>
      <c r="D191" t="n">
        <v>69.98999999999999</v>
      </c>
      <c r="E191" t="n">
        <v>69.98999999999999</v>
      </c>
      <c r="F191" t="n">
        <v>815</v>
      </c>
      <c r="G191" t="n">
        <v>1681</v>
      </c>
      <c r="H191" t="n">
        <v>64.51000000000001</v>
      </c>
      <c r="I191" t="n">
        <v>66.8</v>
      </c>
      <c r="J191" t="n">
        <v>0.01</v>
      </c>
      <c r="K191" t="n">
        <v>0.27</v>
      </c>
      <c r="L191" t="n">
        <v>3</v>
      </c>
      <c r="M191" t="n">
        <v>3</v>
      </c>
      <c r="N191" t="n">
        <v>4.5</v>
      </c>
      <c r="O191" t="n">
        <v>1</v>
      </c>
      <c r="P191" t="n">
        <v>1569</v>
      </c>
      <c r="Q191" t="n">
        <v>106</v>
      </c>
      <c r="R191" t="n">
        <v>253</v>
      </c>
      <c r="S191" t="inlineStr">
        <is>
          <t>B0C2K2PHL8</t>
        </is>
      </c>
      <c r="U191" t="n">
        <v>1.95990718</v>
      </c>
      <c r="V191" t="n">
        <v>7.86</v>
      </c>
      <c r="W191" t="n">
        <v>10.5</v>
      </c>
      <c r="X191" t="inlineStr">
        <is>
          <t>196474607507</t>
        </is>
      </c>
      <c r="Y191" t="inlineStr">
        <is>
          <t>NLF94</t>
        </is>
      </c>
      <c r="Z191" t="inlineStr">
        <is>
          <t>NLF94</t>
        </is>
      </c>
      <c r="AA191" t="inlineStr">
        <is>
          <t>Almost Pink/White/Almost Pink</t>
        </is>
      </c>
      <c r="AB191" t="inlineStr">
        <is>
          <t>0196474607507</t>
        </is>
      </c>
      <c r="AC191" t="inlineStr">
        <is>
          <t>no Amazon offer exists</t>
        </is>
      </c>
      <c r="AD191" t="inlineStr">
        <is>
          <t>adidas</t>
        </is>
      </c>
      <c r="AE191" t="inlineStr">
        <is>
          <t>11</t>
        </is>
      </c>
      <c r="AF191" t="inlineStr">
        <is>
          <t>https://m.media-amazon.com/images/I/41y7Fz5u4bL.jpg;https://m.media-amazon.com/images/I/41eWGfPZV5L.jpg;https://m.media-amazon.com/images/I/51FDeOA3vCL.jpg;https://m.media-amazon.com/images/I/41M9kiQeN2L.jpg;https://m.media-amazon.com/images/I/51Q6TQqqU0L.jpg;https://m.media-amazon.com/images/I/413CgCPvQQL.jpg;https://m.media-amazon.com/images/I/41Lf8UMp70L.jpg;https://m.media-amazon.com/images/I/61d4LEGgEoL.jpg;https://m.media-amazon.com/images/I/81E-gQyP9nL.jpg</t>
        </is>
      </c>
      <c r="AG191" t="inlineStr">
        <is>
          <t>Description
adidas womens VL Court 3.0</t>
        </is>
      </c>
    </row>
    <row r="192">
      <c r="A192" t="inlineStr">
        <is>
          <t>com</t>
        </is>
      </c>
      <c r="B192" t="inlineStr">
        <is>
          <t>B0CKMM8LVR</t>
        </is>
      </c>
      <c r="C192" t="inlineStr">
        <is>
          <t>adidas Women's Vl Court 3.0 Sneaker, Off White/Night Indigo/Gum, 5</t>
        </is>
      </c>
      <c r="D192" t="n">
        <v>129</v>
      </c>
      <c r="E192" t="n">
        <v>129</v>
      </c>
      <c r="F192" t="n">
        <v>815</v>
      </c>
      <c r="G192" t="n">
        <v>1749</v>
      </c>
      <c r="H192" t="n">
        <v>55.95</v>
      </c>
      <c r="I192" t="n">
        <v>72.98</v>
      </c>
      <c r="J192" t="n">
        <v>0.41</v>
      </c>
      <c r="K192" t="n">
        <v>1</v>
      </c>
      <c r="L192" t="n">
        <v>2</v>
      </c>
      <c r="N192" t="n">
        <v>4.5</v>
      </c>
      <c r="O192" t="n">
        <v>0</v>
      </c>
      <c r="P192" t="n">
        <v>1556</v>
      </c>
      <c r="Q192" t="n">
        <v>36</v>
      </c>
      <c r="R192" t="n">
        <v>117</v>
      </c>
      <c r="S192" t="inlineStr">
        <is>
          <t>B0C2K2PHL8</t>
        </is>
      </c>
      <c r="U192" t="n">
        <v>1.3889106</v>
      </c>
      <c r="V192" t="n">
        <v>6.61</v>
      </c>
      <c r="W192" t="inlineStr"/>
      <c r="X192" t="inlineStr">
        <is>
          <t>196478214251</t>
        </is>
      </c>
      <c r="Y192" t="inlineStr">
        <is>
          <t>NJY45</t>
        </is>
      </c>
      <c r="Z192" t="inlineStr">
        <is>
          <t>NJY45</t>
        </is>
      </c>
      <c r="AA192" t="inlineStr">
        <is>
          <t>Off White/Night Indigo/Gum</t>
        </is>
      </c>
      <c r="AB192" t="inlineStr">
        <is>
          <t>0196478214251</t>
        </is>
      </c>
      <c r="AC192" t="inlineStr">
        <is>
          <t>no Amazon offer exists</t>
        </is>
      </c>
      <c r="AD192" t="inlineStr">
        <is>
          <t>adidas</t>
        </is>
      </c>
      <c r="AE192" t="inlineStr">
        <is>
          <t>5</t>
        </is>
      </c>
      <c r="AF192"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2" t="inlineStr">
        <is>
          <t>Description
adidas womens VL Court 3.0</t>
        </is>
      </c>
    </row>
    <row r="193">
      <c r="A193" t="inlineStr">
        <is>
          <t>com</t>
        </is>
      </c>
      <c r="B193" t="inlineStr">
        <is>
          <t>B0CKMMP5YK</t>
        </is>
      </c>
      <c r="C193" t="inlineStr">
        <is>
          <t>adidas Women's Vl Court 3.0 Sneaker, Off White/Night Indigo/Gum, 5.5</t>
        </is>
      </c>
      <c r="D193" t="n">
        <v>73.23999999999999</v>
      </c>
      <c r="E193" t="inlineStr"/>
      <c r="F193" t="n">
        <v>815</v>
      </c>
      <c r="G193" t="n">
        <v>1682</v>
      </c>
      <c r="H193" t="n">
        <v>73.23999999999999</v>
      </c>
      <c r="I193" t="n">
        <v>68.34</v>
      </c>
      <c r="J193" t="n">
        <v>0.87</v>
      </c>
      <c r="K193" t="n">
        <v>0.95</v>
      </c>
      <c r="L193" t="n">
        <v>1</v>
      </c>
      <c r="N193" t="n">
        <v>4.5</v>
      </c>
      <c r="O193" t="n">
        <v>1</v>
      </c>
      <c r="P193" t="n">
        <v>1562</v>
      </c>
      <c r="Q193" t="n">
        <v>18</v>
      </c>
      <c r="R193" t="n">
        <v>83</v>
      </c>
      <c r="S193" t="inlineStr">
        <is>
          <t>B0C2K2PHL8</t>
        </is>
      </c>
      <c r="U193" t="n">
        <v>1.4109568</v>
      </c>
      <c r="V193" t="n">
        <v>6.61</v>
      </c>
      <c r="W193" t="inlineStr"/>
      <c r="X193" t="inlineStr">
        <is>
          <t>196478214275</t>
        </is>
      </c>
      <c r="Y193" t="inlineStr">
        <is>
          <t>NJY45</t>
        </is>
      </c>
      <c r="Z193" t="inlineStr">
        <is>
          <t>NJY45</t>
        </is>
      </c>
      <c r="AA193" t="inlineStr">
        <is>
          <t>Off White/Night Indigo/Gum</t>
        </is>
      </c>
      <c r="AB193" t="inlineStr">
        <is>
          <t>0196478214275</t>
        </is>
      </c>
      <c r="AC193" t="inlineStr">
        <is>
          <t>no Amazon offer exists</t>
        </is>
      </c>
      <c r="AD193" t="inlineStr">
        <is>
          <t>adidas</t>
        </is>
      </c>
      <c r="AE193" t="inlineStr">
        <is>
          <t>5.5</t>
        </is>
      </c>
      <c r="AF193"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3" t="inlineStr">
        <is>
          <t>Description
adidas womens VL Court 3.0</t>
        </is>
      </c>
    </row>
    <row r="194">
      <c r="A194" t="inlineStr">
        <is>
          <t>com</t>
        </is>
      </c>
      <c r="B194" t="inlineStr">
        <is>
          <t>B0CKMMNSQB</t>
        </is>
      </c>
      <c r="C194" t="inlineStr">
        <is>
          <t>adidas Women's Vl Court 3.0 Sneaker, Off White/Night Indigo/Gum, 6</t>
        </is>
      </c>
      <c r="D194" t="n">
        <v>84.56999999999999</v>
      </c>
      <c r="E194" t="n">
        <v>84.56999999999999</v>
      </c>
      <c r="F194" t="n">
        <v>815</v>
      </c>
      <c r="G194" t="n">
        <v>1695</v>
      </c>
      <c r="H194" t="n">
        <v>64.77</v>
      </c>
      <c r="I194" t="n">
        <v>69.40000000000001</v>
      </c>
      <c r="J194" t="n">
        <v>0.1</v>
      </c>
      <c r="K194" t="n">
        <v>0.88</v>
      </c>
      <c r="L194" t="n">
        <v>4</v>
      </c>
      <c r="M194" t="n">
        <v>5</v>
      </c>
      <c r="N194" t="n">
        <v>4.5</v>
      </c>
      <c r="O194" t="n">
        <v>0</v>
      </c>
      <c r="P194" t="n">
        <v>1562</v>
      </c>
      <c r="Q194" t="n">
        <v>59</v>
      </c>
      <c r="R194" t="n">
        <v>166</v>
      </c>
      <c r="S194" t="inlineStr">
        <is>
          <t>B0C2K2PHL8</t>
        </is>
      </c>
      <c r="U194" t="n">
        <v>1.43079838</v>
      </c>
      <c r="V194" t="n">
        <v>7.03</v>
      </c>
      <c r="W194" t="inlineStr"/>
      <c r="X194" t="inlineStr">
        <is>
          <t>196478214206</t>
        </is>
      </c>
      <c r="Y194" t="inlineStr">
        <is>
          <t>NJY45</t>
        </is>
      </c>
      <c r="Z194" t="inlineStr">
        <is>
          <t>NJY45</t>
        </is>
      </c>
      <c r="AA194" t="inlineStr">
        <is>
          <t>Off White/Night Indigo/Gum</t>
        </is>
      </c>
      <c r="AB194" t="inlineStr">
        <is>
          <t>0196478214206</t>
        </is>
      </c>
      <c r="AC194" t="inlineStr">
        <is>
          <t>no Amazon offer exists</t>
        </is>
      </c>
      <c r="AD194" t="inlineStr">
        <is>
          <t>adidas</t>
        </is>
      </c>
      <c r="AE194" t="inlineStr">
        <is>
          <t>6</t>
        </is>
      </c>
      <c r="AF194"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4" t="inlineStr">
        <is>
          <t>Description
adidas womens VL Court 3.0</t>
        </is>
      </c>
    </row>
    <row r="195">
      <c r="A195" t="inlineStr">
        <is>
          <t>com</t>
        </is>
      </c>
      <c r="B195" t="inlineStr">
        <is>
          <t>B0CKMR8LRT</t>
        </is>
      </c>
      <c r="C195" t="inlineStr">
        <is>
          <t>adidas Women's Vl Court 3.0 Sneaker, Off White/Night Indigo/Gum, 6.5</t>
        </is>
      </c>
      <c r="D195" t="n">
        <v>99</v>
      </c>
      <c r="E195" t="n">
        <v>99</v>
      </c>
      <c r="F195" t="n">
        <v>815</v>
      </c>
      <c r="G195" t="n">
        <v>1689</v>
      </c>
      <c r="H195" t="n">
        <v>69.16</v>
      </c>
      <c r="I195" t="n">
        <v>72.04000000000001</v>
      </c>
      <c r="J195" t="n">
        <v>0.15</v>
      </c>
      <c r="K195" t="n">
        <v>0.77</v>
      </c>
      <c r="L195" t="n">
        <v>4</v>
      </c>
      <c r="M195" t="n">
        <v>3</v>
      </c>
      <c r="N195" t="n">
        <v>4.5</v>
      </c>
      <c r="O195" t="n">
        <v>1</v>
      </c>
      <c r="P195" t="n">
        <v>1569</v>
      </c>
      <c r="Q195" t="n">
        <v>67</v>
      </c>
      <c r="R195" t="n">
        <v>161</v>
      </c>
      <c r="S195" t="inlineStr">
        <is>
          <t>B0C2K2PHL8</t>
        </is>
      </c>
      <c r="U195" t="n">
        <v>1.51898318</v>
      </c>
      <c r="V195" t="n">
        <v>6.61</v>
      </c>
      <c r="W195" t="inlineStr"/>
      <c r="X195" t="inlineStr">
        <is>
          <t>196478214213</t>
        </is>
      </c>
      <c r="Y195" t="inlineStr">
        <is>
          <t>NJY45</t>
        </is>
      </c>
      <c r="Z195" t="inlineStr">
        <is>
          <t>NJY45</t>
        </is>
      </c>
      <c r="AA195" t="inlineStr">
        <is>
          <t>Off White/Night Indigo/Gum</t>
        </is>
      </c>
      <c r="AB195" t="inlineStr">
        <is>
          <t>0196478214213</t>
        </is>
      </c>
      <c r="AC195" t="inlineStr">
        <is>
          <t>no Amazon offer exists</t>
        </is>
      </c>
      <c r="AD195" t="inlineStr">
        <is>
          <t>adidas</t>
        </is>
      </c>
      <c r="AE195" t="inlineStr">
        <is>
          <t>6.5</t>
        </is>
      </c>
      <c r="AF195"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5" t="inlineStr">
        <is>
          <t>Description
adidas womens VL Court 3.0</t>
        </is>
      </c>
    </row>
    <row r="196">
      <c r="A196" t="inlineStr">
        <is>
          <t>com</t>
        </is>
      </c>
      <c r="B196" t="inlineStr">
        <is>
          <t>B0CKMNZSHQ</t>
        </is>
      </c>
      <c r="C196" t="inlineStr">
        <is>
          <t>adidas Women's Vl Court 3.0 Sneaker, Off White/Night Indigo/Gum, 7</t>
        </is>
      </c>
      <c r="D196" t="n">
        <v>97.45999999999999</v>
      </c>
      <c r="E196" t="n">
        <v>97.45999999999999</v>
      </c>
      <c r="F196" t="n">
        <v>815</v>
      </c>
      <c r="G196" t="n">
        <v>1682</v>
      </c>
      <c r="H196" t="n">
        <v>68.72</v>
      </c>
      <c r="I196" t="n">
        <v>69.58</v>
      </c>
      <c r="J196" t="n">
        <v>0.09</v>
      </c>
      <c r="K196" t="n">
        <v>0.89</v>
      </c>
      <c r="L196" t="n">
        <v>4</v>
      </c>
      <c r="M196" t="n">
        <v>3</v>
      </c>
      <c r="N196" t="n">
        <v>4.5</v>
      </c>
      <c r="O196" t="n">
        <v>6</v>
      </c>
      <c r="P196" t="n">
        <v>1570</v>
      </c>
      <c r="Q196" t="n">
        <v>59</v>
      </c>
      <c r="R196" t="n">
        <v>162</v>
      </c>
      <c r="S196" t="inlineStr">
        <is>
          <t>B0C2K2PHL8</t>
        </is>
      </c>
      <c r="U196" t="n">
        <v>1.58953102</v>
      </c>
      <c r="V196" t="n">
        <v>6.61</v>
      </c>
      <c r="W196" t="inlineStr"/>
      <c r="X196" t="inlineStr">
        <is>
          <t>196478214244</t>
        </is>
      </c>
      <c r="Y196" t="inlineStr">
        <is>
          <t>NJY45</t>
        </is>
      </c>
      <c r="Z196" t="inlineStr">
        <is>
          <t>NJY45</t>
        </is>
      </c>
      <c r="AA196" t="inlineStr">
        <is>
          <t>Off White/Night Indigo/Gum</t>
        </is>
      </c>
      <c r="AB196" t="inlineStr">
        <is>
          <t>0196478214244</t>
        </is>
      </c>
      <c r="AC196" t="inlineStr">
        <is>
          <t>no Amazon offer exists</t>
        </is>
      </c>
      <c r="AD196" t="inlineStr">
        <is>
          <t>adidas</t>
        </is>
      </c>
      <c r="AE196" t="inlineStr">
        <is>
          <t>7</t>
        </is>
      </c>
      <c r="AF196"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6" t="inlineStr">
        <is>
          <t>Description
adidas womens VL Court 3.0</t>
        </is>
      </c>
    </row>
    <row r="197">
      <c r="A197" t="inlineStr">
        <is>
          <t>com</t>
        </is>
      </c>
      <c r="B197" t="inlineStr">
        <is>
          <t>B0CKMPQVKM</t>
        </is>
      </c>
      <c r="C197" t="inlineStr">
        <is>
          <t>adidas Women's Vl Court 3.0 Sneaker, Off White/Night Indigo/Gum, 7.5</t>
        </is>
      </c>
      <c r="D197" t="n">
        <v>97.45999999999999</v>
      </c>
      <c r="E197" t="n">
        <v>97.45999999999999</v>
      </c>
      <c r="F197" t="n">
        <v>815</v>
      </c>
      <c r="G197" t="n">
        <v>1686</v>
      </c>
      <c r="H197" t="n">
        <v>71.15000000000001</v>
      </c>
      <c r="I197" t="n">
        <v>71.41</v>
      </c>
      <c r="J197" t="n">
        <v>0.08</v>
      </c>
      <c r="K197" t="n">
        <v>0.82</v>
      </c>
      <c r="L197" t="n">
        <v>3</v>
      </c>
      <c r="M197" t="n">
        <v>1</v>
      </c>
      <c r="N197" t="n">
        <v>4.5</v>
      </c>
      <c r="O197" t="n">
        <v>4</v>
      </c>
      <c r="P197" t="n">
        <v>1569</v>
      </c>
      <c r="Q197" t="n">
        <v>67</v>
      </c>
      <c r="R197" t="n">
        <v>171</v>
      </c>
      <c r="S197" t="inlineStr">
        <is>
          <t>B0C2K2PHL8</t>
        </is>
      </c>
      <c r="U197" t="n">
        <v>1.62921418</v>
      </c>
      <c r="V197" t="n">
        <v>7.7</v>
      </c>
      <c r="W197" t="inlineStr"/>
      <c r="X197" t="inlineStr">
        <is>
          <t>196478214237</t>
        </is>
      </c>
      <c r="Y197" t="inlineStr">
        <is>
          <t>NJY45</t>
        </is>
      </c>
      <c r="Z197" t="inlineStr">
        <is>
          <t>NJY45</t>
        </is>
      </c>
      <c r="AA197" t="inlineStr">
        <is>
          <t>Off White/Night Indigo/Gum</t>
        </is>
      </c>
      <c r="AB197" t="inlineStr">
        <is>
          <t>0196478214237</t>
        </is>
      </c>
      <c r="AC197" t="inlineStr">
        <is>
          <t>no Amazon offer exists</t>
        </is>
      </c>
      <c r="AD197" t="inlineStr">
        <is>
          <t>adidas</t>
        </is>
      </c>
      <c r="AE197" t="inlineStr">
        <is>
          <t>7.5</t>
        </is>
      </c>
      <c r="AF197"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7" t="inlineStr">
        <is>
          <t>Description
adidas womens VL Court 3.0</t>
        </is>
      </c>
    </row>
    <row r="198">
      <c r="A198" t="inlineStr">
        <is>
          <t>com</t>
        </is>
      </c>
      <c r="B198" t="inlineStr">
        <is>
          <t>B0CKMNC4BZ</t>
        </is>
      </c>
      <c r="C198" t="inlineStr">
        <is>
          <t>adidas Women's Vl Court 3.0 Sneaker, Off White/Night Indigo/Gum, 8</t>
        </is>
      </c>
      <c r="D198" t="n">
        <v>97.45999999999999</v>
      </c>
      <c r="E198" t="n">
        <v>97.45999999999999</v>
      </c>
      <c r="F198" t="n">
        <v>815</v>
      </c>
      <c r="G198" t="n">
        <v>1683</v>
      </c>
      <c r="H198" t="n">
        <v>68.47</v>
      </c>
      <c r="I198" t="n">
        <v>69.11</v>
      </c>
      <c r="J198" t="n">
        <v>0.31</v>
      </c>
      <c r="K198" t="n">
        <v>0.9</v>
      </c>
      <c r="L198" t="n">
        <v>3</v>
      </c>
      <c r="M198" t="n">
        <v>1</v>
      </c>
      <c r="N198" t="n">
        <v>4.5</v>
      </c>
      <c r="O198" t="n">
        <v>3</v>
      </c>
      <c r="P198" t="n">
        <v>1569</v>
      </c>
      <c r="Q198" t="n">
        <v>49</v>
      </c>
      <c r="R198" t="n">
        <v>149</v>
      </c>
      <c r="S198" t="inlineStr">
        <is>
          <t>B0C2K2PHL8</t>
        </is>
      </c>
      <c r="U198" t="n">
        <v>1.64905576</v>
      </c>
      <c r="V198" t="n">
        <v>7.7</v>
      </c>
      <c r="W198" t="inlineStr"/>
      <c r="X198" t="inlineStr">
        <is>
          <t>196478214190</t>
        </is>
      </c>
      <c r="Y198" t="inlineStr">
        <is>
          <t>NJY45</t>
        </is>
      </c>
      <c r="Z198" t="inlineStr">
        <is>
          <t>NJY45</t>
        </is>
      </c>
      <c r="AA198" t="inlineStr">
        <is>
          <t>Off White/Night Indigo/Gum</t>
        </is>
      </c>
      <c r="AB198" t="inlineStr">
        <is>
          <t>0196478214190</t>
        </is>
      </c>
      <c r="AC198" t="inlineStr">
        <is>
          <t>no Amazon offer exists</t>
        </is>
      </c>
      <c r="AD198" t="inlineStr">
        <is>
          <t>adidas</t>
        </is>
      </c>
      <c r="AE198" t="inlineStr">
        <is>
          <t>8</t>
        </is>
      </c>
      <c r="AF198"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8" t="inlineStr">
        <is>
          <t>Description
adidas womens VL Court 3.0</t>
        </is>
      </c>
    </row>
    <row r="199">
      <c r="A199" t="inlineStr">
        <is>
          <t>com</t>
        </is>
      </c>
      <c r="B199" t="inlineStr">
        <is>
          <t>B0CKMNNC42</t>
        </is>
      </c>
      <c r="C199" t="inlineStr">
        <is>
          <t>adidas Women's Vl Court 3.0 Sneaker, Off White/Night Indigo/Gum, 8.5</t>
        </is>
      </c>
      <c r="D199" t="n">
        <v>103.95</v>
      </c>
      <c r="E199" t="n">
        <v>103.95</v>
      </c>
      <c r="F199" t="n">
        <v>815</v>
      </c>
      <c r="G199" t="n">
        <v>1698</v>
      </c>
      <c r="H199" t="n">
        <v>71.34</v>
      </c>
      <c r="I199" t="n">
        <v>71.45999999999999</v>
      </c>
      <c r="J199" t="n">
        <v>0.04</v>
      </c>
      <c r="K199" t="n">
        <v>0.82</v>
      </c>
      <c r="L199" t="n">
        <v>4</v>
      </c>
      <c r="M199" t="n">
        <v>5</v>
      </c>
      <c r="N199" t="n">
        <v>4.5</v>
      </c>
      <c r="O199" t="n">
        <v>5</v>
      </c>
      <c r="P199" t="n">
        <v>1570</v>
      </c>
      <c r="Q199" t="n">
        <v>65</v>
      </c>
      <c r="R199" t="n">
        <v>169</v>
      </c>
      <c r="S199" t="inlineStr">
        <is>
          <t>B0C2K2PHL8</t>
        </is>
      </c>
      <c r="U199" t="n">
        <v>1.67992044</v>
      </c>
      <c r="V199" t="n">
        <v>7.7</v>
      </c>
      <c r="W199" t="inlineStr"/>
      <c r="X199" t="inlineStr">
        <is>
          <t>196478214220</t>
        </is>
      </c>
      <c r="Y199" t="inlineStr">
        <is>
          <t>NJY45</t>
        </is>
      </c>
      <c r="Z199" t="inlineStr">
        <is>
          <t>NJY45</t>
        </is>
      </c>
      <c r="AA199" t="inlineStr">
        <is>
          <t>Off White/Night Indigo/Gum</t>
        </is>
      </c>
      <c r="AB199" t="inlineStr">
        <is>
          <t>0196478214220</t>
        </is>
      </c>
      <c r="AC199" t="inlineStr">
        <is>
          <t>no Amazon offer exists</t>
        </is>
      </c>
      <c r="AD199" t="inlineStr">
        <is>
          <t>adidas</t>
        </is>
      </c>
      <c r="AE199" t="inlineStr">
        <is>
          <t>8.5</t>
        </is>
      </c>
      <c r="AF199"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199" t="inlineStr">
        <is>
          <t>Description
adidas womens VL Court 3.0</t>
        </is>
      </c>
    </row>
    <row r="200">
      <c r="A200" t="inlineStr">
        <is>
          <t>com</t>
        </is>
      </c>
      <c r="B200" t="inlineStr">
        <is>
          <t>B0CKMNQQFK</t>
        </is>
      </c>
      <c r="C200" t="inlineStr">
        <is>
          <t>adidas Women's Vl Court 3.0 Sneaker, Off White/Night Indigo/Gum, 9</t>
        </is>
      </c>
      <c r="D200" t="n">
        <v>71.36</v>
      </c>
      <c r="E200" t="inlineStr"/>
      <c r="F200" t="n">
        <v>753</v>
      </c>
      <c r="G200" t="n">
        <v>1723</v>
      </c>
      <c r="H200" t="n">
        <v>71.36</v>
      </c>
      <c r="I200" t="n">
        <v>69.61</v>
      </c>
      <c r="J200" t="n">
        <v>0.08</v>
      </c>
      <c r="K200" t="n">
        <v>0.89</v>
      </c>
      <c r="L200" t="n">
        <v>2</v>
      </c>
      <c r="M200" t="n">
        <v>1</v>
      </c>
      <c r="N200" t="n">
        <v>4.5</v>
      </c>
      <c r="O200" t="n">
        <v>3</v>
      </c>
      <c r="P200" t="n">
        <v>1570</v>
      </c>
      <c r="Q200" t="n">
        <v>54</v>
      </c>
      <c r="R200" t="n">
        <v>171</v>
      </c>
      <c r="S200" t="inlineStr">
        <is>
          <t>B0C2K2PHL8</t>
        </is>
      </c>
      <c r="U200" t="n">
        <v>0.83996022</v>
      </c>
      <c r="V200" t="n">
        <v>7.7</v>
      </c>
      <c r="W200" t="inlineStr"/>
      <c r="X200" t="inlineStr">
        <is>
          <t>196478214183</t>
        </is>
      </c>
      <c r="Y200" t="inlineStr">
        <is>
          <t>NJY45</t>
        </is>
      </c>
      <c r="Z200" t="inlineStr">
        <is>
          <t>NJY45</t>
        </is>
      </c>
      <c r="AA200" t="inlineStr">
        <is>
          <t>Off White/Night Indigo/Gum</t>
        </is>
      </c>
      <c r="AB200" t="inlineStr">
        <is>
          <t>0196478214183</t>
        </is>
      </c>
      <c r="AC200" t="inlineStr">
        <is>
          <t>no Amazon offer exists</t>
        </is>
      </c>
      <c r="AD200" t="inlineStr">
        <is>
          <t>adidas</t>
        </is>
      </c>
      <c r="AE200" t="inlineStr">
        <is>
          <t>9</t>
        </is>
      </c>
      <c r="AF200"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200" t="inlineStr">
        <is>
          <t>Description
adidas womens VL Court 3.0</t>
        </is>
      </c>
    </row>
    <row r="201">
      <c r="A201" t="inlineStr">
        <is>
          <t>com</t>
        </is>
      </c>
      <c r="B201" t="inlineStr">
        <is>
          <t>B0CKMQ54Q8</t>
        </is>
      </c>
      <c r="C201" t="inlineStr">
        <is>
          <t>adidas Women's Vl Court 3.0 Sneaker, Off White/Night Indigo/Gum, 9.5</t>
        </is>
      </c>
      <c r="D201" t="n">
        <v>70.34999999999999</v>
      </c>
      <c r="E201" t="inlineStr"/>
      <c r="F201" t="n">
        <v>815</v>
      </c>
      <c r="G201" t="n">
        <v>1683</v>
      </c>
      <c r="H201" t="n">
        <v>70.34999999999999</v>
      </c>
      <c r="I201" t="n">
        <v>70.31</v>
      </c>
      <c r="J201" t="n">
        <v>0.07000000000000001</v>
      </c>
      <c r="K201" t="n">
        <v>0.63</v>
      </c>
      <c r="L201" t="n">
        <v>3</v>
      </c>
      <c r="M201" t="n">
        <v>1</v>
      </c>
      <c r="N201" t="n">
        <v>4.5</v>
      </c>
      <c r="O201" t="n">
        <v>5</v>
      </c>
      <c r="P201" t="n">
        <v>1562</v>
      </c>
      <c r="Q201" t="n">
        <v>75</v>
      </c>
      <c r="R201" t="n">
        <v>195</v>
      </c>
      <c r="S201" t="inlineStr">
        <is>
          <t>B0C2K2PHL8</t>
        </is>
      </c>
      <c r="U201" t="n">
        <v>1.8188115</v>
      </c>
      <c r="V201" t="n">
        <v>7.62</v>
      </c>
      <c r="W201" t="inlineStr"/>
      <c r="X201" t="inlineStr">
        <is>
          <t>196478214169</t>
        </is>
      </c>
      <c r="Y201" t="inlineStr">
        <is>
          <t>NJY45</t>
        </is>
      </c>
      <c r="Z201" t="inlineStr">
        <is>
          <t>NJY45</t>
        </is>
      </c>
      <c r="AA201" t="inlineStr">
        <is>
          <t>Off White/Night Indigo/Gum</t>
        </is>
      </c>
      <c r="AB201" t="inlineStr">
        <is>
          <t>0196478214169</t>
        </is>
      </c>
      <c r="AC201" t="inlineStr">
        <is>
          <t>no Amazon offer exists</t>
        </is>
      </c>
      <c r="AD201" t="inlineStr">
        <is>
          <t>adidas</t>
        </is>
      </c>
      <c r="AE201" t="inlineStr">
        <is>
          <t>9.5</t>
        </is>
      </c>
      <c r="AF201"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201" t="inlineStr">
        <is>
          <t>Description
adidas womens VL Court 3.0</t>
        </is>
      </c>
    </row>
    <row r="202">
      <c r="A202" t="inlineStr">
        <is>
          <t>com</t>
        </is>
      </c>
      <c r="B202" t="inlineStr">
        <is>
          <t>B0CKMNZ36K</t>
        </is>
      </c>
      <c r="C202" t="inlineStr">
        <is>
          <t>adidas Women's Vl Court 3.0 Sneaker, Off White/Night Indigo/Gum, 10</t>
        </is>
      </c>
      <c r="D202" t="n">
        <v>75</v>
      </c>
      <c r="E202" t="n">
        <v>75</v>
      </c>
      <c r="F202" t="n">
        <v>815</v>
      </c>
      <c r="G202" t="n">
        <v>1681</v>
      </c>
      <c r="H202" t="n">
        <v>68.34999999999999</v>
      </c>
      <c r="I202" t="n">
        <v>69.02</v>
      </c>
      <c r="J202" t="n">
        <v>0</v>
      </c>
      <c r="K202" t="n">
        <v>0.58</v>
      </c>
      <c r="L202" t="n">
        <v>4</v>
      </c>
      <c r="M202" t="n">
        <v>1</v>
      </c>
      <c r="N202" t="n">
        <v>4.5</v>
      </c>
      <c r="O202" t="n">
        <v>4</v>
      </c>
      <c r="P202" t="n">
        <v>1562</v>
      </c>
      <c r="Q202" t="n">
        <v>64</v>
      </c>
      <c r="R202" t="n">
        <v>200</v>
      </c>
      <c r="S202" t="inlineStr">
        <is>
          <t>B0C2K2PHL8</t>
        </is>
      </c>
      <c r="U202" t="n">
        <v>2.07013818</v>
      </c>
      <c r="V202" t="n">
        <v>7.7</v>
      </c>
      <c r="W202" t="n">
        <v>11.25</v>
      </c>
      <c r="X202" t="inlineStr">
        <is>
          <t>196478214268</t>
        </is>
      </c>
      <c r="Y202" t="inlineStr">
        <is>
          <t>NJY45</t>
        </is>
      </c>
      <c r="Z202" t="inlineStr">
        <is>
          <t>NJY45</t>
        </is>
      </c>
      <c r="AA202" t="inlineStr">
        <is>
          <t>Off White/Night Indigo/Gum</t>
        </is>
      </c>
      <c r="AB202" t="inlineStr">
        <is>
          <t>0196478214268</t>
        </is>
      </c>
      <c r="AC202" t="inlineStr">
        <is>
          <t>Amazon offer is back-ordered</t>
        </is>
      </c>
      <c r="AD202" t="inlineStr">
        <is>
          <t>adidas</t>
        </is>
      </c>
      <c r="AE202" t="inlineStr">
        <is>
          <t>10</t>
        </is>
      </c>
      <c r="AF202"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202" t="inlineStr">
        <is>
          <t>Description
adidas womens VL Court 3.0</t>
        </is>
      </c>
    </row>
    <row r="203">
      <c r="A203" t="inlineStr">
        <is>
          <t>com</t>
        </is>
      </c>
      <c r="B203" t="inlineStr">
        <is>
          <t>B0CKMNHDHV</t>
        </is>
      </c>
      <c r="C203" t="inlineStr">
        <is>
          <t>adidas Women's Vl Court 3.0 Sneaker, Off White/Night Indigo/Gum, 11</t>
        </is>
      </c>
      <c r="D203" t="n">
        <v>75</v>
      </c>
      <c r="E203" t="n">
        <v>75</v>
      </c>
      <c r="F203" t="n">
        <v>815</v>
      </c>
      <c r="G203" t="n">
        <v>1677</v>
      </c>
      <c r="H203" t="n">
        <v>67.31999999999999</v>
      </c>
      <c r="I203" t="n">
        <v>66.13</v>
      </c>
      <c r="J203" t="n">
        <v>0.17</v>
      </c>
      <c r="K203" t="n">
        <v>0.19</v>
      </c>
      <c r="L203" t="n">
        <v>2</v>
      </c>
      <c r="N203" t="n">
        <v>4.5</v>
      </c>
      <c r="O203" t="n">
        <v>1</v>
      </c>
      <c r="P203" t="n">
        <v>1566</v>
      </c>
      <c r="Q203" t="n">
        <v>44</v>
      </c>
      <c r="R203" t="n">
        <v>133</v>
      </c>
      <c r="S203" t="inlineStr">
        <is>
          <t>B0C2K2PHL8</t>
        </is>
      </c>
      <c r="U203" t="n">
        <v>2.01061344</v>
      </c>
      <c r="V203" t="n">
        <v>7.86</v>
      </c>
      <c r="W203" t="n">
        <v>11.25</v>
      </c>
      <c r="X203" t="inlineStr">
        <is>
          <t>196478214176</t>
        </is>
      </c>
      <c r="Y203" t="inlineStr">
        <is>
          <t>NJY45</t>
        </is>
      </c>
      <c r="Z203" t="inlineStr">
        <is>
          <t>NJY45</t>
        </is>
      </c>
      <c r="AA203" t="inlineStr">
        <is>
          <t>Off White/Night Indigo/Gum</t>
        </is>
      </c>
      <c r="AB203" t="inlineStr">
        <is>
          <t>0196478214176</t>
        </is>
      </c>
      <c r="AC203" t="inlineStr">
        <is>
          <t>Amazon offer is back-ordered</t>
        </is>
      </c>
      <c r="AD203" t="inlineStr">
        <is>
          <t>adidas</t>
        </is>
      </c>
      <c r="AE203" t="inlineStr">
        <is>
          <t>11</t>
        </is>
      </c>
      <c r="AF203" t="inlineStr">
        <is>
          <t>https://m.media-amazon.com/images/I/71ycJ1WihDL.jpg;https://m.media-amazon.com/images/I/61LsUn6aSLL.jpg;https://m.media-amazon.com/images/I/71MzOMbygTL.jpg;https://m.media-amazon.com/images/I/71vKF5UpKGL.jpg;https://m.media-amazon.com/images/I/91mh2mGT1nL.jpg;https://m.media-amazon.com/images/I/71C-ALF+I0L.jpg;https://m.media-amazon.com/images/I/71pu0LAAcoL.jpg</t>
        </is>
      </c>
      <c r="AG203" t="inlineStr">
        <is>
          <t>Description
adidas womens VL Court 3.0</t>
        </is>
      </c>
    </row>
    <row r="204">
      <c r="A204" t="inlineStr">
        <is>
          <t>com</t>
        </is>
      </c>
      <c r="B204" t="inlineStr">
        <is>
          <t>B0CKMP1DBM</t>
        </is>
      </c>
      <c r="C204" t="inlineStr">
        <is>
          <t>adidas Women's VL Court 3.0 Sneaker, Preloved Brown/Chalk White/Gum, 5</t>
        </is>
      </c>
      <c r="D204" t="n">
        <v>69.3</v>
      </c>
      <c r="E204" t="inlineStr"/>
      <c r="F204" t="n">
        <v>815</v>
      </c>
      <c r="G204" t="n">
        <v>1702</v>
      </c>
      <c r="H204" t="n">
        <v>69.3</v>
      </c>
      <c r="I204" t="n">
        <v>57.23</v>
      </c>
      <c r="J204" t="n">
        <v>0.95</v>
      </c>
      <c r="K204" t="n">
        <v>0.96</v>
      </c>
      <c r="L204" t="n">
        <v>1</v>
      </c>
      <c r="N204" t="n">
        <v>4.5</v>
      </c>
      <c r="O204" t="n">
        <v>1</v>
      </c>
      <c r="P204" t="n">
        <v>1562</v>
      </c>
      <c r="Q204" t="n">
        <v>21</v>
      </c>
      <c r="R204" t="n">
        <v>83</v>
      </c>
      <c r="S204" t="inlineStr">
        <is>
          <t>B0C2K2PHL8</t>
        </is>
      </c>
      <c r="U204" t="n">
        <v>1.3889106</v>
      </c>
      <c r="V204" t="n">
        <v>6.61</v>
      </c>
      <c r="W204" t="inlineStr"/>
      <c r="X204" t="inlineStr">
        <is>
          <t>197609802439</t>
        </is>
      </c>
      <c r="Y204" t="inlineStr">
        <is>
          <t>NLF94</t>
        </is>
      </c>
      <c r="Z204" t="inlineStr">
        <is>
          <t>NLF94</t>
        </is>
      </c>
      <c r="AA204" t="inlineStr">
        <is>
          <t>Preloved Brown/Chalk White/Gum</t>
        </is>
      </c>
      <c r="AB204" t="inlineStr">
        <is>
          <t>0197609802439</t>
        </is>
      </c>
      <c r="AC204" t="inlineStr">
        <is>
          <t>no Amazon offer exists</t>
        </is>
      </c>
      <c r="AD204" t="inlineStr">
        <is>
          <t>adidas</t>
        </is>
      </c>
      <c r="AE204" t="inlineStr">
        <is>
          <t>5</t>
        </is>
      </c>
      <c r="AF204"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04" t="inlineStr">
        <is>
          <t>Description
adidas womens VL Court 3.0</t>
        </is>
      </c>
    </row>
    <row r="205">
      <c r="A205" t="inlineStr">
        <is>
          <t>com</t>
        </is>
      </c>
      <c r="B205" t="inlineStr">
        <is>
          <t>B0CKMM8BW6</t>
        </is>
      </c>
      <c r="C205" t="inlineStr">
        <is>
          <t>adidas Women's VL Court 3.0 Sneaker, Preloved Brown/Chalk White/Gum, 5.5</t>
        </is>
      </c>
      <c r="D205" t="n">
        <v>55.11</v>
      </c>
      <c r="E205" t="inlineStr"/>
      <c r="F205" t="n">
        <v>815</v>
      </c>
      <c r="G205" t="n">
        <v>1695</v>
      </c>
      <c r="H205" t="inlineStr"/>
      <c r="I205" t="n">
        <v>55.11</v>
      </c>
      <c r="J205" t="n">
        <v>0.96</v>
      </c>
      <c r="K205" t="n">
        <v>1</v>
      </c>
      <c r="L205" t="n">
        <v>1</v>
      </c>
      <c r="N205" t="n">
        <v>4.5</v>
      </c>
      <c r="O205" t="n">
        <v>0</v>
      </c>
      <c r="P205" t="n">
        <v>1562</v>
      </c>
      <c r="Q205" t="n">
        <v>17</v>
      </c>
      <c r="R205" t="n">
        <v>82</v>
      </c>
      <c r="S205" t="inlineStr">
        <is>
          <t>B0C2K2PHL8</t>
        </is>
      </c>
      <c r="U205" t="n">
        <v>1.4109568</v>
      </c>
      <c r="V205" t="n">
        <v>6.61</v>
      </c>
      <c r="W205" t="inlineStr"/>
      <c r="X205" t="inlineStr">
        <is>
          <t>197609802347</t>
        </is>
      </c>
      <c r="Y205" t="inlineStr">
        <is>
          <t>NLF94</t>
        </is>
      </c>
      <c r="Z205" t="inlineStr">
        <is>
          <t>NLF94</t>
        </is>
      </c>
      <c r="AA205" t="inlineStr">
        <is>
          <t>Preloved Brown/Chalk White/Gum</t>
        </is>
      </c>
      <c r="AB205" t="inlineStr">
        <is>
          <t>0197609802347</t>
        </is>
      </c>
      <c r="AC205" t="inlineStr">
        <is>
          <t>no Amazon offer exists</t>
        </is>
      </c>
      <c r="AD205" t="inlineStr">
        <is>
          <t>adidas</t>
        </is>
      </c>
      <c r="AE205" t="inlineStr">
        <is>
          <t>5.5</t>
        </is>
      </c>
      <c r="AF205"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05" t="inlineStr">
        <is>
          <t>Description
adidas womens VL Court 3.0</t>
        </is>
      </c>
    </row>
    <row r="206">
      <c r="A206" t="inlineStr">
        <is>
          <t>com</t>
        </is>
      </c>
      <c r="B206" t="inlineStr">
        <is>
          <t>B0CKMN1J4L</t>
        </is>
      </c>
      <c r="C206" t="inlineStr">
        <is>
          <t>adidas Women's VL Court 3.0 Sneaker, Preloved Brown/Chalk White/Gum, 6</t>
        </is>
      </c>
      <c r="D206" t="n">
        <v>68.13</v>
      </c>
      <c r="E206" t="inlineStr"/>
      <c r="F206" t="n">
        <v>815</v>
      </c>
      <c r="G206" t="n">
        <v>1690</v>
      </c>
      <c r="H206" t="n">
        <v>68.13</v>
      </c>
      <c r="I206" t="n">
        <v>58.96</v>
      </c>
      <c r="J206" t="n">
        <v>0.58</v>
      </c>
      <c r="K206" t="n">
        <v>0.96</v>
      </c>
      <c r="L206" t="n">
        <v>1</v>
      </c>
      <c r="N206" t="n">
        <v>4.5</v>
      </c>
      <c r="O206" t="n">
        <v>1</v>
      </c>
      <c r="P206" t="n">
        <v>1562</v>
      </c>
      <c r="Q206" t="n">
        <v>16</v>
      </c>
      <c r="R206" t="n">
        <v>104</v>
      </c>
      <c r="S206" t="inlineStr">
        <is>
          <t>B0C2K2PHL8</t>
        </is>
      </c>
      <c r="U206" t="n">
        <v>1.43079838</v>
      </c>
      <c r="V206" t="n">
        <v>7.03</v>
      </c>
      <c r="W206" t="inlineStr"/>
      <c r="X206" t="inlineStr">
        <is>
          <t>197609802422</t>
        </is>
      </c>
      <c r="Y206" t="inlineStr">
        <is>
          <t>NLF94</t>
        </is>
      </c>
      <c r="Z206" t="inlineStr">
        <is>
          <t>NLF94</t>
        </is>
      </c>
      <c r="AA206" t="inlineStr">
        <is>
          <t>Preloved Brown/Chalk White/Gum</t>
        </is>
      </c>
      <c r="AB206" t="inlineStr">
        <is>
          <t>0197609802422</t>
        </is>
      </c>
      <c r="AC206" t="inlineStr">
        <is>
          <t>no Amazon offer exists</t>
        </is>
      </c>
      <c r="AD206" t="inlineStr">
        <is>
          <t>adidas</t>
        </is>
      </c>
      <c r="AE206" t="inlineStr">
        <is>
          <t>6</t>
        </is>
      </c>
      <c r="AF206"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06" t="inlineStr">
        <is>
          <t>Description
adidas womens VL Court 3.0</t>
        </is>
      </c>
    </row>
    <row r="207">
      <c r="A207" t="inlineStr">
        <is>
          <t>com</t>
        </is>
      </c>
      <c r="B207" t="inlineStr">
        <is>
          <t>B0CKMQZLDP</t>
        </is>
      </c>
      <c r="C207" t="inlineStr">
        <is>
          <t>adidas Women's VL Court 3.0 Sneaker, Preloved Brown/Chalk White/Gum, 6.5</t>
        </is>
      </c>
      <c r="D207" t="n">
        <v>72.02</v>
      </c>
      <c r="E207" t="inlineStr"/>
      <c r="F207" t="n">
        <v>753</v>
      </c>
      <c r="G207" t="n">
        <v>1698</v>
      </c>
      <c r="H207" t="n">
        <v>72.02</v>
      </c>
      <c r="I207" t="n">
        <v>59.65</v>
      </c>
      <c r="J207" t="n">
        <v>0.6899999999999999</v>
      </c>
      <c r="K207" t="n">
        <v>0.97</v>
      </c>
      <c r="L207" t="n">
        <v>1</v>
      </c>
      <c r="N207" t="n">
        <v>4.5</v>
      </c>
      <c r="O207" t="n">
        <v>0</v>
      </c>
      <c r="P207" t="n">
        <v>1562</v>
      </c>
      <c r="Q207" t="n">
        <v>19</v>
      </c>
      <c r="R207" t="n">
        <v>91</v>
      </c>
      <c r="S207" t="inlineStr">
        <is>
          <t>B0C2K2PHL8</t>
        </is>
      </c>
      <c r="U207" t="n">
        <v>1.51898318</v>
      </c>
      <c r="V207" t="n">
        <v>6.61</v>
      </c>
      <c r="W207" t="inlineStr"/>
      <c r="X207" t="inlineStr">
        <is>
          <t>197609802453</t>
        </is>
      </c>
      <c r="Y207" t="inlineStr">
        <is>
          <t>NLF94</t>
        </is>
      </c>
      <c r="Z207" t="inlineStr">
        <is>
          <t>NLF94</t>
        </is>
      </c>
      <c r="AA207" t="inlineStr">
        <is>
          <t>Preloved Brown/Chalk White/Gum</t>
        </is>
      </c>
      <c r="AB207" t="inlineStr">
        <is>
          <t>0197609802453</t>
        </is>
      </c>
      <c r="AC207" t="inlineStr">
        <is>
          <t>no Amazon offer exists</t>
        </is>
      </c>
      <c r="AD207" t="inlineStr">
        <is>
          <t>adidas</t>
        </is>
      </c>
      <c r="AE207" t="inlineStr">
        <is>
          <t>6.5</t>
        </is>
      </c>
      <c r="AF207" t="inlineStr">
        <is>
          <t>https://m.media-amazon.com/images/I/718ZZDReNoL.jpg;https://m.media-amazon.com/images/I/41C8zEN6I5L.jpg;https://m.media-amazon.com/images/I/41UrpMM5OxL.jpg;https://m.media-amazon.com/images/I/41cXh9DnoLL.jpg;https://m.media-amazon.com/images/I/41Ut6nsNj-L.jpg;https://m.media-amazon.com/images/I/41u4WD8aIiL.jpg;https://m.media-amazon.com/images/I/41ry3P9GlzL.jpg</t>
        </is>
      </c>
      <c r="AG207" t="inlineStr">
        <is>
          <t>Description
adidas womens VL Court 3.0</t>
        </is>
      </c>
    </row>
    <row r="208">
      <c r="A208" t="inlineStr">
        <is>
          <t>com</t>
        </is>
      </c>
      <c r="B208" t="inlineStr">
        <is>
          <t>B0CKMQ2ZZV</t>
        </is>
      </c>
      <c r="C208" t="inlineStr">
        <is>
          <t>adidas Women's VL Court 3.0 Sneaker, Preloved Brown/Chalk White/Gum, 7</t>
        </is>
      </c>
      <c r="D208" t="n">
        <v>67.42</v>
      </c>
      <c r="E208" t="inlineStr"/>
      <c r="F208" t="n">
        <v>815</v>
      </c>
      <c r="G208" t="n">
        <v>1672</v>
      </c>
      <c r="H208" t="n">
        <v>67.42</v>
      </c>
      <c r="I208" t="n">
        <v>57.28</v>
      </c>
      <c r="J208" t="n">
        <v>0.64</v>
      </c>
      <c r="K208" t="n">
        <v>0.93</v>
      </c>
      <c r="L208" t="n">
        <v>1</v>
      </c>
      <c r="N208" t="n">
        <v>4.5</v>
      </c>
      <c r="O208" t="n">
        <v>0</v>
      </c>
      <c r="P208" t="n">
        <v>1562</v>
      </c>
      <c r="Q208" t="n">
        <v>22</v>
      </c>
      <c r="R208" t="n">
        <v>92</v>
      </c>
      <c r="S208" t="inlineStr">
        <is>
          <t>B0C2K2PHL8</t>
        </is>
      </c>
      <c r="U208" t="n">
        <v>1.58953102</v>
      </c>
      <c r="V208" t="n">
        <v>6.61</v>
      </c>
      <c r="W208" t="inlineStr"/>
      <c r="X208" t="inlineStr">
        <is>
          <t>197609802361</t>
        </is>
      </c>
      <c r="Y208" t="inlineStr">
        <is>
          <t>NLF94</t>
        </is>
      </c>
      <c r="Z208" t="inlineStr">
        <is>
          <t>NLF94</t>
        </is>
      </c>
      <c r="AA208" t="inlineStr">
        <is>
          <t>Preloved Brown/Chalk White/Gum</t>
        </is>
      </c>
      <c r="AB208" t="inlineStr">
        <is>
          <t>0197609802361</t>
        </is>
      </c>
      <c r="AC208" t="inlineStr">
        <is>
          <t>no Amazon offer exists</t>
        </is>
      </c>
      <c r="AD208" t="inlineStr">
        <is>
          <t>adidas</t>
        </is>
      </c>
      <c r="AE208" t="inlineStr">
        <is>
          <t>7</t>
        </is>
      </c>
      <c r="AF208"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08" t="inlineStr">
        <is>
          <t>Description
adidas womens VL Court 3.0</t>
        </is>
      </c>
    </row>
    <row r="209">
      <c r="A209" t="inlineStr">
        <is>
          <t>com</t>
        </is>
      </c>
      <c r="B209" t="inlineStr">
        <is>
          <t>B0CKMN9VPN</t>
        </is>
      </c>
      <c r="C209" t="inlineStr">
        <is>
          <t>adidas Women's VL Court 3.0 Sneaker, Preloved Brown/Chalk White/Gum, 7.5</t>
        </is>
      </c>
      <c r="D209" t="n">
        <v>66.81999999999999</v>
      </c>
      <c r="E209" t="inlineStr"/>
      <c r="F209" t="n">
        <v>815</v>
      </c>
      <c r="G209" t="n">
        <v>1688</v>
      </c>
      <c r="H209" t="n">
        <v>66.81999999999999</v>
      </c>
      <c r="I209" t="n">
        <v>59.43</v>
      </c>
      <c r="J209" t="n">
        <v>0.58</v>
      </c>
      <c r="K209" t="n">
        <v>0.92</v>
      </c>
      <c r="L209" t="n">
        <v>1</v>
      </c>
      <c r="N209" t="n">
        <v>4.5</v>
      </c>
      <c r="O209" t="n">
        <v>1</v>
      </c>
      <c r="P209" t="n">
        <v>1555</v>
      </c>
      <c r="Q209" t="n">
        <v>24</v>
      </c>
      <c r="R209" t="n">
        <v>109</v>
      </c>
      <c r="S209" t="inlineStr">
        <is>
          <t>B0C2K2PHL8</t>
        </is>
      </c>
      <c r="U209" t="n">
        <v>1.62921418</v>
      </c>
      <c r="V209" t="n">
        <v>7.7</v>
      </c>
      <c r="W209" t="inlineStr"/>
      <c r="X209" t="inlineStr">
        <is>
          <t>197609802415</t>
        </is>
      </c>
      <c r="Y209" t="inlineStr">
        <is>
          <t>NLF94</t>
        </is>
      </c>
      <c r="Z209" t="inlineStr">
        <is>
          <t>NLF94</t>
        </is>
      </c>
      <c r="AA209" t="inlineStr">
        <is>
          <t>Preloved Brown/Chalk White/Gum</t>
        </is>
      </c>
      <c r="AB209" t="inlineStr">
        <is>
          <t>0197609802415</t>
        </is>
      </c>
      <c r="AC209" t="inlineStr">
        <is>
          <t>no Amazon offer exists</t>
        </is>
      </c>
      <c r="AD209" t="inlineStr">
        <is>
          <t>adidas</t>
        </is>
      </c>
      <c r="AE209" t="inlineStr">
        <is>
          <t>7.5</t>
        </is>
      </c>
      <c r="AF209"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09" t="inlineStr">
        <is>
          <t>Description
adidas womens VL Court 3.0</t>
        </is>
      </c>
    </row>
    <row r="210">
      <c r="A210" t="inlineStr">
        <is>
          <t>com</t>
        </is>
      </c>
      <c r="B210" t="inlineStr">
        <is>
          <t>B0CKMQ5625</t>
        </is>
      </c>
      <c r="C210" t="inlineStr">
        <is>
          <t>adidas Women's VL Court 3.0 Sneaker, Preloved Brown/Chalk White/Gum, 8</t>
        </is>
      </c>
      <c r="D210" t="n">
        <v>57.96</v>
      </c>
      <c r="E210" t="inlineStr"/>
      <c r="F210" t="n">
        <v>815</v>
      </c>
      <c r="G210" t="n">
        <v>1685</v>
      </c>
      <c r="H210" t="n">
        <v>57.96</v>
      </c>
      <c r="I210" t="n">
        <v>54.94</v>
      </c>
      <c r="J210" t="n">
        <v>0.58</v>
      </c>
      <c r="K210" t="n">
        <v>0.96</v>
      </c>
      <c r="L210" t="n">
        <v>1</v>
      </c>
      <c r="N210" t="n">
        <v>4.5</v>
      </c>
      <c r="O210" t="n">
        <v>1</v>
      </c>
      <c r="P210" t="n">
        <v>1562</v>
      </c>
      <c r="Q210" t="n">
        <v>19</v>
      </c>
      <c r="R210" t="n">
        <v>101</v>
      </c>
      <c r="S210" t="inlineStr">
        <is>
          <t>B0C2K2PHL8</t>
        </is>
      </c>
      <c r="U210" t="n">
        <v>1.64905576</v>
      </c>
      <c r="V210" t="n">
        <v>7.7</v>
      </c>
      <c r="W210" t="inlineStr"/>
      <c r="X210" t="inlineStr">
        <is>
          <t>197609802385</t>
        </is>
      </c>
      <c r="Y210" t="inlineStr">
        <is>
          <t>NLF94</t>
        </is>
      </c>
      <c r="Z210" t="inlineStr">
        <is>
          <t>NLF94</t>
        </is>
      </c>
      <c r="AA210" t="inlineStr">
        <is>
          <t>Preloved Brown/Chalk White/Gum</t>
        </is>
      </c>
      <c r="AB210" t="inlineStr">
        <is>
          <t>0197609802385</t>
        </is>
      </c>
      <c r="AC210" t="inlineStr">
        <is>
          <t>no Amazon offer exists</t>
        </is>
      </c>
      <c r="AD210" t="inlineStr">
        <is>
          <t>adidas</t>
        </is>
      </c>
      <c r="AE210" t="inlineStr">
        <is>
          <t>8</t>
        </is>
      </c>
      <c r="AF210" t="inlineStr">
        <is>
          <t>https://m.media-amazon.com/images/I/718ZZDReNoL.jpg;https://m.media-amazon.com/images/I/41C8zEN6I5L.jpg;https://m.media-amazon.com/images/I/41UrpMM5OxL.jpg;https://m.media-amazon.com/images/I/41cXh9DnoLL.jpg;https://m.media-amazon.com/images/I/41Ut6nsNj-L.jpg;https://m.media-amazon.com/images/I/41u4WD8aIiL.jpg;https://m.media-amazon.com/images/I/41ry3P9GlzL.jpg</t>
        </is>
      </c>
      <c r="AG210" t="inlineStr">
        <is>
          <t>Description
adidas womens VL Court 3.0</t>
        </is>
      </c>
    </row>
    <row r="211">
      <c r="A211" t="inlineStr">
        <is>
          <t>com</t>
        </is>
      </c>
      <c r="B211" t="inlineStr">
        <is>
          <t>B0CKMP535W</t>
        </is>
      </c>
      <c r="C211" t="inlineStr">
        <is>
          <t>adidas Women's VL Court 3.0 Sneaker, Preloved Brown/Chalk White/Gum, 8.5</t>
        </is>
      </c>
      <c r="D211" t="n">
        <v>60.98</v>
      </c>
      <c r="E211" t="inlineStr"/>
      <c r="F211" t="n">
        <v>815</v>
      </c>
      <c r="G211" t="n">
        <v>1686</v>
      </c>
      <c r="H211" t="n">
        <v>60.98</v>
      </c>
      <c r="I211" t="n">
        <v>56.51</v>
      </c>
      <c r="J211" t="n">
        <v>0.8</v>
      </c>
      <c r="K211" t="n">
        <v>0.95</v>
      </c>
      <c r="L211" t="n">
        <v>1</v>
      </c>
      <c r="N211" t="n">
        <v>4.5</v>
      </c>
      <c r="O211" t="n">
        <v>0</v>
      </c>
      <c r="P211" t="n">
        <v>1562</v>
      </c>
      <c r="Q211" t="n">
        <v>18</v>
      </c>
      <c r="R211" t="n">
        <v>102</v>
      </c>
      <c r="S211" t="inlineStr">
        <is>
          <t>B0C2K2PHL8</t>
        </is>
      </c>
      <c r="U211" t="n">
        <v>1.67992044</v>
      </c>
      <c r="V211" t="n">
        <v>7.7</v>
      </c>
      <c r="W211" t="inlineStr"/>
      <c r="X211" t="inlineStr">
        <is>
          <t>197609802446</t>
        </is>
      </c>
      <c r="Y211" t="inlineStr">
        <is>
          <t>NLF94</t>
        </is>
      </c>
      <c r="Z211" t="inlineStr">
        <is>
          <t>NLF94</t>
        </is>
      </c>
      <c r="AA211" t="inlineStr">
        <is>
          <t>Preloved Brown/Chalk White/Gum</t>
        </is>
      </c>
      <c r="AB211" t="inlineStr">
        <is>
          <t>0197609802446</t>
        </is>
      </c>
      <c r="AC211" t="inlineStr">
        <is>
          <t>no Amazon offer exists</t>
        </is>
      </c>
      <c r="AD211" t="inlineStr">
        <is>
          <t>adidas</t>
        </is>
      </c>
      <c r="AE211" t="inlineStr">
        <is>
          <t>8.5</t>
        </is>
      </c>
      <c r="AF211"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11" t="inlineStr">
        <is>
          <t>Description
adidas womens VL Court 3.0</t>
        </is>
      </c>
    </row>
    <row r="212">
      <c r="A212" t="inlineStr">
        <is>
          <t>com</t>
        </is>
      </c>
      <c r="B212" t="inlineStr">
        <is>
          <t>B0CKMQCJ94</t>
        </is>
      </c>
      <c r="C212" t="inlineStr">
        <is>
          <t>adidas Women's VL Court 3.0 Sneaker, Preloved Brown/Chalk White/Gum, 9</t>
        </is>
      </c>
      <c r="D212" t="n">
        <v>72.06999999999999</v>
      </c>
      <c r="E212" t="inlineStr"/>
      <c r="F212" t="n">
        <v>815</v>
      </c>
      <c r="G212" t="n">
        <v>1669</v>
      </c>
      <c r="H212" t="n">
        <v>72.06999999999999</v>
      </c>
      <c r="I212" t="n">
        <v>57.7</v>
      </c>
      <c r="J212" t="n">
        <v>0.53</v>
      </c>
      <c r="K212" t="n">
        <v>0.95</v>
      </c>
      <c r="L212" t="n">
        <v>1</v>
      </c>
      <c r="N212" t="n">
        <v>4.5</v>
      </c>
      <c r="O212" t="n">
        <v>0</v>
      </c>
      <c r="P212" t="n">
        <v>1562</v>
      </c>
      <c r="Q212" t="n">
        <v>19</v>
      </c>
      <c r="R212" t="n">
        <v>108</v>
      </c>
      <c r="S212" t="inlineStr">
        <is>
          <t>B0C2K2PHL8</t>
        </is>
      </c>
      <c r="U212" t="n">
        <v>0.83996022</v>
      </c>
      <c r="V212" t="n">
        <v>7.7</v>
      </c>
      <c r="W212" t="inlineStr"/>
      <c r="X212" t="inlineStr">
        <is>
          <t>197609802460</t>
        </is>
      </c>
      <c r="Y212" t="inlineStr">
        <is>
          <t>NLF94</t>
        </is>
      </c>
      <c r="Z212" t="inlineStr">
        <is>
          <t>NLF94</t>
        </is>
      </c>
      <c r="AA212" t="inlineStr">
        <is>
          <t>Preloved Brown/Chalk White/Gum</t>
        </is>
      </c>
      <c r="AB212" t="inlineStr">
        <is>
          <t>0197609802460</t>
        </is>
      </c>
      <c r="AC212" t="inlineStr">
        <is>
          <t>no Amazon offer exists</t>
        </is>
      </c>
      <c r="AD212" t="inlineStr">
        <is>
          <t>adidas</t>
        </is>
      </c>
      <c r="AE212" t="inlineStr">
        <is>
          <t>9</t>
        </is>
      </c>
      <c r="AF212"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12" t="inlineStr">
        <is>
          <t>Description
adidas womens VL Court 3.0</t>
        </is>
      </c>
    </row>
    <row r="213">
      <c r="A213" t="inlineStr">
        <is>
          <t>com</t>
        </is>
      </c>
      <c r="B213" t="inlineStr">
        <is>
          <t>B0CKMQ4D7D</t>
        </is>
      </c>
      <c r="C213" t="inlineStr">
        <is>
          <t>adidas Women's VL Court 3.0 Sneaker, Preloved Brown/Chalk White/Gum, 9.5</t>
        </is>
      </c>
      <c r="D213" t="n">
        <v>57.15</v>
      </c>
      <c r="E213" t="inlineStr"/>
      <c r="F213" t="n">
        <v>815</v>
      </c>
      <c r="G213" t="n">
        <v>1754</v>
      </c>
      <c r="H213" t="n">
        <v>57.15</v>
      </c>
      <c r="I213" t="n">
        <v>53.41</v>
      </c>
      <c r="J213" t="n">
        <v>0.36</v>
      </c>
      <c r="K213" t="n">
        <v>0.9399999999999999</v>
      </c>
      <c r="L213" t="n">
        <v>1</v>
      </c>
      <c r="M213" t="n">
        <v>1</v>
      </c>
      <c r="N213" t="n">
        <v>4.5</v>
      </c>
      <c r="O213" t="n">
        <v>1</v>
      </c>
      <c r="P213" t="n">
        <v>1562</v>
      </c>
      <c r="Q213" t="n">
        <v>17</v>
      </c>
      <c r="R213" t="n">
        <v>122</v>
      </c>
      <c r="S213" t="inlineStr">
        <is>
          <t>B0C2K2PHL8</t>
        </is>
      </c>
      <c r="U213" t="n">
        <v>1.8188115</v>
      </c>
      <c r="V213" t="n">
        <v>7.62</v>
      </c>
      <c r="W213" t="inlineStr"/>
      <c r="X213" t="inlineStr">
        <is>
          <t>197609802378</t>
        </is>
      </c>
      <c r="Y213" t="inlineStr">
        <is>
          <t>NLF94</t>
        </is>
      </c>
      <c r="Z213" t="inlineStr">
        <is>
          <t>NLF94</t>
        </is>
      </c>
      <c r="AA213" t="inlineStr">
        <is>
          <t>Preloved Brown/Chalk White/Gum</t>
        </is>
      </c>
      <c r="AB213" t="inlineStr">
        <is>
          <t>0197609802378</t>
        </is>
      </c>
      <c r="AC213" t="inlineStr">
        <is>
          <t>no Amazon offer exists</t>
        </is>
      </c>
      <c r="AD213" t="inlineStr">
        <is>
          <t>adidas</t>
        </is>
      </c>
      <c r="AE213" t="inlineStr">
        <is>
          <t>9.5</t>
        </is>
      </c>
      <c r="AF213" t="inlineStr">
        <is>
          <t>https://m.media-amazon.com/images/I/718ZZDReNoL.jpg;https://m.media-amazon.com/images/I/41C8zEN6I5L.jpg;https://m.media-amazon.com/images/I/41UrpMM5OxL.jpg;https://m.media-amazon.com/images/I/41cXh9DnoLL.jpg;https://m.media-amazon.com/images/I/41Ut6nsNj-L.jpg;https://m.media-amazon.com/images/I/41u4WD8aIiL.jpg;https://m.media-amazon.com/images/I/41ry3P9GlzL.jpg</t>
        </is>
      </c>
      <c r="AG213" t="inlineStr">
        <is>
          <t>Description
adidas womens VL Court 3.0</t>
        </is>
      </c>
    </row>
    <row r="214">
      <c r="A214" t="inlineStr">
        <is>
          <t>com</t>
        </is>
      </c>
      <c r="B214" t="inlineStr">
        <is>
          <t>B0CKMNZXHB</t>
        </is>
      </c>
      <c r="C214" t="inlineStr">
        <is>
          <t>adidas Women's VL Court 3.0 Sneaker, Preloved Brown/Chalk White/Gum, 10</t>
        </is>
      </c>
      <c r="D214" t="n">
        <v>62.76</v>
      </c>
      <c r="E214" t="inlineStr"/>
      <c r="F214" t="n">
        <v>815</v>
      </c>
      <c r="G214" t="n">
        <v>1672</v>
      </c>
      <c r="H214" t="n">
        <v>62.76</v>
      </c>
      <c r="I214" t="n">
        <v>56.11</v>
      </c>
      <c r="J214" t="n">
        <v>0.11</v>
      </c>
      <c r="K214" t="n">
        <v>0.82</v>
      </c>
      <c r="L214" t="n">
        <v>2</v>
      </c>
      <c r="M214" t="n">
        <v>1</v>
      </c>
      <c r="N214" t="n">
        <v>4.5</v>
      </c>
      <c r="O214" t="n">
        <v>0</v>
      </c>
      <c r="P214" t="n">
        <v>1562</v>
      </c>
      <c r="Q214" t="n">
        <v>41</v>
      </c>
      <c r="R214" t="n">
        <v>157</v>
      </c>
      <c r="S214" t="inlineStr">
        <is>
          <t>B0C2K2PHL8</t>
        </is>
      </c>
      <c r="U214" t="n">
        <v>2.07013818</v>
      </c>
      <c r="V214" t="n">
        <v>7.7</v>
      </c>
      <c r="W214" t="inlineStr"/>
      <c r="X214" t="inlineStr">
        <is>
          <t>197609802392</t>
        </is>
      </c>
      <c r="Y214" t="inlineStr">
        <is>
          <t>NLF94</t>
        </is>
      </c>
      <c r="Z214" t="inlineStr">
        <is>
          <t>NLF94</t>
        </is>
      </c>
      <c r="AA214" t="inlineStr">
        <is>
          <t>Preloved Brown/Chalk White/Gum</t>
        </is>
      </c>
      <c r="AB214" t="inlineStr">
        <is>
          <t>0197609802392</t>
        </is>
      </c>
      <c r="AC214" t="inlineStr">
        <is>
          <t>no Amazon offer exists</t>
        </is>
      </c>
      <c r="AD214" t="inlineStr">
        <is>
          <t>adidas</t>
        </is>
      </c>
      <c r="AE214" t="inlineStr">
        <is>
          <t>10</t>
        </is>
      </c>
      <c r="AF214"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14" t="inlineStr">
        <is>
          <t>Description
adidas womens VL Court 3.0</t>
        </is>
      </c>
    </row>
    <row r="215">
      <c r="A215" t="inlineStr">
        <is>
          <t>com</t>
        </is>
      </c>
      <c r="B215" t="inlineStr">
        <is>
          <t>B0CKMPYSZ2</t>
        </is>
      </c>
      <c r="C215" t="inlineStr">
        <is>
          <t>adidas Women's VL Court 3.0 Sneaker, Preloved Brown/Chalk White/Gum, 11</t>
        </is>
      </c>
      <c r="D215" t="n">
        <v>70.29000000000001</v>
      </c>
      <c r="E215" t="inlineStr"/>
      <c r="F215" t="n">
        <v>815</v>
      </c>
      <c r="G215" t="n">
        <v>1671</v>
      </c>
      <c r="H215" t="n">
        <v>70.29000000000001</v>
      </c>
      <c r="I215" t="n">
        <v>59.72</v>
      </c>
      <c r="J215" t="n">
        <v>0.25</v>
      </c>
      <c r="K215" t="n">
        <v>0.8100000000000001</v>
      </c>
      <c r="L215" t="n">
        <v>1</v>
      </c>
      <c r="M215" t="n">
        <v>1</v>
      </c>
      <c r="N215" t="n">
        <v>4.5</v>
      </c>
      <c r="O215" t="n">
        <v>0</v>
      </c>
      <c r="P215" t="n">
        <v>1562</v>
      </c>
      <c r="Q215" t="n">
        <v>25</v>
      </c>
      <c r="R215" t="n">
        <v>148</v>
      </c>
      <c r="S215" t="inlineStr">
        <is>
          <t>B0C2K2PHL8</t>
        </is>
      </c>
      <c r="U215" t="n">
        <v>2.01061344</v>
      </c>
      <c r="V215" t="n">
        <v>7.86</v>
      </c>
      <c r="W215" t="inlineStr"/>
      <c r="X215" t="inlineStr">
        <is>
          <t>197609802408</t>
        </is>
      </c>
      <c r="Y215" t="inlineStr">
        <is>
          <t>NLF94</t>
        </is>
      </c>
      <c r="Z215" t="inlineStr">
        <is>
          <t>NLF94</t>
        </is>
      </c>
      <c r="AA215" t="inlineStr">
        <is>
          <t>Preloved Brown/Chalk White/Gum</t>
        </is>
      </c>
      <c r="AB215" t="inlineStr">
        <is>
          <t>0197609802408</t>
        </is>
      </c>
      <c r="AC215" t="inlineStr">
        <is>
          <t>no Amazon offer exists</t>
        </is>
      </c>
      <c r="AD215" t="inlineStr">
        <is>
          <t>adidas</t>
        </is>
      </c>
      <c r="AE215" t="inlineStr">
        <is>
          <t>11</t>
        </is>
      </c>
      <c r="AF215" t="inlineStr">
        <is>
          <t>https://m.media-amazon.com/images/I/41B7KOMFtKL.jpg;https://m.media-amazon.com/images/I/41C8zEN6I5L.jpg;https://m.media-amazon.com/images/I/41UrpMM5OxL.jpg;https://m.media-amazon.com/images/I/41cXh9DnoLL.jpg;https://m.media-amazon.com/images/I/41Ut6nsNj-L.jpg;https://m.media-amazon.com/images/I/41u4WD8aIiL.jpg;https://m.media-amazon.com/images/I/41ry3P9GlzL.jpg</t>
        </is>
      </c>
      <c r="AG215" t="inlineStr">
        <is>
          <t>Description
adidas womens VL Court 3.0</t>
        </is>
      </c>
    </row>
    <row r="216">
      <c r="A216" t="inlineStr">
        <is>
          <t>com</t>
        </is>
      </c>
      <c r="B216" t="inlineStr">
        <is>
          <t>B0D32BGFDN</t>
        </is>
      </c>
      <c r="C216" t="inlineStr">
        <is>
          <t>PUMA Women's Carina Street Sneaker, White Black-Deeva Peach, 5.5</t>
        </is>
      </c>
      <c r="D216" t="n">
        <v>36.39</v>
      </c>
      <c r="E216" t="n">
        <v>36.39</v>
      </c>
      <c r="H216" t="n">
        <v>55.29</v>
      </c>
      <c r="I216" t="n">
        <v>61.16</v>
      </c>
      <c r="J216" t="n">
        <v>0</v>
      </c>
      <c r="K216" t="n">
        <v>0</v>
      </c>
      <c r="L216" t="n">
        <v>1</v>
      </c>
      <c r="M216" t="n">
        <v>2</v>
      </c>
      <c r="Q216" t="n">
        <v>-1</v>
      </c>
      <c r="R216" t="n">
        <v>-1</v>
      </c>
      <c r="S216" t="inlineStr"/>
      <c r="U216" t="n">
        <v>1.64905576</v>
      </c>
      <c r="V216" t="n">
        <v>7.03</v>
      </c>
      <c r="W216" t="n">
        <v>5.46</v>
      </c>
      <c r="X216" t="inlineStr">
        <is>
          <t>197672107226</t>
        </is>
      </c>
      <c r="Y216" t="inlineStr"/>
      <c r="Z216" t="inlineStr">
        <is>
          <t>38939038</t>
        </is>
      </c>
      <c r="AA216" t="inlineStr">
        <is>
          <t>Puma White-puma Black-deeva Peach</t>
        </is>
      </c>
      <c r="AB216" t="inlineStr">
        <is>
          <t>0197672107226</t>
        </is>
      </c>
      <c r="AC216" t="inlineStr">
        <is>
          <t>Amazon offer is in stock and shippable</t>
        </is>
      </c>
      <c r="AD216" t="inlineStr">
        <is>
          <t>PUMA</t>
        </is>
      </c>
      <c r="AE216" t="inlineStr">
        <is>
          <t>5.5</t>
        </is>
      </c>
      <c r="AF216" t="inlineStr"/>
      <c r="AG216"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17">
      <c r="A217" t="inlineStr">
        <is>
          <t>com</t>
        </is>
      </c>
      <c r="B217" t="inlineStr">
        <is>
          <t>B0D329P8N8</t>
        </is>
      </c>
      <c r="C217" t="inlineStr">
        <is>
          <t>PUMA Women's Carina Street Sneaker, White Black-Deeva Peach, 6</t>
        </is>
      </c>
      <c r="D217" t="n">
        <v>22.25</v>
      </c>
      <c r="E217" t="n">
        <v>22.25</v>
      </c>
      <c r="H217" t="n">
        <v>43.41</v>
      </c>
      <c r="I217" t="n">
        <v>56.69</v>
      </c>
      <c r="J217" t="n">
        <v>0</v>
      </c>
      <c r="K217" t="n">
        <v>0</v>
      </c>
      <c r="L217" t="n">
        <v>2</v>
      </c>
      <c r="M217" t="n">
        <v>3</v>
      </c>
      <c r="Q217" t="n">
        <v>-1</v>
      </c>
      <c r="R217" t="n">
        <v>-1</v>
      </c>
      <c r="S217" t="inlineStr"/>
      <c r="U217" t="n">
        <v>1.69976202</v>
      </c>
      <c r="V217" t="n">
        <v>7.78</v>
      </c>
      <c r="W217" t="n">
        <v>3.34</v>
      </c>
      <c r="X217" t="inlineStr">
        <is>
          <t>197672107288</t>
        </is>
      </c>
      <c r="Y217" t="inlineStr"/>
      <c r="Z217" t="inlineStr">
        <is>
          <t>38939038</t>
        </is>
      </c>
      <c r="AA217" t="inlineStr">
        <is>
          <t>Puma White-puma Black-deeva Peach</t>
        </is>
      </c>
      <c r="AB217" t="inlineStr">
        <is>
          <t>0197672107288</t>
        </is>
      </c>
      <c r="AC217" t="inlineStr">
        <is>
          <t>Amazon offer is in stock and shippable</t>
        </is>
      </c>
      <c r="AD217" t="inlineStr">
        <is>
          <t>PUMA</t>
        </is>
      </c>
      <c r="AE217" t="inlineStr">
        <is>
          <t>6</t>
        </is>
      </c>
      <c r="AF217" t="inlineStr">
        <is>
          <t>https://m.media-amazon.com/images/I/51fCKDWOOrL.jpg;https://m.media-amazon.com/images/I/51nQYBVLAFL.jpg;https://m.media-amazon.com/images/I/51Mm-M8jXjL.jpg;https://m.media-amazon.com/images/I/51gNFYETriL.jpg;https://m.media-amazon.com/images/I/51b4B8P5NZL.jpg</t>
        </is>
      </c>
      <c r="AG217"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18">
      <c r="A218" t="inlineStr">
        <is>
          <t>com</t>
        </is>
      </c>
      <c r="B218" t="inlineStr">
        <is>
          <t>B0D32BHWKH</t>
        </is>
      </c>
      <c r="C218" t="inlineStr">
        <is>
          <t>PUMA Women's Carina Street Sneaker, White Black-Deeva Peach, 6.5</t>
        </is>
      </c>
      <c r="D218" t="n">
        <v>42.41</v>
      </c>
      <c r="E218" t="n">
        <v>42.41</v>
      </c>
      <c r="F218" t="n">
        <v>2153203</v>
      </c>
      <c r="G218" t="n">
        <v>9324733</v>
      </c>
      <c r="H218" t="n">
        <v>56.08</v>
      </c>
      <c r="I218" t="n">
        <v>63.97</v>
      </c>
      <c r="J218" t="n">
        <v>0</v>
      </c>
      <c r="K218" t="n">
        <v>0</v>
      </c>
      <c r="L218" t="n">
        <v>3</v>
      </c>
      <c r="M218" t="n">
        <v>4</v>
      </c>
      <c r="Q218" t="n">
        <v>1</v>
      </c>
      <c r="R218" t="n">
        <v>1</v>
      </c>
      <c r="S218" t="inlineStr"/>
      <c r="U218" t="n">
        <v>1.64905576</v>
      </c>
      <c r="V218" t="n">
        <v>7.54</v>
      </c>
      <c r="W218" t="n">
        <v>6.36</v>
      </c>
      <c r="X218" t="inlineStr">
        <is>
          <t>197672107233</t>
        </is>
      </c>
      <c r="Y218" t="inlineStr"/>
      <c r="Z218" t="inlineStr">
        <is>
          <t>38939038</t>
        </is>
      </c>
      <c r="AA218" t="inlineStr">
        <is>
          <t>Puma White-puma Black-deeva Peach</t>
        </is>
      </c>
      <c r="AB218" t="inlineStr">
        <is>
          <t>0197672107233</t>
        </is>
      </c>
      <c r="AC218" t="inlineStr">
        <is>
          <t>Amazon offer is in stock and shippable</t>
        </is>
      </c>
      <c r="AD218" t="inlineStr">
        <is>
          <t>PUMA</t>
        </is>
      </c>
      <c r="AE218" t="inlineStr">
        <is>
          <t>6.5</t>
        </is>
      </c>
      <c r="AF218" t="inlineStr">
        <is>
          <t>https://m.media-amazon.com/images/I/51fCKDWOOrL.jpg;https://m.media-amazon.com/images/I/51nQYBVLAFL.jpg;https://m.media-amazon.com/images/I/51Mm-M8jXjL.jpg;https://m.media-amazon.com/images/I/51gNFYETriL.jpg;https://m.media-amazon.com/images/I/51b4B8P5NZL.jpg</t>
        </is>
      </c>
      <c r="AG218"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19">
      <c r="A219" t="inlineStr">
        <is>
          <t>com</t>
        </is>
      </c>
      <c r="B219" t="inlineStr">
        <is>
          <t>B0D32CH9N2</t>
        </is>
      </c>
      <c r="C219" t="inlineStr">
        <is>
          <t>PUMA Women's Carina Street Sneaker, White Black-Deeva Peach, 7</t>
        </is>
      </c>
      <c r="D219" t="n">
        <v>35.84</v>
      </c>
      <c r="E219" t="n">
        <v>35.84</v>
      </c>
      <c r="F219" t="n">
        <v>653509</v>
      </c>
      <c r="G219" t="n">
        <v>13479828</v>
      </c>
      <c r="H219" t="n">
        <v>52.71</v>
      </c>
      <c r="I219" t="n">
        <v>62.05</v>
      </c>
      <c r="J219" t="n">
        <v>0</v>
      </c>
      <c r="K219" t="n">
        <v>0</v>
      </c>
      <c r="L219" t="n">
        <v>3</v>
      </c>
      <c r="M219" t="n">
        <v>4</v>
      </c>
      <c r="Q219" t="n">
        <v>4</v>
      </c>
      <c r="R219" t="n">
        <v>4</v>
      </c>
      <c r="S219" t="inlineStr"/>
      <c r="U219" t="n">
        <v>1.79015144</v>
      </c>
      <c r="V219" t="n">
        <v>7.78</v>
      </c>
      <c r="W219" t="n">
        <v>5.38</v>
      </c>
      <c r="X219" t="inlineStr">
        <is>
          <t>197672107295</t>
        </is>
      </c>
      <c r="Y219" t="inlineStr"/>
      <c r="Z219" t="inlineStr">
        <is>
          <t>38939038</t>
        </is>
      </c>
      <c r="AA219" t="inlineStr">
        <is>
          <t>Puma White-puma Black-deeva Peach</t>
        </is>
      </c>
      <c r="AB219" t="inlineStr">
        <is>
          <t>0197672107295</t>
        </is>
      </c>
      <c r="AC219" t="inlineStr">
        <is>
          <t>Amazon offer is in stock and shippable</t>
        </is>
      </c>
      <c r="AD219" t="inlineStr">
        <is>
          <t>PUMA</t>
        </is>
      </c>
      <c r="AE219" t="inlineStr">
        <is>
          <t>7</t>
        </is>
      </c>
      <c r="AF219" t="inlineStr">
        <is>
          <t>https://m.media-amazon.com/images/I/51fCKDWOOrL.jpg;https://m.media-amazon.com/images/I/51nQYBVLAFL.jpg;https://m.media-amazon.com/images/I/51Mm-M8jXjL.jpg;https://m.media-amazon.com/images/I/51gNFYETriL.jpg;https://m.media-amazon.com/images/I/51b4B8P5NZL.jpg</t>
        </is>
      </c>
      <c r="AG219"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0">
      <c r="A220" t="inlineStr">
        <is>
          <t>com</t>
        </is>
      </c>
      <c r="B220" t="inlineStr">
        <is>
          <t>B0D32D8BXL</t>
        </is>
      </c>
      <c r="C220" t="inlineStr">
        <is>
          <t>PUMA Women's Carina Street Sneaker, White Black-Deeva Peach, 7.5</t>
        </is>
      </c>
      <c r="D220" t="n">
        <v>64.98999999999999</v>
      </c>
      <c r="E220" t="n">
        <v>64.98999999999999</v>
      </c>
      <c r="F220" t="n">
        <v>1545326</v>
      </c>
      <c r="G220" t="n">
        <v>1202843</v>
      </c>
      <c r="H220" t="n">
        <v>47.84</v>
      </c>
      <c r="I220" t="n">
        <v>59.25</v>
      </c>
      <c r="J220" t="n">
        <v>0</v>
      </c>
      <c r="K220" t="n">
        <v>0</v>
      </c>
      <c r="L220" t="n">
        <v>3</v>
      </c>
      <c r="M220" t="n">
        <v>4</v>
      </c>
      <c r="Q220" t="n">
        <v>11</v>
      </c>
      <c r="R220" t="n">
        <v>11</v>
      </c>
      <c r="S220" t="inlineStr"/>
      <c r="U220" t="n">
        <v>1.86951776</v>
      </c>
      <c r="V220" t="n">
        <v>7.86</v>
      </c>
      <c r="W220" t="n">
        <v>9.75</v>
      </c>
      <c r="X220" t="inlineStr">
        <is>
          <t>197672107240</t>
        </is>
      </c>
      <c r="Y220" t="inlineStr"/>
      <c r="Z220" t="inlineStr">
        <is>
          <t>38939038</t>
        </is>
      </c>
      <c r="AA220" t="inlineStr">
        <is>
          <t>Puma White-puma Black-deeva Peach</t>
        </is>
      </c>
      <c r="AB220" t="inlineStr">
        <is>
          <t>0197672107240</t>
        </is>
      </c>
      <c r="AC220" t="inlineStr">
        <is>
          <t>Amazon offer is in stock and shippable</t>
        </is>
      </c>
      <c r="AD220" t="inlineStr">
        <is>
          <t>PUMA</t>
        </is>
      </c>
      <c r="AE220" t="inlineStr">
        <is>
          <t>7.5</t>
        </is>
      </c>
      <c r="AF220" t="inlineStr">
        <is>
          <t>https://m.media-amazon.com/images/I/51fCKDWOOrL.jpg;https://m.media-amazon.com/images/I/51nQYBVLAFL.jpg;https://m.media-amazon.com/images/I/51Mm-M8jXjL.jpg;https://m.media-amazon.com/images/I/51gNFYETriL.jpg;https://m.media-amazon.com/images/I/51b4B8P5NZL.jpg</t>
        </is>
      </c>
      <c r="AG220"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1">
      <c r="A221" t="inlineStr">
        <is>
          <t>com</t>
        </is>
      </c>
      <c r="B221" t="inlineStr">
        <is>
          <t>B0D32BPFJB</t>
        </is>
      </c>
      <c r="C221" t="inlineStr">
        <is>
          <t>PUMA Women's Carina Street Sneaker, White Black-Deeva Peach, 8</t>
        </is>
      </c>
      <c r="D221" t="n">
        <v>46.21</v>
      </c>
      <c r="E221" t="n">
        <v>46.21</v>
      </c>
      <c r="F221" t="n">
        <v>10421142</v>
      </c>
      <c r="G221" t="n">
        <v>6300761</v>
      </c>
      <c r="H221" t="n">
        <v>55.01</v>
      </c>
      <c r="I221" t="n">
        <v>63.36</v>
      </c>
      <c r="J221" t="n">
        <v>0</v>
      </c>
      <c r="K221" t="n">
        <v>0</v>
      </c>
      <c r="L221" t="n">
        <v>3</v>
      </c>
      <c r="M221" t="n">
        <v>4</v>
      </c>
      <c r="Q221" t="n">
        <v>0</v>
      </c>
      <c r="R221" t="n">
        <v>0</v>
      </c>
      <c r="S221" t="inlineStr"/>
      <c r="U221" t="n">
        <v>1.90038244</v>
      </c>
      <c r="V221" t="n">
        <v>7.7</v>
      </c>
      <c r="W221" t="n">
        <v>6.93</v>
      </c>
      <c r="X221" t="inlineStr">
        <is>
          <t>197672107301</t>
        </is>
      </c>
      <c r="Y221" t="inlineStr"/>
      <c r="Z221" t="inlineStr">
        <is>
          <t>38939038</t>
        </is>
      </c>
      <c r="AA221" t="inlineStr">
        <is>
          <t>Puma White-puma Black-deeva Peach</t>
        </is>
      </c>
      <c r="AB221" t="inlineStr">
        <is>
          <t>0197672107301</t>
        </is>
      </c>
      <c r="AC221" t="inlineStr">
        <is>
          <t>Amazon offer is in stock and shippable</t>
        </is>
      </c>
      <c r="AD221" t="inlineStr">
        <is>
          <t>PUMA</t>
        </is>
      </c>
      <c r="AE221" t="inlineStr">
        <is>
          <t>8</t>
        </is>
      </c>
      <c r="AF221" t="inlineStr">
        <is>
          <t>https://m.media-amazon.com/images/I/51fCKDWOOrL.jpg;https://m.media-amazon.com/images/I/51nQYBVLAFL.jpg;https://m.media-amazon.com/images/I/51Mm-M8jXjL.jpg;https://m.media-amazon.com/images/I/51gNFYETriL.jpg;https://m.media-amazon.com/images/I/51b4B8P5NZL.jpg</t>
        </is>
      </c>
      <c r="AG221"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2">
      <c r="A222" t="inlineStr">
        <is>
          <t>com</t>
        </is>
      </c>
      <c r="B222" t="inlineStr">
        <is>
          <t>B0D3296979</t>
        </is>
      </c>
      <c r="C222" t="inlineStr">
        <is>
          <t>PUMA Women's Carina Street Sneaker, White Black-Deeva Peach, 8.5</t>
        </is>
      </c>
      <c r="D222" t="n">
        <v>64.98999999999999</v>
      </c>
      <c r="E222" t="n">
        <v>45.08</v>
      </c>
      <c r="F222" t="n">
        <v>288804</v>
      </c>
      <c r="G222" t="n">
        <v>5596053</v>
      </c>
      <c r="H222" t="n">
        <v>43.64</v>
      </c>
      <c r="I222" t="n">
        <v>56.81</v>
      </c>
      <c r="J222" t="n">
        <v>0</v>
      </c>
      <c r="K222" t="n">
        <v>0</v>
      </c>
      <c r="L222" t="n">
        <v>3</v>
      </c>
      <c r="M222" t="n">
        <v>4</v>
      </c>
      <c r="Q222" t="n">
        <v>10</v>
      </c>
      <c r="R222" t="n">
        <v>10</v>
      </c>
      <c r="S222" t="inlineStr"/>
      <c r="U222" t="n">
        <v>2.03045502</v>
      </c>
      <c r="V222" t="n">
        <v>7.94</v>
      </c>
      <c r="W222" t="n">
        <v>9.75</v>
      </c>
      <c r="X222" t="inlineStr">
        <is>
          <t>197672107257</t>
        </is>
      </c>
      <c r="Y222" t="inlineStr"/>
      <c r="Z222" t="inlineStr">
        <is>
          <t>38939038</t>
        </is>
      </c>
      <c r="AA222" t="inlineStr">
        <is>
          <t>Puma White-puma Black-deeva Peach</t>
        </is>
      </c>
      <c r="AB222" t="inlineStr">
        <is>
          <t>0197672107257</t>
        </is>
      </c>
      <c r="AC222" t="inlineStr">
        <is>
          <t>Amazon offer is in stock and shippable</t>
        </is>
      </c>
      <c r="AD222" t="inlineStr">
        <is>
          <t>PUMA</t>
        </is>
      </c>
      <c r="AE222" t="inlineStr">
        <is>
          <t>8.5</t>
        </is>
      </c>
      <c r="AF222" t="inlineStr">
        <is>
          <t>https://m.media-amazon.com/images/I/51fCKDWOOrL.jpg;https://m.media-amazon.com/images/I/51nQYBVLAFL.jpg;https://m.media-amazon.com/images/I/51Mm-M8jXjL.jpg;https://m.media-amazon.com/images/I/51gNFYETriL.jpg;https://m.media-amazon.com/images/I/51b4B8P5NZL.jpg</t>
        </is>
      </c>
      <c r="AG222"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3">
      <c r="A223" t="inlineStr">
        <is>
          <t>com</t>
        </is>
      </c>
      <c r="B223" t="inlineStr">
        <is>
          <t>B0D32CZ145</t>
        </is>
      </c>
      <c r="C223" t="inlineStr">
        <is>
          <t>PUMA Women's Carina Street Sneaker, White Black-Deeva Peach, 9</t>
        </is>
      </c>
      <c r="D223" t="n">
        <v>34.74</v>
      </c>
      <c r="E223" t="n">
        <v>34.74</v>
      </c>
      <c r="F223" t="n">
        <v>976772</v>
      </c>
      <c r="G223" t="n">
        <v>1709626</v>
      </c>
      <c r="H223" t="n">
        <v>46.08</v>
      </c>
      <c r="I223" t="n">
        <v>58.23</v>
      </c>
      <c r="J223" t="n">
        <v>0</v>
      </c>
      <c r="K223" t="n">
        <v>0</v>
      </c>
      <c r="L223" t="n">
        <v>3</v>
      </c>
      <c r="M223" t="n">
        <v>4</v>
      </c>
      <c r="Q223" t="n">
        <v>8</v>
      </c>
      <c r="R223" t="n">
        <v>8</v>
      </c>
      <c r="S223" t="inlineStr"/>
      <c r="U223" t="n">
        <v>2.01061344</v>
      </c>
      <c r="V223" t="n">
        <v>8.02</v>
      </c>
      <c r="W223" t="n">
        <v>5.21</v>
      </c>
      <c r="X223" t="inlineStr">
        <is>
          <t>197672107318</t>
        </is>
      </c>
      <c r="Y223" t="inlineStr"/>
      <c r="Z223" t="inlineStr">
        <is>
          <t>38939038</t>
        </is>
      </c>
      <c r="AA223" t="inlineStr">
        <is>
          <t>Puma White-puma Black-deeva Peach</t>
        </is>
      </c>
      <c r="AB223" t="inlineStr">
        <is>
          <t>0197672107318</t>
        </is>
      </c>
      <c r="AC223" t="inlineStr">
        <is>
          <t>Amazon offer is in stock and shippable</t>
        </is>
      </c>
      <c r="AD223" t="inlineStr">
        <is>
          <t>PUMA</t>
        </is>
      </c>
      <c r="AE223" t="inlineStr">
        <is>
          <t>9</t>
        </is>
      </c>
      <c r="AF223" t="inlineStr">
        <is>
          <t>https://m.media-amazon.com/images/I/51fCKDWOOrL.jpg;https://m.media-amazon.com/images/I/51nQYBVLAFL.jpg;https://m.media-amazon.com/images/I/51Mm-M8jXjL.jpg;https://m.media-amazon.com/images/I/51gNFYETriL.jpg;https://m.media-amazon.com/images/I/51b4B8P5NZL.jpg</t>
        </is>
      </c>
      <c r="AG223"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4">
      <c r="A224" t="inlineStr">
        <is>
          <t>com</t>
        </is>
      </c>
      <c r="B224" t="inlineStr">
        <is>
          <t>B0D32BZ5YB</t>
        </is>
      </c>
      <c r="C224" t="inlineStr">
        <is>
          <t>PUMA Women's Carina Street Sneaker, White Black-Deeva Peach, 9.5</t>
        </is>
      </c>
      <c r="D224" t="n">
        <v>24.92</v>
      </c>
      <c r="E224" t="n">
        <v>24.92</v>
      </c>
      <c r="H224" t="n">
        <v>45.9</v>
      </c>
      <c r="I224" t="n">
        <v>58.13</v>
      </c>
      <c r="J224" t="n">
        <v>0</v>
      </c>
      <c r="K224" t="n">
        <v>0</v>
      </c>
      <c r="L224" t="n">
        <v>3</v>
      </c>
      <c r="M224" t="n">
        <v>4</v>
      </c>
      <c r="Q224" t="n">
        <v>-1</v>
      </c>
      <c r="R224" t="n">
        <v>-1</v>
      </c>
      <c r="S224" t="inlineStr"/>
      <c r="U224" t="n">
        <v>2.14068602</v>
      </c>
      <c r="V224" t="n">
        <v>8.1</v>
      </c>
      <c r="W224" t="n">
        <v>3.74</v>
      </c>
      <c r="X224" t="inlineStr">
        <is>
          <t>197672107264</t>
        </is>
      </c>
      <c r="Y224" t="inlineStr"/>
      <c r="Z224" t="inlineStr">
        <is>
          <t>38939038</t>
        </is>
      </c>
      <c r="AA224" t="inlineStr">
        <is>
          <t>Puma White-puma Black-deeva Peach</t>
        </is>
      </c>
      <c r="AB224" t="inlineStr">
        <is>
          <t>0197672107264</t>
        </is>
      </c>
      <c r="AC224" t="inlineStr">
        <is>
          <t>Amazon offer is in stock and shippable</t>
        </is>
      </c>
      <c r="AD224" t="inlineStr">
        <is>
          <t>PUMA</t>
        </is>
      </c>
      <c r="AE224" t="inlineStr">
        <is>
          <t>9.5</t>
        </is>
      </c>
      <c r="AF224" t="inlineStr">
        <is>
          <t>https://m.media-amazon.com/images/I/51fCKDWOOrL.jpg;https://m.media-amazon.com/images/I/51nQYBVLAFL.jpg;https://m.media-amazon.com/images/I/51Mm-M8jXjL.jpg;https://m.media-amazon.com/images/I/51gNFYETriL.jpg;https://m.media-amazon.com/images/I/51b4B8P5NZL.jpg</t>
        </is>
      </c>
      <c r="AG224"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5">
      <c r="A225" t="inlineStr">
        <is>
          <t>com</t>
        </is>
      </c>
      <c r="B225" t="inlineStr">
        <is>
          <t>B0D328X3MY</t>
        </is>
      </c>
      <c r="C225" t="inlineStr">
        <is>
          <t>PUMA Women's Carina Street Sneaker, White Black-Deeva Peach, 10</t>
        </is>
      </c>
      <c r="D225" t="n">
        <v>39.58</v>
      </c>
      <c r="E225" t="n">
        <v>39.58</v>
      </c>
      <c r="F225" t="n">
        <v>2364453</v>
      </c>
      <c r="G225" t="n">
        <v>4131113</v>
      </c>
      <c r="H225" t="n">
        <v>49.94</v>
      </c>
      <c r="I225" t="n">
        <v>60.45</v>
      </c>
      <c r="J225" t="n">
        <v>0</v>
      </c>
      <c r="K225" t="n">
        <v>0</v>
      </c>
      <c r="L225" t="n">
        <v>3</v>
      </c>
      <c r="M225" t="n">
        <v>4</v>
      </c>
      <c r="Q225" t="n">
        <v>2</v>
      </c>
      <c r="R225" t="n">
        <v>2</v>
      </c>
      <c r="S225" t="inlineStr"/>
      <c r="U225" t="n">
        <v>2.08997976</v>
      </c>
      <c r="V225" t="n">
        <v>8.18</v>
      </c>
      <c r="W225" t="n">
        <v>5.94</v>
      </c>
      <c r="X225" t="inlineStr">
        <is>
          <t>197672107325</t>
        </is>
      </c>
      <c r="Y225" t="inlineStr"/>
      <c r="Z225" t="inlineStr">
        <is>
          <t>38939038</t>
        </is>
      </c>
      <c r="AA225" t="inlineStr">
        <is>
          <t>Puma White-puma Black-deeva Peach</t>
        </is>
      </c>
      <c r="AB225" t="inlineStr">
        <is>
          <t>0197672107325</t>
        </is>
      </c>
      <c r="AC225" t="inlineStr">
        <is>
          <t>Amazon offer is in stock and shippable</t>
        </is>
      </c>
      <c r="AD225" t="inlineStr">
        <is>
          <t>PUMA</t>
        </is>
      </c>
      <c r="AE225" t="inlineStr">
        <is>
          <t>10</t>
        </is>
      </c>
      <c r="AF225" t="inlineStr">
        <is>
          <t>https://m.media-amazon.com/images/I/51fCKDWOOrL.jpg;https://m.media-amazon.com/images/I/51nQYBVLAFL.jpg;https://m.media-amazon.com/images/I/51Mm-M8jXjL.jpg;https://m.media-amazon.com/images/I/51gNFYETriL.jpg;https://m.media-amazon.com/images/I/51b4B8P5NZL.jpg</t>
        </is>
      </c>
      <c r="AG225"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6">
      <c r="A226" t="inlineStr">
        <is>
          <t>com</t>
        </is>
      </c>
      <c r="B226" t="inlineStr">
        <is>
          <t>B0D329Y8J7</t>
        </is>
      </c>
      <c r="C226" t="inlineStr">
        <is>
          <t>PUMA Women's Carina Street Sneaker, White Black-Deeva Peach, 11</t>
        </is>
      </c>
      <c r="D226" t="n">
        <v>25.38</v>
      </c>
      <c r="E226" t="n">
        <v>25.38</v>
      </c>
      <c r="H226" t="n">
        <v>48.18</v>
      </c>
      <c r="I226" t="n">
        <v>59.59</v>
      </c>
      <c r="J226" t="n">
        <v>0</v>
      </c>
      <c r="K226" t="n">
        <v>0</v>
      </c>
      <c r="L226" t="n">
        <v>2</v>
      </c>
      <c r="M226" t="n">
        <v>3</v>
      </c>
      <c r="Q226" t="n">
        <v>-1</v>
      </c>
      <c r="R226" t="n">
        <v>-1</v>
      </c>
      <c r="S226" t="inlineStr"/>
      <c r="U226" t="n">
        <v>2.20021076</v>
      </c>
      <c r="V226" t="n">
        <v>8.1</v>
      </c>
      <c r="W226" t="n">
        <v>3.81</v>
      </c>
      <c r="X226" t="inlineStr">
        <is>
          <t>197672107332</t>
        </is>
      </c>
      <c r="Y226" t="inlineStr"/>
      <c r="Z226" t="inlineStr">
        <is>
          <t>38939038</t>
        </is>
      </c>
      <c r="AA226" t="inlineStr">
        <is>
          <t>Puma White-puma Black-deeva Peach</t>
        </is>
      </c>
      <c r="AB226" t="inlineStr">
        <is>
          <t>0197672107332</t>
        </is>
      </c>
      <c r="AC226" t="inlineStr">
        <is>
          <t>Amazon offer is in stock and shippable</t>
        </is>
      </c>
      <c r="AD226" t="inlineStr">
        <is>
          <t>PUMA</t>
        </is>
      </c>
      <c r="AE226" t="inlineStr">
        <is>
          <t>11</t>
        </is>
      </c>
      <c r="AF226" t="inlineStr"/>
      <c r="AG226"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27">
      <c r="A227" t="inlineStr">
        <is>
          <t>com</t>
        </is>
      </c>
      <c r="B227" t="inlineStr">
        <is>
          <t>B0DDTWHR73</t>
        </is>
      </c>
      <c r="C227" t="inlineStr">
        <is>
          <t>PUMA Women's Rebound Layup Sneaker White-Gray Fog-Alpine Snow, 5.5</t>
        </is>
      </c>
      <c r="D227" t="n">
        <v>70</v>
      </c>
      <c r="E227" t="n">
        <v>70</v>
      </c>
      <c r="F227" t="n">
        <v>540792</v>
      </c>
      <c r="G227" t="n">
        <v>404017</v>
      </c>
      <c r="H227" t="n">
        <v>70</v>
      </c>
      <c r="I227" t="n">
        <v>70</v>
      </c>
      <c r="J227" t="n">
        <v>0</v>
      </c>
      <c r="K227" t="n">
        <v>0</v>
      </c>
      <c r="L227" t="n">
        <v>2</v>
      </c>
      <c r="M227" t="n">
        <v>2</v>
      </c>
      <c r="Q227" t="n">
        <v>4</v>
      </c>
      <c r="R227" t="n">
        <v>4</v>
      </c>
      <c r="S227" t="inlineStr">
        <is>
          <t>B0DFHQMFW5</t>
        </is>
      </c>
      <c r="U227" t="n">
        <v>1.73944518</v>
      </c>
      <c r="V227" t="n">
        <v>7.54</v>
      </c>
      <c r="W227" t="n">
        <v>10.5</v>
      </c>
      <c r="X227" t="inlineStr">
        <is>
          <t>197672050935</t>
        </is>
      </c>
      <c r="Y227" t="inlineStr">
        <is>
          <t>39489159</t>
        </is>
      </c>
      <c r="Z227" t="inlineStr">
        <is>
          <t>39489159</t>
        </is>
      </c>
      <c r="AA227" t="inlineStr">
        <is>
          <t>Puma White-gray Fog-alpine Snow</t>
        </is>
      </c>
      <c r="AB227" t="inlineStr">
        <is>
          <t>0197672050935</t>
        </is>
      </c>
      <c r="AC227" t="inlineStr">
        <is>
          <t>Amazon offer is in stock and shippable</t>
        </is>
      </c>
      <c r="AD227" t="inlineStr">
        <is>
          <t>PUMA</t>
        </is>
      </c>
      <c r="AE227" t="inlineStr">
        <is>
          <t>5.5</t>
        </is>
      </c>
      <c r="AF227" t="inlineStr">
        <is>
          <t>https://m.media-amazon.com/images/I/51x1fB+kVkL.jpg;https://m.media-amazon.com/images/I/51Cwb-WTAGL.jpg;https://m.media-amazon.com/images/I/51+e99eYt3L.jpg;https://m.media-amazon.com/images/I/51t81oBRAFL.jpg;https://m.media-amazon.com/images/I/51tlprLP3PL.jpg;https://m.media-amazon.com/images/I/61KtwlbHIQL.jpg</t>
        </is>
      </c>
      <c r="AG227"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28">
      <c r="A228" t="inlineStr">
        <is>
          <t>com</t>
        </is>
      </c>
      <c r="B228" t="inlineStr">
        <is>
          <t>B0DDTY534Q</t>
        </is>
      </c>
      <c r="C228" t="inlineStr">
        <is>
          <t>PUMA Women's Rebound Layup Sneaker White-Gray Fog-Alpine Snow, 6</t>
        </is>
      </c>
      <c r="D228" t="n">
        <v>70</v>
      </c>
      <c r="E228" t="n">
        <v>69.95</v>
      </c>
      <c r="F228" t="n">
        <v>540792</v>
      </c>
      <c r="G228" t="n">
        <v>473533</v>
      </c>
      <c r="H228" t="n">
        <v>70</v>
      </c>
      <c r="I228" t="n">
        <v>70</v>
      </c>
      <c r="J228" t="n">
        <v>0.13</v>
      </c>
      <c r="K228" t="n">
        <v>0.19</v>
      </c>
      <c r="L228" t="n">
        <v>2</v>
      </c>
      <c r="M228" t="n">
        <v>3</v>
      </c>
      <c r="Q228" t="n">
        <v>11</v>
      </c>
      <c r="R228" t="n">
        <v>11</v>
      </c>
      <c r="S228" t="inlineStr">
        <is>
          <t>B0DFHQMFW5</t>
        </is>
      </c>
      <c r="U228" t="n">
        <v>1.79015144</v>
      </c>
      <c r="V228" t="n">
        <v>7.03</v>
      </c>
      <c r="W228" t="n">
        <v>10.5</v>
      </c>
      <c r="X228" t="inlineStr">
        <is>
          <t>197672050997</t>
        </is>
      </c>
      <c r="Y228" t="inlineStr">
        <is>
          <t>39489159</t>
        </is>
      </c>
      <c r="Z228" t="inlineStr">
        <is>
          <t>39489159</t>
        </is>
      </c>
      <c r="AA228" t="inlineStr">
        <is>
          <t>Puma White-gray Fog-alpine Snow</t>
        </is>
      </c>
      <c r="AB228" t="inlineStr">
        <is>
          <t>0197672050997</t>
        </is>
      </c>
      <c r="AC228" t="inlineStr">
        <is>
          <t>Amazon offer is in stock and shippable</t>
        </is>
      </c>
      <c r="AD228" t="inlineStr">
        <is>
          <t>PUMA</t>
        </is>
      </c>
      <c r="AE228" t="inlineStr">
        <is>
          <t>6</t>
        </is>
      </c>
      <c r="AF228" t="inlineStr">
        <is>
          <t>https://m.media-amazon.com/images/I/51x1fB+kVkL.jpg;https://m.media-amazon.com/images/I/51Cwb-WTAGL.jpg;https://m.media-amazon.com/images/I/51+e99eYt3L.jpg;https://m.media-amazon.com/images/I/51t81oBRAFL.jpg;https://m.media-amazon.com/images/I/51tlprLP3PL.jpg;https://m.media-amazon.com/images/I/61KtwlbHIQL.jpg</t>
        </is>
      </c>
      <c r="AG228"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29">
      <c r="A229" t="inlineStr">
        <is>
          <t>com</t>
        </is>
      </c>
      <c r="B229" t="inlineStr">
        <is>
          <t>B0DDTZC5P6</t>
        </is>
      </c>
      <c r="C229" t="inlineStr">
        <is>
          <t>PUMA Women's Rebound Layup Sneaker White-Gray Fog-Alpine Snow, 6.5</t>
        </is>
      </c>
      <c r="D229" t="n">
        <v>59.94</v>
      </c>
      <c r="E229" t="n">
        <v>59.94</v>
      </c>
      <c r="F229" t="n">
        <v>540792</v>
      </c>
      <c r="G229" t="n">
        <v>483900</v>
      </c>
      <c r="H229" t="n">
        <v>66.14</v>
      </c>
      <c r="I229" t="n">
        <v>66.14</v>
      </c>
      <c r="J229" t="n">
        <v>0</v>
      </c>
      <c r="K229" t="n">
        <v>0</v>
      </c>
      <c r="L229" t="n">
        <v>2</v>
      </c>
      <c r="M229" t="n">
        <v>3</v>
      </c>
      <c r="Q229" t="n">
        <v>11</v>
      </c>
      <c r="R229" t="n">
        <v>11</v>
      </c>
      <c r="S229" t="inlineStr">
        <is>
          <t>B0DFHQMFW5</t>
        </is>
      </c>
      <c r="U229" t="n">
        <v>1.80999302</v>
      </c>
      <c r="V229" t="n">
        <v>7.54</v>
      </c>
      <c r="W229" t="n">
        <v>8.99</v>
      </c>
      <c r="X229" t="inlineStr">
        <is>
          <t>197672050942</t>
        </is>
      </c>
      <c r="Y229" t="inlineStr">
        <is>
          <t>39489159</t>
        </is>
      </c>
      <c r="Z229" t="inlineStr">
        <is>
          <t>39489159</t>
        </is>
      </c>
      <c r="AA229" t="inlineStr">
        <is>
          <t>Puma White-gray Fog-alpine Snow</t>
        </is>
      </c>
      <c r="AB229" t="inlineStr">
        <is>
          <t>0197672050942</t>
        </is>
      </c>
      <c r="AC229" t="inlineStr">
        <is>
          <t>Amazon offer is in stock and shippable</t>
        </is>
      </c>
      <c r="AD229" t="inlineStr">
        <is>
          <t>PUMA</t>
        </is>
      </c>
      <c r="AE229" t="inlineStr">
        <is>
          <t>6.5</t>
        </is>
      </c>
      <c r="AF229" t="inlineStr">
        <is>
          <t>https://m.media-amazon.com/images/I/31zvk8LAGxL.jpg;https://m.media-amazon.com/images/I/41uAFWZF-NL.jpg;https://m.media-amazon.com/images/I/31XZbMo6XxL.jpg;https://m.media-amazon.com/images/I/31U7JVf3J1L.jpg;https://m.media-amazon.com/images/I/41e+h+Cfd3L.jpg;https://m.media-amazon.com/images/I/51hx2Esv8wL.jpg</t>
        </is>
      </c>
      <c r="AG229"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0">
      <c r="A230" t="inlineStr">
        <is>
          <t>com</t>
        </is>
      </c>
      <c r="B230" t="inlineStr">
        <is>
          <t>B0DDTZXDTV</t>
        </is>
      </c>
      <c r="C230" t="inlineStr">
        <is>
          <t>PUMA Women's Rebound Layup Sneaker White-Gray Fog-Alpine Snow, 7</t>
        </is>
      </c>
      <c r="D230" t="n">
        <v>59.94</v>
      </c>
      <c r="E230" t="n">
        <v>59.94</v>
      </c>
      <c r="F230" t="n">
        <v>483908</v>
      </c>
      <c r="G230" t="n">
        <v>518307</v>
      </c>
      <c r="H230" t="n">
        <v>66.2</v>
      </c>
      <c r="I230" t="n">
        <v>66.2</v>
      </c>
      <c r="J230" t="n">
        <v>0</v>
      </c>
      <c r="K230" t="n">
        <v>0</v>
      </c>
      <c r="L230" t="n">
        <v>2</v>
      </c>
      <c r="M230" t="n">
        <v>3</v>
      </c>
      <c r="Q230" t="n">
        <v>8</v>
      </c>
      <c r="R230" t="n">
        <v>8</v>
      </c>
      <c r="S230" t="inlineStr">
        <is>
          <t>B0DFHQMFW5</t>
        </is>
      </c>
      <c r="U230" t="n">
        <v>1.84967618</v>
      </c>
      <c r="V230" t="n">
        <v>7.03</v>
      </c>
      <c r="W230" t="n">
        <v>8.99</v>
      </c>
      <c r="X230" t="inlineStr">
        <is>
          <t>197672051000</t>
        </is>
      </c>
      <c r="Y230" t="inlineStr">
        <is>
          <t>39489159</t>
        </is>
      </c>
      <c r="Z230" t="inlineStr">
        <is>
          <t>39489159</t>
        </is>
      </c>
      <c r="AA230" t="inlineStr">
        <is>
          <t>Puma White-gray Fog-alpine Snow</t>
        </is>
      </c>
      <c r="AB230" t="inlineStr">
        <is>
          <t>0197672051000</t>
        </is>
      </c>
      <c r="AC230" t="inlineStr">
        <is>
          <t>Amazon offer is in stock and shippable</t>
        </is>
      </c>
      <c r="AD230" t="inlineStr">
        <is>
          <t>PUMA</t>
        </is>
      </c>
      <c r="AE230" t="inlineStr">
        <is>
          <t>7</t>
        </is>
      </c>
      <c r="AF230" t="inlineStr">
        <is>
          <t>https://m.media-amazon.com/images/I/51x1fB+kVkL.jpg;https://m.media-amazon.com/images/I/51Cwb-WTAGL.jpg;https://m.media-amazon.com/images/I/51+e99eYt3L.jpg;https://m.media-amazon.com/images/I/51t81oBRAFL.jpg;https://m.media-amazon.com/images/I/51tlprLP3PL.jpg;https://m.media-amazon.com/images/I/61KtwlbHIQL.jpg</t>
        </is>
      </c>
      <c r="AG230"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1">
      <c r="A231" t="inlineStr">
        <is>
          <t>com</t>
        </is>
      </c>
      <c r="B231" t="inlineStr">
        <is>
          <t>B0DDTYCF4Z</t>
        </is>
      </c>
      <c r="C231" t="inlineStr">
        <is>
          <t>PUMA Women's Rebound Layup Sneaker White-Gray Fog-Alpine Snow, 7.5</t>
        </is>
      </c>
      <c r="D231" t="n">
        <v>59.94</v>
      </c>
      <c r="E231" t="n">
        <v>59.94</v>
      </c>
      <c r="F231" t="n">
        <v>540792</v>
      </c>
      <c r="G231" t="n">
        <v>422403</v>
      </c>
      <c r="H231" t="n">
        <v>66.09999999999999</v>
      </c>
      <c r="I231" t="n">
        <v>66.09999999999999</v>
      </c>
      <c r="J231" t="n">
        <v>0</v>
      </c>
      <c r="K231" t="n">
        <v>0.12</v>
      </c>
      <c r="L231" t="n">
        <v>2</v>
      </c>
      <c r="M231" t="n">
        <v>2</v>
      </c>
      <c r="Q231" t="n">
        <v>5</v>
      </c>
      <c r="R231" t="n">
        <v>5</v>
      </c>
      <c r="S231" t="inlineStr">
        <is>
          <t>B0DFHQMFW5</t>
        </is>
      </c>
      <c r="U231" t="n">
        <v>1.90038244</v>
      </c>
      <c r="V231" t="n">
        <v>7.03</v>
      </c>
      <c r="W231" t="n">
        <v>8.99</v>
      </c>
      <c r="X231" t="inlineStr">
        <is>
          <t>197672050959</t>
        </is>
      </c>
      <c r="Y231" t="inlineStr">
        <is>
          <t>39489159</t>
        </is>
      </c>
      <c r="Z231" t="inlineStr">
        <is>
          <t>39489159</t>
        </is>
      </c>
      <c r="AA231" t="inlineStr">
        <is>
          <t>Puma White-gray Fog-alpine Snow</t>
        </is>
      </c>
      <c r="AB231" t="inlineStr">
        <is>
          <t>0197672050959</t>
        </is>
      </c>
      <c r="AC231" t="inlineStr">
        <is>
          <t>no Amazon offer exists</t>
        </is>
      </c>
      <c r="AD231" t="inlineStr">
        <is>
          <t>PUMA</t>
        </is>
      </c>
      <c r="AE231" t="inlineStr">
        <is>
          <t>7.5</t>
        </is>
      </c>
      <c r="AF231" t="inlineStr">
        <is>
          <t>https://m.media-amazon.com/images/I/51x1fB+kVkL.jpg;https://m.media-amazon.com/images/I/51Cwb-WTAGL.jpg;https://m.media-amazon.com/images/I/51+e99eYt3L.jpg;https://m.media-amazon.com/images/I/51t81oBRAFL.jpg;https://m.media-amazon.com/images/I/51tlprLP3PL.jpg;https://m.media-amazon.com/images/I/61KtwlbHIQL.jpg</t>
        </is>
      </c>
      <c r="AG231"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2">
      <c r="A232" t="inlineStr">
        <is>
          <t>com</t>
        </is>
      </c>
      <c r="B232" t="inlineStr">
        <is>
          <t>B0DDTY5PSJ</t>
        </is>
      </c>
      <c r="C232" t="inlineStr">
        <is>
          <t>PUMA Women's Rebound Layup Sneaker White-Gray Fog-Alpine Snow, 8</t>
        </is>
      </c>
      <c r="D232" t="n">
        <v>59.94</v>
      </c>
      <c r="E232" t="n">
        <v>59.94</v>
      </c>
      <c r="F232" t="n">
        <v>483908</v>
      </c>
      <c r="G232" t="n">
        <v>492670</v>
      </c>
      <c r="H232" t="n">
        <v>66.28</v>
      </c>
      <c r="I232" t="n">
        <v>66.28</v>
      </c>
      <c r="J232" t="n">
        <v>0</v>
      </c>
      <c r="K232" t="n">
        <v>0</v>
      </c>
      <c r="L232" t="n">
        <v>2</v>
      </c>
      <c r="M232" t="n">
        <v>3</v>
      </c>
      <c r="Q232" t="n">
        <v>11</v>
      </c>
      <c r="R232" t="n">
        <v>11</v>
      </c>
      <c r="S232" t="inlineStr">
        <is>
          <t>B0DFHQMFW5</t>
        </is>
      </c>
      <c r="U232" t="n">
        <v>1.95990718</v>
      </c>
      <c r="V232" t="n">
        <v>7.62</v>
      </c>
      <c r="W232" t="n">
        <v>8.99</v>
      </c>
      <c r="X232" t="inlineStr">
        <is>
          <t>197672051017</t>
        </is>
      </c>
      <c r="Y232" t="inlineStr">
        <is>
          <t>39489159</t>
        </is>
      </c>
      <c r="Z232" t="inlineStr">
        <is>
          <t>39489159</t>
        </is>
      </c>
      <c r="AA232" t="inlineStr">
        <is>
          <t>Puma White-gray Fog-alpine Snow</t>
        </is>
      </c>
      <c r="AB232" t="inlineStr">
        <is>
          <t>0197672051017</t>
        </is>
      </c>
      <c r="AC232" t="inlineStr">
        <is>
          <t>Amazon offer is in stock and shippable</t>
        </is>
      </c>
      <c r="AD232" t="inlineStr">
        <is>
          <t>PUMA</t>
        </is>
      </c>
      <c r="AE232" t="inlineStr">
        <is>
          <t>8</t>
        </is>
      </c>
      <c r="AF232" t="inlineStr">
        <is>
          <t>https://m.media-amazon.com/images/I/51x1fB+kVkL.jpg;https://m.media-amazon.com/images/I/51Cwb-WTAGL.jpg;https://m.media-amazon.com/images/I/51+e99eYt3L.jpg;https://m.media-amazon.com/images/I/51t81oBRAFL.jpg;https://m.media-amazon.com/images/I/51tlprLP3PL.jpg;https://m.media-amazon.com/images/I/61KtwlbHIQL.jpg</t>
        </is>
      </c>
      <c r="AG232"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3">
      <c r="A233" t="inlineStr">
        <is>
          <t>com</t>
        </is>
      </c>
      <c r="B233" t="inlineStr">
        <is>
          <t>B0DDTYYNNK</t>
        </is>
      </c>
      <c r="C233" t="inlineStr">
        <is>
          <t>PUMA Women's Rebound Layup Sneaker White-Gray Fog-Alpine Snow, 8.5</t>
        </is>
      </c>
      <c r="D233" t="n">
        <v>59.94</v>
      </c>
      <c r="E233" t="n">
        <v>59.94</v>
      </c>
      <c r="F233" t="n">
        <v>505450</v>
      </c>
      <c r="G233" t="n">
        <v>489041</v>
      </c>
      <c r="H233" t="n">
        <v>66.09</v>
      </c>
      <c r="I233" t="n">
        <v>66.09</v>
      </c>
      <c r="J233" t="n">
        <v>0</v>
      </c>
      <c r="K233" t="n">
        <v>0</v>
      </c>
      <c r="L233" t="n">
        <v>2</v>
      </c>
      <c r="M233" t="n">
        <v>4</v>
      </c>
      <c r="Q233" t="n">
        <v>10</v>
      </c>
      <c r="R233" t="n">
        <v>10</v>
      </c>
      <c r="S233" t="inlineStr">
        <is>
          <t>B0DFHQMFW5</t>
        </is>
      </c>
      <c r="U233" t="n">
        <v>2.07013818</v>
      </c>
      <c r="V233" t="n">
        <v>7.62</v>
      </c>
      <c r="W233" t="n">
        <v>8.99</v>
      </c>
      <c r="X233" t="inlineStr">
        <is>
          <t>197672050966</t>
        </is>
      </c>
      <c r="Y233" t="inlineStr">
        <is>
          <t>39489159</t>
        </is>
      </c>
      <c r="Z233" t="inlineStr">
        <is>
          <t>39489159</t>
        </is>
      </c>
      <c r="AA233" t="inlineStr">
        <is>
          <t>Puma White-gray Fog-alpine Snow</t>
        </is>
      </c>
      <c r="AB233" t="inlineStr">
        <is>
          <t>0197672050966</t>
        </is>
      </c>
      <c r="AC233" t="inlineStr">
        <is>
          <t>Amazon offer is in stock and shippable</t>
        </is>
      </c>
      <c r="AD233" t="inlineStr">
        <is>
          <t>PUMA</t>
        </is>
      </c>
      <c r="AE233" t="inlineStr">
        <is>
          <t>8.5</t>
        </is>
      </c>
      <c r="AF233" t="inlineStr">
        <is>
          <t>https://m.media-amazon.com/images/I/51x1fB+kVkL.jpg;https://m.media-amazon.com/images/I/51Cwb-WTAGL.jpg;https://m.media-amazon.com/images/I/51+e99eYt3L.jpg;https://m.media-amazon.com/images/I/51t81oBRAFL.jpg;https://m.media-amazon.com/images/I/51tlprLP3PL.jpg;https://m.media-amazon.com/images/I/61KtwlbHIQL.jpg</t>
        </is>
      </c>
      <c r="AG233"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4">
      <c r="A234" t="inlineStr">
        <is>
          <t>com</t>
        </is>
      </c>
      <c r="B234" t="inlineStr">
        <is>
          <t>B0DDV22S5L</t>
        </is>
      </c>
      <c r="C234" t="inlineStr">
        <is>
          <t>PUMA Women's Rebound Layup Sneaker White-Gray Fog-Alpine Snow, 9</t>
        </is>
      </c>
      <c r="D234" t="n">
        <v>58.59</v>
      </c>
      <c r="E234" t="n">
        <v>58.59</v>
      </c>
      <c r="F234" t="n">
        <v>540792</v>
      </c>
      <c r="G234" t="n">
        <v>506487</v>
      </c>
      <c r="H234" t="n">
        <v>66.19</v>
      </c>
      <c r="I234" t="n">
        <v>66.19</v>
      </c>
      <c r="J234" t="n">
        <v>0.1</v>
      </c>
      <c r="K234" t="n">
        <v>0.11</v>
      </c>
      <c r="L234" t="n">
        <v>2</v>
      </c>
      <c r="M234" t="n">
        <v>3</v>
      </c>
      <c r="Q234" t="n">
        <v>10</v>
      </c>
      <c r="R234" t="n">
        <v>10</v>
      </c>
      <c r="S234" t="inlineStr">
        <is>
          <t>B0DFHQMFW5</t>
        </is>
      </c>
      <c r="U234" t="n">
        <v>2.12084444</v>
      </c>
      <c r="V234" t="n">
        <v>7.62</v>
      </c>
      <c r="W234" t="n">
        <v>8.789999999999999</v>
      </c>
      <c r="X234" t="inlineStr">
        <is>
          <t>197672051024</t>
        </is>
      </c>
      <c r="Y234" t="inlineStr">
        <is>
          <t>39489159</t>
        </is>
      </c>
      <c r="Z234" t="inlineStr">
        <is>
          <t>39489159</t>
        </is>
      </c>
      <c r="AA234" t="inlineStr">
        <is>
          <t>Puma White-gray Fog-alpine Snow</t>
        </is>
      </c>
      <c r="AB234" t="inlineStr">
        <is>
          <t>0197672051024</t>
        </is>
      </c>
      <c r="AC234" t="inlineStr">
        <is>
          <t>Amazon offer is back-ordered</t>
        </is>
      </c>
      <c r="AD234" t="inlineStr">
        <is>
          <t>PUMA</t>
        </is>
      </c>
      <c r="AE234" t="inlineStr">
        <is>
          <t>9</t>
        </is>
      </c>
      <c r="AF234" t="inlineStr">
        <is>
          <t>https://m.media-amazon.com/images/I/51x1fB+kVkL.jpg;https://m.media-amazon.com/images/I/51Cwb-WTAGL.jpg;https://m.media-amazon.com/images/I/51+e99eYt3L.jpg;https://m.media-amazon.com/images/I/51t81oBRAFL.jpg;https://m.media-amazon.com/images/I/51tlprLP3PL.jpg;https://m.media-amazon.com/images/I/61KtwlbHIQL.jpg</t>
        </is>
      </c>
      <c r="AG234"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5">
      <c r="A235" t="inlineStr">
        <is>
          <t>com</t>
        </is>
      </c>
      <c r="B235" t="inlineStr">
        <is>
          <t>B0DDTWWBRS</t>
        </is>
      </c>
      <c r="C235" t="inlineStr">
        <is>
          <t>PUMA Women's Rebound Layup Sneaker White-Gray Fog-Alpine Snow, 9.5</t>
        </is>
      </c>
      <c r="D235" t="n">
        <v>59.94</v>
      </c>
      <c r="E235" t="n">
        <v>59.94</v>
      </c>
      <c r="F235" t="n">
        <v>540792</v>
      </c>
      <c r="G235" t="n">
        <v>381430</v>
      </c>
      <c r="H235" t="n">
        <v>74.04000000000001</v>
      </c>
      <c r="I235" t="n">
        <v>74.04000000000001</v>
      </c>
      <c r="J235" t="n">
        <v>0.5</v>
      </c>
      <c r="K235" t="n">
        <v>0.99</v>
      </c>
      <c r="L235" t="n">
        <v>3</v>
      </c>
      <c r="M235" t="n">
        <v>3</v>
      </c>
      <c r="Q235" t="n">
        <v>4</v>
      </c>
      <c r="R235" t="n">
        <v>4</v>
      </c>
      <c r="S235" t="inlineStr">
        <is>
          <t>B0DFHQMFW5</t>
        </is>
      </c>
      <c r="U235" t="n">
        <v>2.20021076</v>
      </c>
      <c r="V235" t="n">
        <v>7.54</v>
      </c>
      <c r="W235" t="n">
        <v>8.99</v>
      </c>
      <c r="X235" t="inlineStr">
        <is>
          <t>197672050973</t>
        </is>
      </c>
      <c r="Y235" t="inlineStr">
        <is>
          <t>39489159</t>
        </is>
      </c>
      <c r="Z235" t="inlineStr">
        <is>
          <t>39489159</t>
        </is>
      </c>
      <c r="AA235" t="inlineStr">
        <is>
          <t>Puma White-gray Fog-alpine Snow</t>
        </is>
      </c>
      <c r="AB235" t="inlineStr">
        <is>
          <t>0197672050973</t>
        </is>
      </c>
      <c r="AC235" t="inlineStr">
        <is>
          <t>no Amazon offer exists</t>
        </is>
      </c>
      <c r="AD235" t="inlineStr">
        <is>
          <t>PUMA</t>
        </is>
      </c>
      <c r="AE235" t="inlineStr">
        <is>
          <t>9.5</t>
        </is>
      </c>
      <c r="AF235" t="inlineStr">
        <is>
          <t>https://m.media-amazon.com/images/I/51x1fB+kVkL.jpg;https://m.media-amazon.com/images/I/51Cwb-WTAGL.jpg;https://m.media-amazon.com/images/I/51+e99eYt3L.jpg;https://m.media-amazon.com/images/I/51t81oBRAFL.jpg;https://m.media-amazon.com/images/I/51tlprLP3PL.jpg;https://m.media-amazon.com/images/I/61KtwlbHIQL.jpg</t>
        </is>
      </c>
      <c r="AG235"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6">
      <c r="A236" t="inlineStr">
        <is>
          <t>com</t>
        </is>
      </c>
      <c r="B236" t="inlineStr">
        <is>
          <t>B0DDTY1DWV</t>
        </is>
      </c>
      <c r="C236" t="inlineStr">
        <is>
          <t>PUMA Women's Rebound Layup Sneaker White-Gray Fog-Alpine Snow, 10</t>
        </is>
      </c>
      <c r="D236" t="n">
        <v>59.94</v>
      </c>
      <c r="E236" t="n">
        <v>59.94</v>
      </c>
      <c r="F236" t="n">
        <v>505450</v>
      </c>
      <c r="G236" t="n">
        <v>456729</v>
      </c>
      <c r="H236" t="n">
        <v>74.15000000000001</v>
      </c>
      <c r="I236" t="n">
        <v>74.15000000000001</v>
      </c>
      <c r="J236" t="n">
        <v>0.5</v>
      </c>
      <c r="K236" t="n">
        <v>0.83</v>
      </c>
      <c r="L236" t="n">
        <v>3</v>
      </c>
      <c r="M236" t="n">
        <v>4</v>
      </c>
      <c r="Q236" t="n">
        <v>8</v>
      </c>
      <c r="R236" t="n">
        <v>8</v>
      </c>
      <c r="S236" t="inlineStr">
        <is>
          <t>B0DFHQMFW5</t>
        </is>
      </c>
      <c r="U236" t="n">
        <v>2.29941866</v>
      </c>
      <c r="V236" t="n">
        <v>7.54</v>
      </c>
      <c r="W236" t="n">
        <v>8.99</v>
      </c>
      <c r="X236" t="inlineStr">
        <is>
          <t>197672051031</t>
        </is>
      </c>
      <c r="Y236" t="inlineStr">
        <is>
          <t>39489159</t>
        </is>
      </c>
      <c r="Z236" t="inlineStr">
        <is>
          <t>39489159</t>
        </is>
      </c>
      <c r="AA236" t="inlineStr">
        <is>
          <t>Puma White-gray Fog-alpine Snow</t>
        </is>
      </c>
      <c r="AB236" t="inlineStr">
        <is>
          <t>0197672051031</t>
        </is>
      </c>
      <c r="AC236" t="inlineStr">
        <is>
          <t>Amazon offer is back-ordered</t>
        </is>
      </c>
      <c r="AD236" t="inlineStr">
        <is>
          <t>PUMA</t>
        </is>
      </c>
      <c r="AE236" t="inlineStr">
        <is>
          <t>10</t>
        </is>
      </c>
      <c r="AF236" t="inlineStr">
        <is>
          <t>https://m.media-amazon.com/images/I/51x1fB+kVkL.jpg;https://m.media-amazon.com/images/I/51Cwb-WTAGL.jpg;https://m.media-amazon.com/images/I/51+e99eYt3L.jpg;https://m.media-amazon.com/images/I/51t81oBRAFL.jpg;https://m.media-amazon.com/images/I/51tlprLP3PL.jpg;https://m.media-amazon.com/images/I/61KtwlbHIQL.jpg</t>
        </is>
      </c>
      <c r="AG236"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7">
      <c r="A237" t="inlineStr">
        <is>
          <t>com</t>
        </is>
      </c>
      <c r="B237" t="inlineStr">
        <is>
          <t>B0DDTZ49TJ</t>
        </is>
      </c>
      <c r="C237" t="inlineStr">
        <is>
          <t>PUMA Women's Rebound Layup Sneaker White-Gray Fog-Alpine Snow, 10.5</t>
        </is>
      </c>
      <c r="D237" t="n">
        <v>70</v>
      </c>
      <c r="E237" t="n">
        <v>70</v>
      </c>
      <c r="F237" t="n">
        <v>540792</v>
      </c>
      <c r="G237" t="n">
        <v>489771</v>
      </c>
      <c r="H237" t="n">
        <v>70</v>
      </c>
      <c r="I237" t="n">
        <v>70</v>
      </c>
      <c r="J237" t="n">
        <v>0</v>
      </c>
      <c r="K237" t="n">
        <v>0</v>
      </c>
      <c r="L237" t="n">
        <v>2</v>
      </c>
      <c r="M237" t="n">
        <v>2</v>
      </c>
      <c r="Q237" t="n">
        <v>7</v>
      </c>
      <c r="R237" t="n">
        <v>7</v>
      </c>
      <c r="S237" t="inlineStr">
        <is>
          <t>B0DFHQMFW5</t>
        </is>
      </c>
      <c r="U237" t="n">
        <v>2.3589434</v>
      </c>
      <c r="V237" t="n">
        <v>7.86</v>
      </c>
      <c r="W237" t="n">
        <v>10.5</v>
      </c>
      <c r="X237" t="inlineStr">
        <is>
          <t>197672050980</t>
        </is>
      </c>
      <c r="Y237" t="inlineStr">
        <is>
          <t>39489159</t>
        </is>
      </c>
      <c r="Z237" t="inlineStr">
        <is>
          <t>39489159</t>
        </is>
      </c>
      <c r="AA237" t="inlineStr">
        <is>
          <t>Puma White-gray Fog-alpine Snow</t>
        </is>
      </c>
      <c r="AB237" t="inlineStr">
        <is>
          <t>0197672050980</t>
        </is>
      </c>
      <c r="AC237" t="inlineStr">
        <is>
          <t>Amazon offer is in stock and shippable</t>
        </is>
      </c>
      <c r="AD237" t="inlineStr">
        <is>
          <t>PUMA</t>
        </is>
      </c>
      <c r="AE237" t="inlineStr">
        <is>
          <t>10.5</t>
        </is>
      </c>
      <c r="AF237" t="inlineStr">
        <is>
          <t>https://m.media-amazon.com/images/I/31zvk8LAGxL.jpg;https://m.media-amazon.com/images/I/41uAFWZF-NL.jpg;https://m.media-amazon.com/images/I/31XZbMo6XxL.jpg;https://m.media-amazon.com/images/I/31U7JVf3J1L.jpg;https://m.media-amazon.com/images/I/41e+h+Cfd3L.jpg;https://m.media-amazon.com/images/I/51hx2Esv8wL.jpg</t>
        </is>
      </c>
      <c r="AG237"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8">
      <c r="A238" t="inlineStr">
        <is>
          <t>com</t>
        </is>
      </c>
      <c r="B238" t="inlineStr">
        <is>
          <t>B0DDTXK3G6</t>
        </is>
      </c>
      <c r="C238" t="inlineStr">
        <is>
          <t>PUMA Women's Rebound Layup Sneaker White-Gray Fog-Alpine Snow, 11</t>
        </is>
      </c>
      <c r="D238" t="n">
        <v>59.94</v>
      </c>
      <c r="E238" t="n">
        <v>59.94</v>
      </c>
      <c r="F238" t="n">
        <v>540792</v>
      </c>
      <c r="G238" t="n">
        <v>584528</v>
      </c>
      <c r="H238" t="n">
        <v>66.16</v>
      </c>
      <c r="I238" t="n">
        <v>66.16</v>
      </c>
      <c r="J238" t="n">
        <v>0</v>
      </c>
      <c r="K238" t="n">
        <v>0</v>
      </c>
      <c r="L238" t="n">
        <v>2</v>
      </c>
      <c r="M238" t="n">
        <v>3</v>
      </c>
      <c r="Q238" t="n">
        <v>6</v>
      </c>
      <c r="R238" t="n">
        <v>6</v>
      </c>
      <c r="S238" t="inlineStr">
        <is>
          <t>B0DFHQMFW5</t>
        </is>
      </c>
      <c r="U238" t="n">
        <v>2.3589434</v>
      </c>
      <c r="V238" t="n">
        <v>7.86</v>
      </c>
      <c r="W238" t="n">
        <v>8.99</v>
      </c>
      <c r="X238" t="inlineStr">
        <is>
          <t>197672051048</t>
        </is>
      </c>
      <c r="Y238" t="inlineStr">
        <is>
          <t>39489159</t>
        </is>
      </c>
      <c r="Z238" t="inlineStr">
        <is>
          <t>39489159</t>
        </is>
      </c>
      <c r="AA238" t="inlineStr">
        <is>
          <t>Puma White-gray Fog-alpine Snow</t>
        </is>
      </c>
      <c r="AB238" t="inlineStr">
        <is>
          <t>0197672051048</t>
        </is>
      </c>
      <c r="AC238" t="inlineStr">
        <is>
          <t>Amazon offer is in stock and shippable</t>
        </is>
      </c>
      <c r="AD238" t="inlineStr">
        <is>
          <t>PUMA</t>
        </is>
      </c>
      <c r="AE238" t="inlineStr">
        <is>
          <t>11</t>
        </is>
      </c>
      <c r="AF238" t="inlineStr">
        <is>
          <t>https://m.media-amazon.com/images/I/51x1fB+kVkL.jpg;https://m.media-amazon.com/images/I/51Cwb-WTAGL.jpg;https://m.media-amazon.com/images/I/51+e99eYt3L.jpg;https://m.media-amazon.com/images/I/51t81oBRAFL.jpg;https://m.media-amazon.com/images/I/51tlprLP3PL.jpg;https://m.media-amazon.com/images/I/61KtwlbHIQL.jpg</t>
        </is>
      </c>
      <c r="AG238"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239">
      <c r="A239" t="inlineStr">
        <is>
          <t>com</t>
        </is>
      </c>
      <c r="B239" t="inlineStr">
        <is>
          <t>B0CLQ82DR8</t>
        </is>
      </c>
      <c r="C239" t="inlineStr">
        <is>
          <t>PUMA Womens Club 5v5 Sneaker, PUMA Womens White-PUMA Womens Black-Feather Gray, 5.5</t>
        </is>
      </c>
      <c r="D239" t="n">
        <v>92.31</v>
      </c>
      <c r="E239" t="n">
        <v>92.31</v>
      </c>
      <c r="F239" t="n">
        <v>37018</v>
      </c>
      <c r="G239" t="n">
        <v>25677</v>
      </c>
      <c r="H239" t="n">
        <v>59.91</v>
      </c>
      <c r="I239" t="n">
        <v>59.6</v>
      </c>
      <c r="J239" t="n">
        <v>0</v>
      </c>
      <c r="K239" t="n">
        <v>0.24</v>
      </c>
      <c r="L239" t="n">
        <v>2</v>
      </c>
      <c r="M239" t="n">
        <v>2</v>
      </c>
      <c r="N239" t="n">
        <v>4.3</v>
      </c>
      <c r="O239" t="n">
        <v>2</v>
      </c>
      <c r="P239" t="n">
        <v>245</v>
      </c>
      <c r="Q239" t="n">
        <v>38</v>
      </c>
      <c r="R239" t="n">
        <v>106</v>
      </c>
      <c r="S239" t="inlineStr">
        <is>
          <t>B0DBV5Z5RW</t>
        </is>
      </c>
      <c r="U239" t="n">
        <v>1.28088422</v>
      </c>
      <c r="V239" t="n">
        <v>6.24</v>
      </c>
      <c r="W239" t="inlineStr"/>
      <c r="X239" t="inlineStr">
        <is>
          <t>197646177156</t>
        </is>
      </c>
      <c r="Y239" t="inlineStr">
        <is>
          <t>39867002</t>
        </is>
      </c>
      <c r="Z239" t="inlineStr">
        <is>
          <t>39867002</t>
        </is>
      </c>
      <c r="AA239" t="inlineStr">
        <is>
          <t>Puma White-puma Black-feather Gray</t>
        </is>
      </c>
      <c r="AB239" t="inlineStr">
        <is>
          <t>0197646177156</t>
        </is>
      </c>
      <c r="AC239" t="inlineStr">
        <is>
          <t>no Amazon offer exists</t>
        </is>
      </c>
      <c r="AD239" t="inlineStr">
        <is>
          <t>PUMA</t>
        </is>
      </c>
      <c r="AE239" t="inlineStr">
        <is>
          <t>5.5</t>
        </is>
      </c>
      <c r="AF239" t="inlineStr">
        <is>
          <t>https://m.media-amazon.com/images/I/411nZ3VECDL.jpg;https://m.media-amazon.com/images/I/41vqp4kx9ML.jpg;https://m.media-amazon.com/images/I/41w5Kx4DYuL.jpg;https://m.media-amazon.com/images/I/51o8XdAzxKL.jpg;https://m.media-amazon.com/images/I/41Q13jkfRcL.jpg;https://m.media-amazon.com/images/I/41CKv60pkQL.jpg</t>
        </is>
      </c>
      <c r="AG239" t="inlineStr">
        <is>
          <t>Description
PUMA womens Club 5v5 Sneaker</t>
        </is>
      </c>
    </row>
    <row r="240">
      <c r="A240" t="inlineStr">
        <is>
          <t>com</t>
        </is>
      </c>
      <c r="B240" t="inlineStr">
        <is>
          <t>B0CLQ5XGXD</t>
        </is>
      </c>
      <c r="C240" t="inlineStr">
        <is>
          <t>PUMA Womens Club 5v5 Sneaker, PUMA Womens White-PUMA Womens Black-Feather Gray, 6</t>
        </is>
      </c>
      <c r="D240" t="n">
        <v>64.67</v>
      </c>
      <c r="E240" t="n">
        <v>64.67</v>
      </c>
      <c r="F240" t="n">
        <v>37018</v>
      </c>
      <c r="G240" t="n">
        <v>25178</v>
      </c>
      <c r="H240" t="n">
        <v>60.14</v>
      </c>
      <c r="I240" t="n">
        <v>59.82</v>
      </c>
      <c r="J240" t="n">
        <v>0</v>
      </c>
      <c r="K240" t="n">
        <v>0.53</v>
      </c>
      <c r="L240" t="n">
        <v>5</v>
      </c>
      <c r="M240" t="n">
        <v>4</v>
      </c>
      <c r="N240" t="n">
        <v>4.3</v>
      </c>
      <c r="O240" t="n">
        <v>2</v>
      </c>
      <c r="P240" t="n">
        <v>245</v>
      </c>
      <c r="Q240" t="n">
        <v>32</v>
      </c>
      <c r="R240" t="n">
        <v>106</v>
      </c>
      <c r="S240" t="inlineStr">
        <is>
          <t>B0DBV5Z5RW</t>
        </is>
      </c>
      <c r="U240" t="n">
        <v>1.35363668</v>
      </c>
      <c r="V240" t="n">
        <v>6.44</v>
      </c>
      <c r="W240" t="inlineStr"/>
      <c r="X240" t="inlineStr">
        <is>
          <t>197646177224</t>
        </is>
      </c>
      <c r="Y240" t="inlineStr">
        <is>
          <t>39867002</t>
        </is>
      </c>
      <c r="Z240" t="inlineStr">
        <is>
          <t>39867002</t>
        </is>
      </c>
      <c r="AA240" t="inlineStr">
        <is>
          <t>Puma White-puma Black-feather Gray</t>
        </is>
      </c>
      <c r="AB240" t="inlineStr">
        <is>
          <t>0197646177224</t>
        </is>
      </c>
      <c r="AC240" t="inlineStr">
        <is>
          <t>no Amazon offer exists</t>
        </is>
      </c>
      <c r="AD240" t="inlineStr">
        <is>
          <t>PUMA</t>
        </is>
      </c>
      <c r="AE240" t="inlineStr">
        <is>
          <t>6</t>
        </is>
      </c>
      <c r="AF240" t="inlineStr">
        <is>
          <t>https://m.media-amazon.com/images/I/21GSpAc+J1L.jpg;https://m.media-amazon.com/images/I/31irICTXfkL.jpg;https://m.media-amazon.com/images/I/21mrdj+AsGL.jpg;https://m.media-amazon.com/images/I/41snNHcRaDL.jpg;https://m.media-amazon.com/images/I/217ExCm-DdL.jpg;https://m.media-amazon.com/images/I/310rrChyB7L.jpg</t>
        </is>
      </c>
      <c r="AG240" t="inlineStr">
        <is>
          <t>Description
PUMA womens Club 5v5 Sneaker</t>
        </is>
      </c>
    </row>
    <row r="241">
      <c r="A241" t="inlineStr">
        <is>
          <t>com</t>
        </is>
      </c>
      <c r="B241" t="inlineStr">
        <is>
          <t>B0CLQ2CKH6</t>
        </is>
      </c>
      <c r="C241" t="inlineStr">
        <is>
          <t>PUMA Womens Club 5v5 Sneaker, PUMA Womens White-PUMA Womens Black-Feather Gray, 6.5</t>
        </is>
      </c>
      <c r="D241" t="n">
        <v>60</v>
      </c>
      <c r="E241" t="n">
        <v>60</v>
      </c>
      <c r="F241" t="n">
        <v>37018</v>
      </c>
      <c r="G241" t="n">
        <v>25225</v>
      </c>
      <c r="H241" t="n">
        <v>59.59</v>
      </c>
      <c r="I241" t="n">
        <v>59.85</v>
      </c>
      <c r="J241" t="n">
        <v>0</v>
      </c>
      <c r="K241" t="n">
        <v>0.25</v>
      </c>
      <c r="L241" t="n">
        <v>5</v>
      </c>
      <c r="M241" t="n">
        <v>4</v>
      </c>
      <c r="N241" t="n">
        <v>4.3</v>
      </c>
      <c r="O241" t="n">
        <v>7</v>
      </c>
      <c r="P241" t="n">
        <v>245</v>
      </c>
      <c r="Q241" t="n">
        <v>32</v>
      </c>
      <c r="R241" t="n">
        <v>105</v>
      </c>
      <c r="S241" t="inlineStr">
        <is>
          <t>B0DBV5Z5RW</t>
        </is>
      </c>
      <c r="U241" t="n">
        <v>1.41757066</v>
      </c>
      <c r="V241" t="n">
        <v>6.24</v>
      </c>
      <c r="W241" t="n">
        <v>9</v>
      </c>
      <c r="X241" t="inlineStr">
        <is>
          <t>197646177248</t>
        </is>
      </c>
      <c r="Y241" t="inlineStr">
        <is>
          <t>39867002</t>
        </is>
      </c>
      <c r="Z241" t="inlineStr">
        <is>
          <t>39867002</t>
        </is>
      </c>
      <c r="AA241" t="inlineStr">
        <is>
          <t>Puma White-puma Black-feather Gray</t>
        </is>
      </c>
      <c r="AB241" t="inlineStr">
        <is>
          <t>0197646177248</t>
        </is>
      </c>
      <c r="AC241" t="inlineStr">
        <is>
          <t>Amazon offer is back-ordered</t>
        </is>
      </c>
      <c r="AD241" t="inlineStr">
        <is>
          <t>PUMA</t>
        </is>
      </c>
      <c r="AE241" t="inlineStr">
        <is>
          <t>6.5</t>
        </is>
      </c>
      <c r="AF241" t="inlineStr">
        <is>
          <t>https://m.media-amazon.com/images/I/411nZ3VECDL.jpg;https://m.media-amazon.com/images/I/41vqp4kx9ML.jpg;https://m.media-amazon.com/images/I/41w5Kx4DYuL.jpg;https://m.media-amazon.com/images/I/51o8XdAzxKL.jpg;https://m.media-amazon.com/images/I/41Q13jkfRcL.jpg;https://m.media-amazon.com/images/I/41CKv60pkQL.jpg</t>
        </is>
      </c>
      <c r="AG241" t="inlineStr">
        <is>
          <t>Description
PUMA womens Club 5v5 Sneaker</t>
        </is>
      </c>
    </row>
    <row r="242">
      <c r="A242" t="inlineStr">
        <is>
          <t>com</t>
        </is>
      </c>
      <c r="B242" t="inlineStr">
        <is>
          <t>B0CLQ9KJ1Z</t>
        </is>
      </c>
      <c r="C242" t="inlineStr">
        <is>
          <t>PUMA Womens Club 5v5 Sneaker, PUMA Womens White-PUMA Womens Black-Feather Gray, 7</t>
        </is>
      </c>
      <c r="D242" t="n">
        <v>60</v>
      </c>
      <c r="E242" t="n">
        <v>60</v>
      </c>
      <c r="F242" t="n">
        <v>41667</v>
      </c>
      <c r="G242" t="n">
        <v>25538</v>
      </c>
      <c r="H242" t="n">
        <v>60.11</v>
      </c>
      <c r="I242" t="n">
        <v>60.02</v>
      </c>
      <c r="J242" t="n">
        <v>0</v>
      </c>
      <c r="K242" t="n">
        <v>0.41</v>
      </c>
      <c r="L242" t="n">
        <v>4</v>
      </c>
      <c r="M242" t="n">
        <v>2</v>
      </c>
      <c r="N242" t="n">
        <v>4.3</v>
      </c>
      <c r="O242" t="n">
        <v>9</v>
      </c>
      <c r="P242" t="n">
        <v>245</v>
      </c>
      <c r="Q242" t="n">
        <v>28</v>
      </c>
      <c r="R242" t="n">
        <v>75</v>
      </c>
      <c r="S242" t="inlineStr">
        <is>
          <t>B0DBV5Z5RW</t>
        </is>
      </c>
      <c r="T242" t="n">
        <v>50</v>
      </c>
      <c r="U242" t="n">
        <v>1.46166306</v>
      </c>
      <c r="V242" t="n">
        <v>6.61</v>
      </c>
      <c r="W242" t="n">
        <v>9</v>
      </c>
      <c r="X242" t="inlineStr">
        <is>
          <t>197646177200</t>
        </is>
      </c>
      <c r="Y242" t="inlineStr">
        <is>
          <t>39867002</t>
        </is>
      </c>
      <c r="Z242" t="inlineStr">
        <is>
          <t>39867002</t>
        </is>
      </c>
      <c r="AA242" t="inlineStr">
        <is>
          <t>Puma White-puma Black-feather Gray</t>
        </is>
      </c>
      <c r="AB242" t="inlineStr">
        <is>
          <t>0197646177200</t>
        </is>
      </c>
      <c r="AC242" t="inlineStr">
        <is>
          <t>Amazon offer is back-ordered</t>
        </is>
      </c>
      <c r="AD242" t="inlineStr">
        <is>
          <t>PUMA</t>
        </is>
      </c>
      <c r="AE242" t="inlineStr">
        <is>
          <t>7</t>
        </is>
      </c>
      <c r="AF242" t="inlineStr">
        <is>
          <t>https://m.media-amazon.com/images/I/411nZ3VECDL.jpg;https://m.media-amazon.com/images/I/41vqp4kx9ML.jpg;https://m.media-amazon.com/images/I/41w5Kx4DYuL.jpg;https://m.media-amazon.com/images/I/51o8XdAzxKL.jpg;https://m.media-amazon.com/images/I/41Q13jkfRcL.jpg;https://m.media-amazon.com/images/I/41CKv60pkQL.jpg</t>
        </is>
      </c>
      <c r="AG242" t="inlineStr">
        <is>
          <t>Description
PUMA womens Club 5v5 Sneaker</t>
        </is>
      </c>
    </row>
    <row r="243">
      <c r="A243" t="inlineStr">
        <is>
          <t>com</t>
        </is>
      </c>
      <c r="B243" t="inlineStr">
        <is>
          <t>B0CLQ5XGXC</t>
        </is>
      </c>
      <c r="C243" t="inlineStr">
        <is>
          <t>PUMA Womens Club 5v5 Sneaker, PUMA Womens White-PUMA Womens Black-Feather Gray, 7.5</t>
        </is>
      </c>
      <c r="D243" t="n">
        <v>60</v>
      </c>
      <c r="E243" t="n">
        <v>60</v>
      </c>
      <c r="F243" t="n">
        <v>41667</v>
      </c>
      <c r="G243" t="n">
        <v>25582</v>
      </c>
      <c r="H243" t="n">
        <v>59.92</v>
      </c>
      <c r="I243" t="n">
        <v>59.96</v>
      </c>
      <c r="J243" t="n">
        <v>0</v>
      </c>
      <c r="K243" t="n">
        <v>0.15</v>
      </c>
      <c r="L243" t="n">
        <v>4</v>
      </c>
      <c r="M243" t="n">
        <v>2</v>
      </c>
      <c r="N243" t="n">
        <v>4.3</v>
      </c>
      <c r="O243" t="n">
        <v>4</v>
      </c>
      <c r="P243" t="n">
        <v>245</v>
      </c>
      <c r="Q243" t="n">
        <v>38</v>
      </c>
      <c r="R243" t="n">
        <v>112</v>
      </c>
      <c r="S243" t="inlineStr">
        <is>
          <t>B0DBV5Z5RW</t>
        </is>
      </c>
      <c r="T243" t="n">
        <v>50</v>
      </c>
      <c r="U243" t="n">
        <v>1.52780166</v>
      </c>
      <c r="V243" t="n">
        <v>7.03</v>
      </c>
      <c r="W243" t="n">
        <v>9</v>
      </c>
      <c r="X243" t="inlineStr">
        <is>
          <t>197646177170</t>
        </is>
      </c>
      <c r="Y243" t="inlineStr">
        <is>
          <t>39867002</t>
        </is>
      </c>
      <c r="Z243" t="inlineStr">
        <is>
          <t>39867002</t>
        </is>
      </c>
      <c r="AA243" t="inlineStr">
        <is>
          <t>Puma White-puma Black-feather Gray</t>
        </is>
      </c>
      <c r="AB243" t="inlineStr">
        <is>
          <t>0197646177170</t>
        </is>
      </c>
      <c r="AC243" t="inlineStr">
        <is>
          <t>Amazon offer is back-ordered</t>
        </is>
      </c>
      <c r="AD243" t="inlineStr">
        <is>
          <t>PUMA</t>
        </is>
      </c>
      <c r="AE243" t="inlineStr">
        <is>
          <t>7.5</t>
        </is>
      </c>
      <c r="AF243" t="inlineStr">
        <is>
          <t>https://m.media-amazon.com/images/I/411nZ3VECDL.jpg;https://m.media-amazon.com/images/I/41vqp4kx9ML.jpg;https://m.media-amazon.com/images/I/41w5Kx4DYuL.jpg;https://m.media-amazon.com/images/I/51o8XdAzxKL.jpg;https://m.media-amazon.com/images/I/41Q13jkfRcL.jpg;https://m.media-amazon.com/images/I/41CKv60pkQL.jpg</t>
        </is>
      </c>
      <c r="AG243" t="inlineStr">
        <is>
          <t>Description
PUMA womens Club 5v5 Sneaker</t>
        </is>
      </c>
    </row>
    <row r="244">
      <c r="A244" t="inlineStr">
        <is>
          <t>com</t>
        </is>
      </c>
      <c r="B244" t="inlineStr">
        <is>
          <t>B0CLQ4HF5P</t>
        </is>
      </c>
      <c r="C244" t="inlineStr">
        <is>
          <t>PUMA Womens Club 5v5 Sneaker, PUMA Womens White-PUMA Womens Black-Feather Gray, 8</t>
        </is>
      </c>
      <c r="D244" t="n">
        <v>64.67</v>
      </c>
      <c r="E244" t="n">
        <v>64.67</v>
      </c>
      <c r="F244" t="n">
        <v>37018</v>
      </c>
      <c r="G244" t="n">
        <v>25305</v>
      </c>
      <c r="H244" t="n">
        <v>60.05</v>
      </c>
      <c r="I244" t="n">
        <v>59.81</v>
      </c>
      <c r="J244" t="n">
        <v>0</v>
      </c>
      <c r="K244" t="n">
        <v>0.19</v>
      </c>
      <c r="L244" t="n">
        <v>4</v>
      </c>
      <c r="M244" t="n">
        <v>3</v>
      </c>
      <c r="N244" t="n">
        <v>4.3</v>
      </c>
      <c r="O244" t="n">
        <v>4</v>
      </c>
      <c r="P244" t="n">
        <v>245</v>
      </c>
      <c r="Q244" t="n">
        <v>40</v>
      </c>
      <c r="R244" t="n">
        <v>100</v>
      </c>
      <c r="S244" t="inlineStr">
        <is>
          <t>B0DBV5Z5RW</t>
        </is>
      </c>
      <c r="T244" t="n">
        <v>50</v>
      </c>
      <c r="U244" t="n">
        <v>1.55866634</v>
      </c>
      <c r="V244" t="n">
        <v>6.61</v>
      </c>
      <c r="W244" t="inlineStr"/>
      <c r="X244" t="inlineStr">
        <is>
          <t>197646177255</t>
        </is>
      </c>
      <c r="Y244" t="inlineStr">
        <is>
          <t>39867002</t>
        </is>
      </c>
      <c r="Z244" t="inlineStr">
        <is>
          <t>39867002</t>
        </is>
      </c>
      <c r="AA244" t="inlineStr">
        <is>
          <t>Puma White-puma Black-feather Gray</t>
        </is>
      </c>
      <c r="AB244" t="inlineStr">
        <is>
          <t>0197646177255</t>
        </is>
      </c>
      <c r="AC244" t="inlineStr">
        <is>
          <t>no Amazon offer exists</t>
        </is>
      </c>
      <c r="AD244" t="inlineStr">
        <is>
          <t>PUMA</t>
        </is>
      </c>
      <c r="AE244" t="inlineStr">
        <is>
          <t>8</t>
        </is>
      </c>
      <c r="AF244" t="inlineStr">
        <is>
          <t>https://m.media-amazon.com/images/I/411nZ3VECDL.jpg;https://m.media-amazon.com/images/I/41vqp4kx9ML.jpg;https://m.media-amazon.com/images/I/41w5Kx4DYuL.jpg;https://m.media-amazon.com/images/I/51o8XdAzxKL.jpg;https://m.media-amazon.com/images/I/41Q13jkfRcL.jpg;https://m.media-amazon.com/images/I/41CKv60pkQL.jpg</t>
        </is>
      </c>
      <c r="AG244" t="inlineStr">
        <is>
          <t>Description
PUMA womens Club 5v5 Sneaker</t>
        </is>
      </c>
    </row>
    <row r="245">
      <c r="A245" t="inlineStr">
        <is>
          <t>com</t>
        </is>
      </c>
      <c r="B245" t="inlineStr">
        <is>
          <t>B0CLQ6SWCS</t>
        </is>
      </c>
      <c r="C245" t="inlineStr">
        <is>
          <t>PUMA Womens Club 5v5 Sneaker, PUMA Womens White-PUMA Womens Black-Feather Gray, 8.5</t>
        </is>
      </c>
      <c r="D245" t="n">
        <v>60</v>
      </c>
      <c r="E245" t="n">
        <v>60</v>
      </c>
      <c r="F245" t="n">
        <v>41667</v>
      </c>
      <c r="G245" t="n">
        <v>25370</v>
      </c>
      <c r="H245" t="n">
        <v>60</v>
      </c>
      <c r="I245" t="n">
        <v>59.81</v>
      </c>
      <c r="J245" t="n">
        <v>0</v>
      </c>
      <c r="K245" t="n">
        <v>0.22</v>
      </c>
      <c r="L245" t="n">
        <v>5</v>
      </c>
      <c r="M245" t="n">
        <v>4</v>
      </c>
      <c r="N245" t="n">
        <v>4.3</v>
      </c>
      <c r="O245" t="n">
        <v>6</v>
      </c>
      <c r="P245" t="n">
        <v>245</v>
      </c>
      <c r="Q245" t="n">
        <v>39</v>
      </c>
      <c r="R245" t="n">
        <v>107</v>
      </c>
      <c r="S245" t="inlineStr">
        <is>
          <t>B0DBV5Z5RW</t>
        </is>
      </c>
      <c r="T245" t="n">
        <v>50</v>
      </c>
      <c r="U245" t="n">
        <v>1.60716798</v>
      </c>
      <c r="V245" t="n">
        <v>6.61</v>
      </c>
      <c r="W245" t="n">
        <v>9</v>
      </c>
      <c r="X245" t="inlineStr">
        <is>
          <t>197646177231</t>
        </is>
      </c>
      <c r="Y245" t="inlineStr">
        <is>
          <t>39867002</t>
        </is>
      </c>
      <c r="Z245" t="inlineStr">
        <is>
          <t>39867002</t>
        </is>
      </c>
      <c r="AA245" t="inlineStr">
        <is>
          <t>Puma White-puma Black-feather Gray</t>
        </is>
      </c>
      <c r="AB245" t="inlineStr">
        <is>
          <t>0197646177231</t>
        </is>
      </c>
      <c r="AC245" t="inlineStr">
        <is>
          <t>Amazon offer is back-ordered</t>
        </is>
      </c>
      <c r="AD245" t="inlineStr">
        <is>
          <t>PUMA</t>
        </is>
      </c>
      <c r="AE245" t="inlineStr">
        <is>
          <t>8.5</t>
        </is>
      </c>
      <c r="AF245" t="inlineStr">
        <is>
          <t>https://m.media-amazon.com/images/I/411nZ3VECDL.jpg;https://m.media-amazon.com/images/I/41vqp4kx9ML.jpg;https://m.media-amazon.com/images/I/41w5Kx4DYuL.jpg;https://m.media-amazon.com/images/I/51o8XdAzxKL.jpg;https://m.media-amazon.com/images/I/41Q13jkfRcL.jpg;https://m.media-amazon.com/images/I/41CKv60pkQL.jpg</t>
        </is>
      </c>
      <c r="AG245" t="inlineStr">
        <is>
          <t>Description
PUMA womens Club 5v5 Sneaker</t>
        </is>
      </c>
    </row>
    <row r="246">
      <c r="A246" t="inlineStr">
        <is>
          <t>com</t>
        </is>
      </c>
      <c r="B246" t="inlineStr">
        <is>
          <t>B0CLPZ28X1</t>
        </is>
      </c>
      <c r="C246" t="inlineStr">
        <is>
          <t>PUMA Womens Club 5v5 Sneaker, PUMA Womens White-PUMA Womens Black-Feather Gray, 9</t>
        </is>
      </c>
      <c r="D246" t="n">
        <v>80</v>
      </c>
      <c r="E246" t="n">
        <v>80</v>
      </c>
      <c r="F246" t="n">
        <v>41667</v>
      </c>
      <c r="G246" t="n">
        <v>25433</v>
      </c>
      <c r="H246" t="n">
        <v>59.71</v>
      </c>
      <c r="I246" t="n">
        <v>59.79</v>
      </c>
      <c r="J246" t="n">
        <v>0</v>
      </c>
      <c r="K246" t="n">
        <v>0.19</v>
      </c>
      <c r="L246" t="n">
        <v>4</v>
      </c>
      <c r="M246" t="n">
        <v>2</v>
      </c>
      <c r="N246" t="n">
        <v>4.3</v>
      </c>
      <c r="O246" t="n">
        <v>6</v>
      </c>
      <c r="P246" t="n">
        <v>245</v>
      </c>
      <c r="Q246" t="n">
        <v>34</v>
      </c>
      <c r="R246" t="n">
        <v>87</v>
      </c>
      <c r="S246" t="inlineStr">
        <is>
          <t>B0DBV5Z5RW</t>
        </is>
      </c>
      <c r="T246" t="n">
        <v>50</v>
      </c>
      <c r="U246" t="n">
        <v>1.62921418</v>
      </c>
      <c r="V246" t="n">
        <v>7.54</v>
      </c>
      <c r="W246" t="inlineStr"/>
      <c r="X246" t="inlineStr">
        <is>
          <t>197646177149</t>
        </is>
      </c>
      <c r="Y246" t="inlineStr">
        <is>
          <t>39867002</t>
        </is>
      </c>
      <c r="Z246" t="inlineStr">
        <is>
          <t>39867002</t>
        </is>
      </c>
      <c r="AA246" t="inlineStr">
        <is>
          <t>Puma White-puma Black-feather Gray</t>
        </is>
      </c>
      <c r="AB246" t="inlineStr">
        <is>
          <t>0197646177149</t>
        </is>
      </c>
      <c r="AC246" t="inlineStr">
        <is>
          <t>no Amazon offer exists</t>
        </is>
      </c>
      <c r="AD246" t="inlineStr">
        <is>
          <t>PUMA</t>
        </is>
      </c>
      <c r="AE246" t="inlineStr">
        <is>
          <t>9</t>
        </is>
      </c>
      <c r="AF246" t="inlineStr">
        <is>
          <t>https://m.media-amazon.com/images/I/411nZ3VECDL.jpg;https://m.media-amazon.com/images/I/41vqp4kx9ML.jpg;https://m.media-amazon.com/images/I/41w5Kx4DYuL.jpg;https://m.media-amazon.com/images/I/51o8XdAzxKL.jpg;https://m.media-amazon.com/images/I/41Q13jkfRcL.jpg;https://m.media-amazon.com/images/I/41CKv60pkQL.jpg</t>
        </is>
      </c>
      <c r="AG246" t="inlineStr">
        <is>
          <t>Description
PUMA womens Club 5v5 Sneaker</t>
        </is>
      </c>
    </row>
    <row r="247">
      <c r="A247" t="inlineStr">
        <is>
          <t>com</t>
        </is>
      </c>
      <c r="B247" t="inlineStr">
        <is>
          <t>B0CLQB7ZFX</t>
        </is>
      </c>
      <c r="C247" t="inlineStr">
        <is>
          <t>PUMA Womens Club 5v5 Sneaker, PUMA Womens White-PUMA Womens Black-Feather Gray, 9.5</t>
        </is>
      </c>
      <c r="D247" t="n">
        <v>60</v>
      </c>
      <c r="E247" t="n">
        <v>60</v>
      </c>
      <c r="F247" t="n">
        <v>41667</v>
      </c>
      <c r="G247" t="n">
        <v>25482</v>
      </c>
      <c r="H247" t="n">
        <v>59.88</v>
      </c>
      <c r="I247" t="n">
        <v>59.75</v>
      </c>
      <c r="J247" t="n">
        <v>0</v>
      </c>
      <c r="K247" t="n">
        <v>0.39</v>
      </c>
      <c r="L247" t="n">
        <v>4</v>
      </c>
      <c r="M247" t="n">
        <v>3</v>
      </c>
      <c r="N247" t="n">
        <v>4.3</v>
      </c>
      <c r="O247" t="n">
        <v>3</v>
      </c>
      <c r="P247" t="n">
        <v>245</v>
      </c>
      <c r="Q247" t="n">
        <v>29</v>
      </c>
      <c r="R247" t="n">
        <v>87</v>
      </c>
      <c r="S247" t="inlineStr">
        <is>
          <t>B0DBV5Z5RW</t>
        </is>
      </c>
      <c r="U247" t="n">
        <v>1.6865343</v>
      </c>
      <c r="V247" t="n">
        <v>7.54</v>
      </c>
      <c r="W247" t="n">
        <v>9</v>
      </c>
      <c r="X247" t="inlineStr">
        <is>
          <t>197646177163</t>
        </is>
      </c>
      <c r="Y247" t="inlineStr">
        <is>
          <t>39867002</t>
        </is>
      </c>
      <c r="Z247" t="inlineStr">
        <is>
          <t>39867002</t>
        </is>
      </c>
      <c r="AA247" t="inlineStr">
        <is>
          <t>Puma White-puma Black-feather Gray</t>
        </is>
      </c>
      <c r="AB247" t="inlineStr">
        <is>
          <t>0197646177163</t>
        </is>
      </c>
      <c r="AC247" t="inlineStr">
        <is>
          <t>Amazon offer is back-ordered</t>
        </is>
      </c>
      <c r="AD247" t="inlineStr">
        <is>
          <t>PUMA</t>
        </is>
      </c>
      <c r="AE247" t="inlineStr">
        <is>
          <t>9.5</t>
        </is>
      </c>
      <c r="AF247" t="inlineStr">
        <is>
          <t>https://m.media-amazon.com/images/I/411nZ3VECDL.jpg;https://m.media-amazon.com/images/I/41vqp4kx9ML.jpg;https://m.media-amazon.com/images/I/41w5Kx4DYuL.jpg;https://m.media-amazon.com/images/I/51o8XdAzxKL.jpg;https://m.media-amazon.com/images/I/41Q13jkfRcL.jpg;https://m.media-amazon.com/images/I/41CKv60pkQL.jpg</t>
        </is>
      </c>
      <c r="AG247" t="inlineStr">
        <is>
          <t>Description
PUMA womens Club 5v5 Sneaker</t>
        </is>
      </c>
    </row>
    <row r="248">
      <c r="A248" t="inlineStr">
        <is>
          <t>com</t>
        </is>
      </c>
      <c r="B248" t="inlineStr">
        <is>
          <t>B0CLQ6SZY6</t>
        </is>
      </c>
      <c r="C248" t="inlineStr">
        <is>
          <t>PUMA Womens Club 5v5 Sneaker, PUMA Womens White-PUMA Womens Black-Feather Gray, 10</t>
        </is>
      </c>
      <c r="D248" t="n">
        <v>60</v>
      </c>
      <c r="E248" t="n">
        <v>60</v>
      </c>
      <c r="F248" t="n">
        <v>41667</v>
      </c>
      <c r="G248" t="n">
        <v>25491</v>
      </c>
      <c r="H248" t="n">
        <v>59.92</v>
      </c>
      <c r="I248" t="n">
        <v>60.12</v>
      </c>
      <c r="J248" t="n">
        <v>0</v>
      </c>
      <c r="K248" t="n">
        <v>0.37</v>
      </c>
      <c r="L248" t="n">
        <v>4</v>
      </c>
      <c r="M248" t="n">
        <v>2</v>
      </c>
      <c r="N248" t="n">
        <v>4.3</v>
      </c>
      <c r="O248" t="n">
        <v>2</v>
      </c>
      <c r="P248" t="n">
        <v>245</v>
      </c>
      <c r="Q248" t="n">
        <v>39</v>
      </c>
      <c r="R248" t="n">
        <v>102</v>
      </c>
      <c r="S248" t="inlineStr">
        <is>
          <t>B0DBV5Z5RW</t>
        </is>
      </c>
      <c r="U248" t="n">
        <v>1.653465</v>
      </c>
      <c r="V248" t="n">
        <v>7.03</v>
      </c>
      <c r="W248" t="n">
        <v>9</v>
      </c>
      <c r="X248" t="inlineStr">
        <is>
          <t>197646177187</t>
        </is>
      </c>
      <c r="Y248" t="inlineStr">
        <is>
          <t>39867002</t>
        </is>
      </c>
      <c r="Z248" t="inlineStr">
        <is>
          <t>39867002</t>
        </is>
      </c>
      <c r="AA248" t="inlineStr">
        <is>
          <t>Puma White-puma Black-feather Gray</t>
        </is>
      </c>
      <c r="AB248" t="inlineStr">
        <is>
          <t>0197646177187</t>
        </is>
      </c>
      <c r="AC248" t="inlineStr">
        <is>
          <t>Amazon offer is back-ordered</t>
        </is>
      </c>
      <c r="AD248" t="inlineStr">
        <is>
          <t>PUMA</t>
        </is>
      </c>
      <c r="AE248" t="inlineStr">
        <is>
          <t>10</t>
        </is>
      </c>
      <c r="AF248" t="inlineStr">
        <is>
          <t>https://m.media-amazon.com/images/I/411nZ3VECDL.jpg;https://m.media-amazon.com/images/I/41vqp4kx9ML.jpg;https://m.media-amazon.com/images/I/41w5Kx4DYuL.jpg;https://m.media-amazon.com/images/I/51o8XdAzxKL.jpg;https://m.media-amazon.com/images/I/41Q13jkfRcL.jpg;https://m.media-amazon.com/images/I/41CKv60pkQL.jpg</t>
        </is>
      </c>
      <c r="AG248" t="inlineStr">
        <is>
          <t>Description
PUMA womens Club 5v5 Sneaker</t>
        </is>
      </c>
    </row>
    <row r="249">
      <c r="A249" t="inlineStr">
        <is>
          <t>com</t>
        </is>
      </c>
      <c r="B249" t="inlineStr">
        <is>
          <t>B0CLPWNHM2</t>
        </is>
      </c>
      <c r="C249" t="inlineStr">
        <is>
          <t>PUMA Womens Club 5v5 Sneaker, PUMA Womens White-PUMA Womens Black-Feather Gray, 11</t>
        </is>
      </c>
      <c r="D249" t="n">
        <v>64.78</v>
      </c>
      <c r="E249" t="n">
        <v>64.78</v>
      </c>
      <c r="F249" t="n">
        <v>37018</v>
      </c>
      <c r="G249" t="n">
        <v>25433</v>
      </c>
      <c r="H249" t="n">
        <v>60</v>
      </c>
      <c r="I249" t="n">
        <v>60</v>
      </c>
      <c r="J249" t="n">
        <v>0.02</v>
      </c>
      <c r="K249" t="n">
        <v>0.43</v>
      </c>
      <c r="L249" t="n">
        <v>2</v>
      </c>
      <c r="M249" t="n">
        <v>2</v>
      </c>
      <c r="N249" t="n">
        <v>4.3</v>
      </c>
      <c r="O249" t="n">
        <v>2</v>
      </c>
      <c r="P249" t="n">
        <v>245</v>
      </c>
      <c r="Q249" t="n">
        <v>34</v>
      </c>
      <c r="R249" t="n">
        <v>103</v>
      </c>
      <c r="S249" t="inlineStr">
        <is>
          <t>B0DBV5Z5RW</t>
        </is>
      </c>
      <c r="U249" t="n">
        <v>1.81660688</v>
      </c>
      <c r="V249" t="n">
        <v>7.62</v>
      </c>
      <c r="W249" t="inlineStr"/>
      <c r="X249" t="inlineStr">
        <is>
          <t>197646177194</t>
        </is>
      </c>
      <c r="Y249" t="inlineStr">
        <is>
          <t>39867002</t>
        </is>
      </c>
      <c r="Z249" t="inlineStr">
        <is>
          <t>39867002</t>
        </is>
      </c>
      <c r="AA249" t="inlineStr">
        <is>
          <t>Puma White-puma Black-feather Gray</t>
        </is>
      </c>
      <c r="AB249" t="inlineStr">
        <is>
          <t>0197646177194</t>
        </is>
      </c>
      <c r="AC249" t="inlineStr">
        <is>
          <t>no Amazon offer exists</t>
        </is>
      </c>
      <c r="AD249" t="inlineStr">
        <is>
          <t>PUMA</t>
        </is>
      </c>
      <c r="AE249" t="inlineStr">
        <is>
          <t>11</t>
        </is>
      </c>
      <c r="AF249" t="inlineStr">
        <is>
          <t>https://m.media-amazon.com/images/I/411nZ3VECDL.jpg;https://m.media-amazon.com/images/I/41vqp4kx9ML.jpg;https://m.media-amazon.com/images/I/41w5Kx4DYuL.jpg;https://m.media-amazon.com/images/I/51o8XdAzxKL.jpg;https://m.media-amazon.com/images/I/41Q13jkfRcL.jpg;https://m.media-amazon.com/images/I/41CKv60pkQL.jpg</t>
        </is>
      </c>
      <c r="AG249" t="inlineStr">
        <is>
          <t>Description
PUMA womens Club 5v5 Sneaker</t>
        </is>
      </c>
    </row>
    <row r="250">
      <c r="A250" t="inlineStr">
        <is>
          <t>com</t>
        </is>
      </c>
      <c r="B250" t="inlineStr">
        <is>
          <t>B0D32B5YZ4</t>
        </is>
      </c>
      <c r="C250" t="inlineStr">
        <is>
          <t>PUMA Women's Karmen II Idol Sneaker, Suede-Toasted Almond-Toasted Almond, 5.5</t>
        </is>
      </c>
      <c r="D250" t="n">
        <v>51.34</v>
      </c>
      <c r="E250" t="n">
        <v>51.34</v>
      </c>
      <c r="F250" t="n">
        <v>37459</v>
      </c>
      <c r="G250" t="n">
        <v>71406</v>
      </c>
      <c r="H250" t="n">
        <v>60.74</v>
      </c>
      <c r="I250" t="n">
        <v>66.8</v>
      </c>
      <c r="J250" t="n">
        <v>0</v>
      </c>
      <c r="K250" t="n">
        <v>0</v>
      </c>
      <c r="L250" t="n">
        <v>2</v>
      </c>
      <c r="M250" t="n">
        <v>1</v>
      </c>
      <c r="N250" t="n">
        <v>4.4</v>
      </c>
      <c r="O250" t="n">
        <v>0</v>
      </c>
      <c r="P250" t="n">
        <v>50</v>
      </c>
      <c r="Q250" t="n">
        <v>23</v>
      </c>
      <c r="R250" t="n">
        <v>56</v>
      </c>
      <c r="S250" t="inlineStr">
        <is>
          <t>B0DJCM3Q54</t>
        </is>
      </c>
      <c r="U250" t="n">
        <v>1.9400656</v>
      </c>
      <c r="V250" t="n">
        <v>7.7</v>
      </c>
      <c r="W250" t="n">
        <v>7.7</v>
      </c>
      <c r="X250" t="inlineStr">
        <is>
          <t>197670553834</t>
        </is>
      </c>
      <c r="Y250" t="inlineStr">
        <is>
          <t>39746201</t>
        </is>
      </c>
      <c r="Z250" t="inlineStr">
        <is>
          <t>39746201</t>
        </is>
      </c>
      <c r="AA250" t="inlineStr">
        <is>
          <t>Suede-toasted Almond-toasted Almond</t>
        </is>
      </c>
      <c r="AB250" t="inlineStr">
        <is>
          <t>0197670553834</t>
        </is>
      </c>
      <c r="AC250" t="inlineStr">
        <is>
          <t>Amazon offer is in stock and shippable</t>
        </is>
      </c>
      <c r="AD250" t="inlineStr">
        <is>
          <t>PUMA</t>
        </is>
      </c>
      <c r="AE250" t="inlineStr">
        <is>
          <t>5.5</t>
        </is>
      </c>
      <c r="AF250" t="inlineStr">
        <is>
          <t>https://m.media-amazon.com/images/I/71yUAw2Y1-L.jpg</t>
        </is>
      </c>
      <c r="AG250"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1">
      <c r="A251" t="inlineStr">
        <is>
          <t>com</t>
        </is>
      </c>
      <c r="B251" t="inlineStr">
        <is>
          <t>B0D325MW6F</t>
        </is>
      </c>
      <c r="C251" t="inlineStr">
        <is>
          <t>PUMA Women's Karmen II Idol Sneaker, Suede-Toasted Almond-Toasted Almond, 6</t>
        </is>
      </c>
      <c r="D251" t="n">
        <v>65.61</v>
      </c>
      <c r="E251" t="n">
        <v>65.61</v>
      </c>
      <c r="F251" t="n">
        <v>37459</v>
      </c>
      <c r="G251" t="n">
        <v>568764</v>
      </c>
      <c r="H251" t="n">
        <v>63.93</v>
      </c>
      <c r="I251" t="n">
        <v>69.16</v>
      </c>
      <c r="J251" t="n">
        <v>0</v>
      </c>
      <c r="K251" t="n">
        <v>0</v>
      </c>
      <c r="L251" t="n">
        <v>4</v>
      </c>
      <c r="M251" t="n">
        <v>6</v>
      </c>
      <c r="N251" t="n">
        <v>4.3</v>
      </c>
      <c r="O251" t="n">
        <v>1</v>
      </c>
      <c r="P251" t="n">
        <v>51</v>
      </c>
      <c r="Q251" t="n">
        <v>38</v>
      </c>
      <c r="R251" t="n">
        <v>80</v>
      </c>
      <c r="S251" t="inlineStr">
        <is>
          <t>B0DJCM3Q54</t>
        </is>
      </c>
      <c r="U251" t="n">
        <v>1.95990718</v>
      </c>
      <c r="V251" t="n">
        <v>7.62</v>
      </c>
      <c r="W251" t="n">
        <v>9.84</v>
      </c>
      <c r="X251" t="inlineStr">
        <is>
          <t>197670553841</t>
        </is>
      </c>
      <c r="Y251" t="inlineStr">
        <is>
          <t>39746201</t>
        </is>
      </c>
      <c r="Z251" t="inlineStr">
        <is>
          <t>39746201</t>
        </is>
      </c>
      <c r="AA251" t="inlineStr">
        <is>
          <t>Suede-toasted Almond-toasted Almond</t>
        </is>
      </c>
      <c r="AB251" t="inlineStr">
        <is>
          <t>0197670553841</t>
        </is>
      </c>
      <c r="AC251" t="inlineStr">
        <is>
          <t>Amazon offer is in stock and shippable</t>
        </is>
      </c>
      <c r="AD251" t="inlineStr">
        <is>
          <t>PUMA</t>
        </is>
      </c>
      <c r="AE251" t="inlineStr">
        <is>
          <t>6</t>
        </is>
      </c>
      <c r="AF251" t="inlineStr">
        <is>
          <t>https://m.media-amazon.com/images/I/71yUAw2Y1-L.jpg</t>
        </is>
      </c>
      <c r="AG251"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2">
      <c r="A252" t="inlineStr">
        <is>
          <t>com</t>
        </is>
      </c>
      <c r="B252" t="inlineStr">
        <is>
          <t>B0D32BRKF4</t>
        </is>
      </c>
      <c r="C252" t="inlineStr">
        <is>
          <t>PUMA Women's Karmen II Idol Sneaker, Suede-Toasted Almond-Toasted Almond, 6.5</t>
        </is>
      </c>
      <c r="D252" t="n">
        <v>75</v>
      </c>
      <c r="E252" t="n">
        <v>74.43000000000001</v>
      </c>
      <c r="F252" t="n">
        <v>37459</v>
      </c>
      <c r="G252" t="n">
        <v>68399</v>
      </c>
      <c r="H252" t="n">
        <v>69.26000000000001</v>
      </c>
      <c r="I252" t="n">
        <v>72.02</v>
      </c>
      <c r="J252" t="n">
        <v>0</v>
      </c>
      <c r="K252" t="n">
        <v>0.15</v>
      </c>
      <c r="L252" t="n">
        <v>4</v>
      </c>
      <c r="M252" t="n">
        <v>3</v>
      </c>
      <c r="N252" t="n">
        <v>4.3</v>
      </c>
      <c r="O252" t="n">
        <v>0</v>
      </c>
      <c r="P252" t="n">
        <v>51</v>
      </c>
      <c r="Q252" t="n">
        <v>33</v>
      </c>
      <c r="R252" t="n">
        <v>66</v>
      </c>
      <c r="S252" t="inlineStr">
        <is>
          <t>B0DJCM3Q54</t>
        </is>
      </c>
      <c r="U252" t="n">
        <v>1.95990718</v>
      </c>
      <c r="V252" t="n">
        <v>7.62</v>
      </c>
      <c r="W252" t="n">
        <v>11.25</v>
      </c>
      <c r="X252" t="inlineStr">
        <is>
          <t>197670553858</t>
        </is>
      </c>
      <c r="Y252" t="inlineStr">
        <is>
          <t>39746201</t>
        </is>
      </c>
      <c r="Z252" t="inlineStr">
        <is>
          <t>39746201</t>
        </is>
      </c>
      <c r="AA252" t="inlineStr">
        <is>
          <t>Suede-toasted Almond-toasted Almond</t>
        </is>
      </c>
      <c r="AB252" t="inlineStr">
        <is>
          <t>0197670553858</t>
        </is>
      </c>
      <c r="AC252" t="inlineStr">
        <is>
          <t>no Amazon offer exists</t>
        </is>
      </c>
      <c r="AD252" t="inlineStr">
        <is>
          <t>PUMA</t>
        </is>
      </c>
      <c r="AE252" t="inlineStr">
        <is>
          <t>6.5</t>
        </is>
      </c>
      <c r="AF252" t="inlineStr">
        <is>
          <t>https://m.media-amazon.com/images/I/71yUAw2Y1-L.jpg</t>
        </is>
      </c>
      <c r="AG252"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3">
      <c r="A253" t="inlineStr">
        <is>
          <t>com</t>
        </is>
      </c>
      <c r="B253" t="inlineStr">
        <is>
          <t>B0D32BR8D1</t>
        </is>
      </c>
      <c r="C253" t="inlineStr">
        <is>
          <t>PUMA Women's Karmen II Idol Sneaker, Suede-Toasted Almond-Toasted Almond, 7</t>
        </is>
      </c>
      <c r="D253" t="n">
        <v>48.99</v>
      </c>
      <c r="E253" t="n">
        <v>48.99</v>
      </c>
      <c r="F253" t="n">
        <v>37459</v>
      </c>
      <c r="G253" t="n">
        <v>377743</v>
      </c>
      <c r="H253" t="n">
        <v>61.04</v>
      </c>
      <c r="I253" t="n">
        <v>67.64</v>
      </c>
      <c r="J253" t="n">
        <v>0</v>
      </c>
      <c r="K253" t="n">
        <v>0</v>
      </c>
      <c r="L253" t="n">
        <v>7</v>
      </c>
      <c r="M253" t="n">
        <v>7</v>
      </c>
      <c r="N253" t="n">
        <v>4.3</v>
      </c>
      <c r="O253" t="n">
        <v>0</v>
      </c>
      <c r="P253" t="n">
        <v>54</v>
      </c>
      <c r="Q253" t="n">
        <v>46</v>
      </c>
      <c r="R253" t="n">
        <v>86</v>
      </c>
      <c r="S253" t="inlineStr">
        <is>
          <t>B0DJCM3Q54</t>
        </is>
      </c>
      <c r="U253" t="n">
        <v>2.14068602</v>
      </c>
      <c r="V253" t="n">
        <v>7.62</v>
      </c>
      <c r="W253" t="n">
        <v>7.35</v>
      </c>
      <c r="X253" t="inlineStr">
        <is>
          <t>197670553865</t>
        </is>
      </c>
      <c r="Y253" t="inlineStr">
        <is>
          <t>39746201</t>
        </is>
      </c>
      <c r="Z253" t="inlineStr">
        <is>
          <t>39746201</t>
        </is>
      </c>
      <c r="AA253" t="inlineStr">
        <is>
          <t>Suede-toasted Almond-toasted Almond</t>
        </is>
      </c>
      <c r="AB253" t="inlineStr">
        <is>
          <t>0197670553865</t>
        </is>
      </c>
      <c r="AC253" t="inlineStr">
        <is>
          <t>Amazon offer is in stock and shippable</t>
        </is>
      </c>
      <c r="AD253" t="inlineStr">
        <is>
          <t>PUMA</t>
        </is>
      </c>
      <c r="AE253" t="inlineStr">
        <is>
          <t>7</t>
        </is>
      </c>
      <c r="AF253" t="inlineStr">
        <is>
          <t>https://m.media-amazon.com/images/I/71yUAw2Y1-L.jpg</t>
        </is>
      </c>
      <c r="AG253"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4">
      <c r="A254" t="inlineStr">
        <is>
          <t>com</t>
        </is>
      </c>
      <c r="B254" t="inlineStr">
        <is>
          <t>B0D32B55VB</t>
        </is>
      </c>
      <c r="C254" t="inlineStr">
        <is>
          <t>PUMA Women's Karmen II Idol Sneaker, Suede-Toasted Almond-Toasted Almond, 7.5</t>
        </is>
      </c>
      <c r="D254" t="n">
        <v>48.99</v>
      </c>
      <c r="E254" t="n">
        <v>48.99</v>
      </c>
      <c r="F254" t="n">
        <v>37459</v>
      </c>
      <c r="G254" t="n">
        <v>481077</v>
      </c>
      <c r="H254" t="n">
        <v>63.62</v>
      </c>
      <c r="I254" t="n">
        <v>69</v>
      </c>
      <c r="J254" t="n">
        <v>0</v>
      </c>
      <c r="K254" t="n">
        <v>0</v>
      </c>
      <c r="L254" t="n">
        <v>7</v>
      </c>
      <c r="M254" t="n">
        <v>8</v>
      </c>
      <c r="N254" t="n">
        <v>4.3</v>
      </c>
      <c r="O254" t="n">
        <v>0</v>
      </c>
      <c r="P254" t="n">
        <v>51</v>
      </c>
      <c r="Q254" t="n">
        <v>33</v>
      </c>
      <c r="R254" t="n">
        <v>78</v>
      </c>
      <c r="S254" t="inlineStr">
        <is>
          <t>B0DJCM3Q54</t>
        </is>
      </c>
      <c r="U254" t="n">
        <v>2.20021076</v>
      </c>
      <c r="V254" t="n">
        <v>7.62</v>
      </c>
      <c r="W254" t="n">
        <v>7.35</v>
      </c>
      <c r="X254" t="inlineStr">
        <is>
          <t>197670553872</t>
        </is>
      </c>
      <c r="Y254" t="inlineStr">
        <is>
          <t>39746201</t>
        </is>
      </c>
      <c r="Z254" t="inlineStr">
        <is>
          <t>39746201</t>
        </is>
      </c>
      <c r="AA254" t="inlineStr">
        <is>
          <t>Suede-toasted Almond-toasted Almond</t>
        </is>
      </c>
      <c r="AB254" t="inlineStr">
        <is>
          <t>0197670553872</t>
        </is>
      </c>
      <c r="AC254" t="inlineStr">
        <is>
          <t>Amazon offer is in stock and shippable</t>
        </is>
      </c>
      <c r="AD254" t="inlineStr">
        <is>
          <t>PUMA</t>
        </is>
      </c>
      <c r="AE254" t="inlineStr">
        <is>
          <t>7.5</t>
        </is>
      </c>
      <c r="AF254" t="inlineStr">
        <is>
          <t>https://m.media-amazon.com/images/I/71yUAw2Y1-L.jpg</t>
        </is>
      </c>
      <c r="AG254"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5">
      <c r="A255" t="inlineStr">
        <is>
          <t>com</t>
        </is>
      </c>
      <c r="B255" t="inlineStr">
        <is>
          <t>B0D32B7HFZ</t>
        </is>
      </c>
      <c r="C255" t="inlineStr">
        <is>
          <t>PUMA Women's Karmen II Idol Sneaker, Suede-Toasted Almond-Toasted Almond, 8</t>
        </is>
      </c>
      <c r="D255" t="n">
        <v>48.99</v>
      </c>
      <c r="E255" t="n">
        <v>48.99</v>
      </c>
      <c r="F255" t="n">
        <v>37459</v>
      </c>
      <c r="G255" t="n">
        <v>106092</v>
      </c>
      <c r="H255" t="n">
        <v>65.77</v>
      </c>
      <c r="I255" t="n">
        <v>70.13</v>
      </c>
      <c r="J255" t="n">
        <v>0</v>
      </c>
      <c r="K255" t="n">
        <v>0</v>
      </c>
      <c r="L255" t="n">
        <v>8</v>
      </c>
      <c r="M255" t="n">
        <v>9</v>
      </c>
      <c r="N255" t="n">
        <v>4.3</v>
      </c>
      <c r="O255" t="n">
        <v>0</v>
      </c>
      <c r="P255" t="n">
        <v>51</v>
      </c>
      <c r="Q255" t="n">
        <v>20</v>
      </c>
      <c r="R255" t="n">
        <v>60</v>
      </c>
      <c r="S255" t="inlineStr">
        <is>
          <t>B0DJCM3Q54</t>
        </is>
      </c>
      <c r="U255" t="n">
        <v>2.3589434</v>
      </c>
      <c r="V255" t="n">
        <v>7.7</v>
      </c>
      <c r="W255" t="n">
        <v>7.35</v>
      </c>
      <c r="X255" t="inlineStr">
        <is>
          <t>197670553889</t>
        </is>
      </c>
      <c r="Y255" t="inlineStr">
        <is>
          <t>39746201</t>
        </is>
      </c>
      <c r="Z255" t="inlineStr">
        <is>
          <t>39746201</t>
        </is>
      </c>
      <c r="AA255" t="inlineStr">
        <is>
          <t>Suede-toasted Almond-toasted Almond</t>
        </is>
      </c>
      <c r="AB255" t="inlineStr">
        <is>
          <t>0197670553889</t>
        </is>
      </c>
      <c r="AC255" t="inlineStr">
        <is>
          <t>Amazon offer is in stock and shippable</t>
        </is>
      </c>
      <c r="AD255" t="inlineStr">
        <is>
          <t>PUMA</t>
        </is>
      </c>
      <c r="AE255" t="inlineStr">
        <is>
          <t>8</t>
        </is>
      </c>
      <c r="AF255" t="inlineStr">
        <is>
          <t>https://m.media-amazon.com/images/I/71yUAw2Y1-L.jpg</t>
        </is>
      </c>
      <c r="AG255"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6">
      <c r="A256" t="inlineStr">
        <is>
          <t>com</t>
        </is>
      </c>
      <c r="B256" t="inlineStr">
        <is>
          <t>B0D32C2PF6</t>
        </is>
      </c>
      <c r="C256" t="inlineStr">
        <is>
          <t>PUMA Women's Karmen II Idol Sneaker, Suede-Toasted Almond-Toasted Almond, 8.5</t>
        </is>
      </c>
      <c r="D256" t="n">
        <v>48.99</v>
      </c>
      <c r="E256" t="n">
        <v>48.99</v>
      </c>
      <c r="F256" t="n">
        <v>37459</v>
      </c>
      <c r="G256" t="n">
        <v>72987</v>
      </c>
      <c r="H256" t="n">
        <v>61.7</v>
      </c>
      <c r="I256" t="n">
        <v>67.98</v>
      </c>
      <c r="J256" t="n">
        <v>0</v>
      </c>
      <c r="K256" t="n">
        <v>0</v>
      </c>
      <c r="L256" t="n">
        <v>7</v>
      </c>
      <c r="M256" t="n">
        <v>9</v>
      </c>
      <c r="N256" t="n">
        <v>4.4</v>
      </c>
      <c r="O256" t="n">
        <v>0</v>
      </c>
      <c r="P256" t="n">
        <v>49</v>
      </c>
      <c r="Q256" t="n">
        <v>24</v>
      </c>
      <c r="R256" t="n">
        <v>63</v>
      </c>
      <c r="S256" t="inlineStr">
        <is>
          <t>B0DJCM3Q54</t>
        </is>
      </c>
      <c r="U256" t="n">
        <v>0.110231</v>
      </c>
      <c r="V256" t="n">
        <v>7.86</v>
      </c>
      <c r="W256" t="n">
        <v>7.35</v>
      </c>
      <c r="X256" t="inlineStr">
        <is>
          <t>197670553896</t>
        </is>
      </c>
      <c r="Y256" t="inlineStr">
        <is>
          <t>39746201</t>
        </is>
      </c>
      <c r="Z256" t="inlineStr">
        <is>
          <t>39746201</t>
        </is>
      </c>
      <c r="AA256" t="inlineStr">
        <is>
          <t>Suede-toasted Almond-toasted Almond</t>
        </is>
      </c>
      <c r="AB256" t="inlineStr">
        <is>
          <t>0197670553896</t>
        </is>
      </c>
      <c r="AC256" t="inlineStr">
        <is>
          <t>Amazon offer is back-ordered</t>
        </is>
      </c>
      <c r="AD256" t="inlineStr">
        <is>
          <t>PUMA</t>
        </is>
      </c>
      <c r="AE256" t="inlineStr">
        <is>
          <t>8.5</t>
        </is>
      </c>
      <c r="AF256" t="inlineStr">
        <is>
          <t>https://m.media-amazon.com/images/I/71yUAw2Y1-L.jpg</t>
        </is>
      </c>
      <c r="AG256"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7">
      <c r="A257" t="inlineStr">
        <is>
          <t>com</t>
        </is>
      </c>
      <c r="B257" t="inlineStr">
        <is>
          <t>B0D32BC4QK</t>
        </is>
      </c>
      <c r="C257" t="inlineStr">
        <is>
          <t>PUMA Women's Karmen II Idol Sneaker, Suede-Toasted Almond-Toasted Almond, 9</t>
        </is>
      </c>
      <c r="D257" t="n">
        <v>48.99</v>
      </c>
      <c r="E257" t="n">
        <v>48.99</v>
      </c>
      <c r="F257" t="n">
        <v>37459</v>
      </c>
      <c r="G257" t="n">
        <v>418690</v>
      </c>
      <c r="H257" t="n">
        <v>59.83</v>
      </c>
      <c r="I257" t="n">
        <v>66.98999999999999</v>
      </c>
      <c r="J257" t="n">
        <v>0</v>
      </c>
      <c r="K257" t="n">
        <v>0</v>
      </c>
      <c r="L257" t="n">
        <v>7</v>
      </c>
      <c r="M257" t="n">
        <v>10</v>
      </c>
      <c r="N257" t="n">
        <v>4.3</v>
      </c>
      <c r="O257" t="n">
        <v>0</v>
      </c>
      <c r="P257" t="n">
        <v>51</v>
      </c>
      <c r="Q257" t="n">
        <v>38</v>
      </c>
      <c r="R257" t="n">
        <v>83</v>
      </c>
      <c r="S257" t="inlineStr">
        <is>
          <t>B0DJCM3Q54</t>
        </is>
      </c>
      <c r="U257" t="n">
        <v>2.40083118</v>
      </c>
      <c r="V257" t="n">
        <v>8.1</v>
      </c>
      <c r="W257" t="n">
        <v>7.35</v>
      </c>
      <c r="X257" t="inlineStr">
        <is>
          <t>197670553919</t>
        </is>
      </c>
      <c r="Y257" t="inlineStr">
        <is>
          <t>39746201</t>
        </is>
      </c>
      <c r="Z257" t="inlineStr">
        <is>
          <t>39746201</t>
        </is>
      </c>
      <c r="AA257" t="inlineStr">
        <is>
          <t>Suede-toasted Almond-toasted Almond</t>
        </is>
      </c>
      <c r="AB257" t="inlineStr">
        <is>
          <t>0197670553919</t>
        </is>
      </c>
      <c r="AC257" t="inlineStr">
        <is>
          <t>Amazon offer is in stock and shippable</t>
        </is>
      </c>
      <c r="AD257" t="inlineStr">
        <is>
          <t>PUMA</t>
        </is>
      </c>
      <c r="AE257" t="inlineStr">
        <is>
          <t>9</t>
        </is>
      </c>
      <c r="AF257" t="inlineStr">
        <is>
          <t>https://m.media-amazon.com/images/I/71yUAw2Y1-L.jpg</t>
        </is>
      </c>
      <c r="AG257"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8">
      <c r="A258" t="inlineStr">
        <is>
          <t>com</t>
        </is>
      </c>
      <c r="B258" t="inlineStr">
        <is>
          <t>B0D32932H1</t>
        </is>
      </c>
      <c r="C258" t="inlineStr">
        <is>
          <t>PUMA Women's Karmen II Idol Sneaker, Suede-Toasted Almond-Toasted Almond, 9.5</t>
        </is>
      </c>
      <c r="D258" t="n">
        <v>48.99</v>
      </c>
      <c r="E258" t="n">
        <v>48.99</v>
      </c>
      <c r="F258" t="n">
        <v>37459</v>
      </c>
      <c r="G258" t="n">
        <v>69056</v>
      </c>
      <c r="H258" t="n">
        <v>56.71</v>
      </c>
      <c r="I258" t="n">
        <v>65.34999999999999</v>
      </c>
      <c r="J258" t="n">
        <v>0</v>
      </c>
      <c r="K258" t="n">
        <v>0</v>
      </c>
      <c r="L258" t="n">
        <v>7</v>
      </c>
      <c r="M258" t="n">
        <v>7</v>
      </c>
      <c r="N258" t="n">
        <v>4.3</v>
      </c>
      <c r="O258" t="n">
        <v>0</v>
      </c>
      <c r="P258" t="n">
        <v>54</v>
      </c>
      <c r="Q258" t="n">
        <v>13</v>
      </c>
      <c r="R258" t="n">
        <v>51</v>
      </c>
      <c r="S258" t="inlineStr">
        <is>
          <t>B0DJCM3Q54</t>
        </is>
      </c>
      <c r="U258" t="n">
        <v>2.4691744</v>
      </c>
      <c r="V258" t="n">
        <v>7.86</v>
      </c>
      <c r="W258" t="n">
        <v>7.35</v>
      </c>
      <c r="X258" t="inlineStr">
        <is>
          <t>197670553933</t>
        </is>
      </c>
      <c r="Y258" t="inlineStr">
        <is>
          <t>39746201</t>
        </is>
      </c>
      <c r="Z258" t="inlineStr">
        <is>
          <t>39746201</t>
        </is>
      </c>
      <c r="AA258" t="inlineStr">
        <is>
          <t>Suede-toasted Almond-toasted Almond</t>
        </is>
      </c>
      <c r="AB258" t="inlineStr">
        <is>
          <t>0197670553933</t>
        </is>
      </c>
      <c r="AC258" t="inlineStr">
        <is>
          <t>Amazon offer is in stock and shippable</t>
        </is>
      </c>
      <c r="AD258" t="inlineStr">
        <is>
          <t>PUMA</t>
        </is>
      </c>
      <c r="AE258" t="inlineStr">
        <is>
          <t>9.5</t>
        </is>
      </c>
      <c r="AF258" t="inlineStr">
        <is>
          <t>https://m.media-amazon.com/images/I/71yUAw2Y1-L.jpg</t>
        </is>
      </c>
      <c r="AG258"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59">
      <c r="A259" t="inlineStr">
        <is>
          <t>com</t>
        </is>
      </c>
      <c r="B259" t="inlineStr">
        <is>
          <t>B0D32C47YC</t>
        </is>
      </c>
      <c r="C259" t="inlineStr">
        <is>
          <t>PUMA Women's Karmen II Idol Sneaker, Suede-Toasted Almond-Toasted Almond, 10</t>
        </is>
      </c>
      <c r="D259" t="n">
        <v>48.99</v>
      </c>
      <c r="E259" t="n">
        <v>48.99</v>
      </c>
      <c r="F259" t="n">
        <v>37459</v>
      </c>
      <c r="G259" t="n">
        <v>70364</v>
      </c>
      <c r="H259" t="n">
        <v>60.56</v>
      </c>
      <c r="I259" t="n">
        <v>67.38</v>
      </c>
      <c r="J259" t="n">
        <v>0</v>
      </c>
      <c r="K259" t="n">
        <v>0</v>
      </c>
      <c r="L259" t="n">
        <v>7</v>
      </c>
      <c r="M259" t="n">
        <v>6</v>
      </c>
      <c r="N259" t="n">
        <v>4.3</v>
      </c>
      <c r="O259" t="n">
        <v>0</v>
      </c>
      <c r="P259" t="n">
        <v>51</v>
      </c>
      <c r="Q259" t="n">
        <v>22</v>
      </c>
      <c r="R259" t="n">
        <v>53</v>
      </c>
      <c r="S259" t="inlineStr">
        <is>
          <t>B0DJCM3Q54</t>
        </is>
      </c>
      <c r="U259" t="n">
        <v>2.48901598</v>
      </c>
      <c r="V259" t="n">
        <v>7.86</v>
      </c>
      <c r="W259" t="n">
        <v>7.35</v>
      </c>
      <c r="X259" t="inlineStr">
        <is>
          <t>197670553957</t>
        </is>
      </c>
      <c r="Y259" t="inlineStr">
        <is>
          <t>39746201</t>
        </is>
      </c>
      <c r="Z259" t="inlineStr">
        <is>
          <t>39746201</t>
        </is>
      </c>
      <c r="AA259" t="inlineStr">
        <is>
          <t>Suede-toasted Almond-toasted Almond</t>
        </is>
      </c>
      <c r="AB259" t="inlineStr">
        <is>
          <t>0197670553957</t>
        </is>
      </c>
      <c r="AC259" t="inlineStr">
        <is>
          <t>Amazon offer is in stock and shippable</t>
        </is>
      </c>
      <c r="AD259" t="inlineStr">
        <is>
          <t>PUMA</t>
        </is>
      </c>
      <c r="AE259" t="inlineStr">
        <is>
          <t>10</t>
        </is>
      </c>
      <c r="AF259" t="inlineStr">
        <is>
          <t>https://m.media-amazon.com/images/I/71yUAw2Y1-L.jpg</t>
        </is>
      </c>
      <c r="AG259"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0">
      <c r="A260" t="inlineStr">
        <is>
          <t>com</t>
        </is>
      </c>
      <c r="B260" t="inlineStr">
        <is>
          <t>B0D326SMQY</t>
        </is>
      </c>
      <c r="C260" t="inlineStr">
        <is>
          <t>PUMA Women's Karmen II Idol Sneaker, Suede-Toasted Almond-Toasted Almond, 11</t>
        </is>
      </c>
      <c r="D260" t="n">
        <v>75</v>
      </c>
      <c r="E260" t="n">
        <v>75</v>
      </c>
      <c r="F260" t="n">
        <v>37459</v>
      </c>
      <c r="G260" t="n">
        <v>68325</v>
      </c>
      <c r="H260" t="n">
        <v>58.88</v>
      </c>
      <c r="I260" t="n">
        <v>66.79000000000001</v>
      </c>
      <c r="J260" t="n">
        <v>0</v>
      </c>
      <c r="K260" t="n">
        <v>0.18</v>
      </c>
      <c r="L260" t="n">
        <v>7</v>
      </c>
      <c r="M260" t="n">
        <v>7</v>
      </c>
      <c r="N260" t="n">
        <v>4.3</v>
      </c>
      <c r="O260" t="n">
        <v>0</v>
      </c>
      <c r="P260" t="n">
        <v>51</v>
      </c>
      <c r="Q260" t="n">
        <v>25</v>
      </c>
      <c r="R260" t="n">
        <v>58</v>
      </c>
      <c r="S260" t="inlineStr">
        <is>
          <t>B0DJCM3Q54</t>
        </is>
      </c>
      <c r="U260" t="n">
        <v>2.44933282</v>
      </c>
      <c r="V260" t="n">
        <v>7.86</v>
      </c>
      <c r="W260" t="n">
        <v>11.25</v>
      </c>
      <c r="X260" t="inlineStr">
        <is>
          <t>197670553995</t>
        </is>
      </c>
      <c r="Y260" t="inlineStr">
        <is>
          <t>39746201</t>
        </is>
      </c>
      <c r="Z260" t="inlineStr">
        <is>
          <t>39746201</t>
        </is>
      </c>
      <c r="AA260" t="inlineStr">
        <is>
          <t>Suede-toasted Almond-toasted Almond</t>
        </is>
      </c>
      <c r="AB260" t="inlineStr">
        <is>
          <t>0197670553995</t>
        </is>
      </c>
      <c r="AC260" t="inlineStr">
        <is>
          <t>no Amazon offer exists</t>
        </is>
      </c>
      <c r="AD260" t="inlineStr">
        <is>
          <t>PUMA</t>
        </is>
      </c>
      <c r="AE260" t="inlineStr">
        <is>
          <t>11</t>
        </is>
      </c>
      <c r="AF260" t="inlineStr">
        <is>
          <t>https://m.media-amazon.com/images/I/71yUAw2Y1-L.jpg</t>
        </is>
      </c>
      <c r="AG260"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1">
      <c r="A261" t="inlineStr">
        <is>
          <t>com</t>
        </is>
      </c>
      <c r="B261" t="inlineStr">
        <is>
          <t>B0D32BTZ59</t>
        </is>
      </c>
      <c r="C261" t="inlineStr">
        <is>
          <t>PUMA Women's Karmen II Idol Sneaker, Suede Black Black, 5.5</t>
        </is>
      </c>
      <c r="D261" t="n">
        <v>56.6</v>
      </c>
      <c r="E261" t="inlineStr"/>
      <c r="F261" t="n">
        <v>37459</v>
      </c>
      <c r="G261" t="n">
        <v>399706</v>
      </c>
      <c r="H261" t="n">
        <v>56.6</v>
      </c>
      <c r="I261" t="n">
        <v>61.97</v>
      </c>
      <c r="J261" t="n">
        <v>0.15</v>
      </c>
      <c r="K261" t="n">
        <v>0.17</v>
      </c>
      <c r="L261" t="n">
        <v>1</v>
      </c>
      <c r="M261" t="n">
        <v>1</v>
      </c>
      <c r="N261" t="n">
        <v>4.4</v>
      </c>
      <c r="O261" t="n">
        <v>0</v>
      </c>
      <c r="P261" t="n">
        <v>48</v>
      </c>
      <c r="Q261" t="n">
        <v>34</v>
      </c>
      <c r="R261" t="n">
        <v>56</v>
      </c>
      <c r="S261" t="inlineStr">
        <is>
          <t>B0DJCM3Q54</t>
        </is>
      </c>
      <c r="U261" t="n">
        <v>1.9400656</v>
      </c>
      <c r="V261" t="n">
        <v>7.7</v>
      </c>
      <c r="W261" t="inlineStr"/>
      <c r="X261" t="inlineStr">
        <is>
          <t>197672009711</t>
        </is>
      </c>
      <c r="Y261" t="inlineStr">
        <is>
          <t>39746206</t>
        </is>
      </c>
      <c r="Z261" t="inlineStr">
        <is>
          <t>39746206</t>
        </is>
      </c>
      <c r="AA261" t="inlineStr">
        <is>
          <t>Suede-puma Black-puma Black</t>
        </is>
      </c>
      <c r="AB261" t="inlineStr">
        <is>
          <t>0197672009711</t>
        </is>
      </c>
      <c r="AC261" t="inlineStr">
        <is>
          <t>no Amazon offer exists</t>
        </is>
      </c>
      <c r="AD261" t="inlineStr">
        <is>
          <t>PUMA</t>
        </is>
      </c>
      <c r="AE261" t="inlineStr">
        <is>
          <t>5.5</t>
        </is>
      </c>
      <c r="AF261"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1"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2">
      <c r="A262" t="inlineStr">
        <is>
          <t>com</t>
        </is>
      </c>
      <c r="B262" t="inlineStr">
        <is>
          <t>B0D3291C49</t>
        </is>
      </c>
      <c r="C262" t="inlineStr">
        <is>
          <t>PUMA Women's Karmen II Idol Sneaker, Suede Black Black, 6</t>
        </is>
      </c>
      <c r="D262" t="n">
        <v>52.15</v>
      </c>
      <c r="E262" t="n">
        <v>52.15</v>
      </c>
      <c r="F262" t="n">
        <v>37459</v>
      </c>
      <c r="G262" t="n">
        <v>654584</v>
      </c>
      <c r="H262" t="n">
        <v>60.26</v>
      </c>
      <c r="I262" t="n">
        <v>64.08</v>
      </c>
      <c r="J262" t="n">
        <v>0</v>
      </c>
      <c r="K262" t="n">
        <v>0.18</v>
      </c>
      <c r="L262" t="n">
        <v>5</v>
      </c>
      <c r="M262" t="n">
        <v>3</v>
      </c>
      <c r="N262" t="n">
        <v>4.3</v>
      </c>
      <c r="O262" t="n">
        <v>0</v>
      </c>
      <c r="P262" t="n">
        <v>51</v>
      </c>
      <c r="Q262" t="n">
        <v>36</v>
      </c>
      <c r="R262" t="n">
        <v>59</v>
      </c>
      <c r="S262" t="inlineStr">
        <is>
          <t>B0DJCM3Q54</t>
        </is>
      </c>
      <c r="U262" t="n">
        <v>1.86951776</v>
      </c>
      <c r="V262" t="n">
        <v>7.62</v>
      </c>
      <c r="W262" t="n">
        <v>7.82</v>
      </c>
      <c r="X262" t="inlineStr">
        <is>
          <t>197672009780</t>
        </is>
      </c>
      <c r="Y262" t="inlineStr">
        <is>
          <t>39746206</t>
        </is>
      </c>
      <c r="Z262" t="inlineStr">
        <is>
          <t>39746206</t>
        </is>
      </c>
      <c r="AA262" t="inlineStr">
        <is>
          <t>Suede-puma Black-puma Black</t>
        </is>
      </c>
      <c r="AB262" t="inlineStr">
        <is>
          <t>0197672009780</t>
        </is>
      </c>
      <c r="AC262" t="inlineStr">
        <is>
          <t>Amazon offer is back-ordered</t>
        </is>
      </c>
      <c r="AD262" t="inlineStr">
        <is>
          <t>PUMA</t>
        </is>
      </c>
      <c r="AE262" t="inlineStr">
        <is>
          <t>6</t>
        </is>
      </c>
      <c r="AF262" t="inlineStr">
        <is>
          <t>https://m.media-amazon.com/images/I/413jZG5HDeL.jpg;https://m.media-amazon.com/images/I/41uoNlK13FL.jpg;https://m.media-amazon.com/images/I/41qQzjiHUSL.jpg;https://m.media-amazon.com/images/I/31YlcMbf5sL.jpg;https://m.media-amazon.com/images/I/31pQOp7aIhL.jpg;https://m.media-amazon.com/images/I/31srpo7A4WL.jpg;https://m.media-amazon.com/images/I/41GHPy+AuSL.jpg</t>
        </is>
      </c>
      <c r="AG262"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3">
      <c r="A263" t="inlineStr">
        <is>
          <t>com</t>
        </is>
      </c>
      <c r="B263" t="inlineStr">
        <is>
          <t>B0D32C1Y7J</t>
        </is>
      </c>
      <c r="C263" t="inlineStr">
        <is>
          <t>PUMA Women's Karmen II Idol Sneaker, Suede Black Black, 6.5</t>
        </is>
      </c>
      <c r="D263" t="n">
        <v>52.33</v>
      </c>
      <c r="E263" t="n">
        <v>52.33</v>
      </c>
      <c r="F263" t="n">
        <v>37459</v>
      </c>
      <c r="G263" t="n">
        <v>323211</v>
      </c>
      <c r="H263" t="n">
        <v>56.28</v>
      </c>
      <c r="I263" t="n">
        <v>61.66</v>
      </c>
      <c r="J263" t="n">
        <v>0</v>
      </c>
      <c r="K263" t="n">
        <v>0.18</v>
      </c>
      <c r="L263" t="n">
        <v>4</v>
      </c>
      <c r="M263" t="n">
        <v>4</v>
      </c>
      <c r="N263" t="n">
        <v>4.3</v>
      </c>
      <c r="O263" t="n">
        <v>1</v>
      </c>
      <c r="P263" t="n">
        <v>51</v>
      </c>
      <c r="Q263" t="n">
        <v>40</v>
      </c>
      <c r="R263" t="n">
        <v>63</v>
      </c>
      <c r="S263" t="inlineStr">
        <is>
          <t>B0DJCM3Q54</t>
        </is>
      </c>
      <c r="U263" t="n">
        <v>1.95990718</v>
      </c>
      <c r="V263" t="n">
        <v>7.62</v>
      </c>
      <c r="W263" t="n">
        <v>7.85</v>
      </c>
      <c r="X263" t="inlineStr">
        <is>
          <t>197672009728</t>
        </is>
      </c>
      <c r="Y263" t="inlineStr">
        <is>
          <t>39746206</t>
        </is>
      </c>
      <c r="Z263" t="inlineStr">
        <is>
          <t>39746206</t>
        </is>
      </c>
      <c r="AA263" t="inlineStr">
        <is>
          <t>Suede-puma Black-puma Black</t>
        </is>
      </c>
      <c r="AB263" t="inlineStr">
        <is>
          <t>0197672009728</t>
        </is>
      </c>
      <c r="AC263" t="inlineStr">
        <is>
          <t>Amazon offer is back-ordered</t>
        </is>
      </c>
      <c r="AD263" t="inlineStr">
        <is>
          <t>PUMA</t>
        </is>
      </c>
      <c r="AE263" t="inlineStr">
        <is>
          <t>6.5</t>
        </is>
      </c>
      <c r="AF263"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3"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4">
      <c r="A264" t="inlineStr">
        <is>
          <t>com</t>
        </is>
      </c>
      <c r="B264" t="inlineStr">
        <is>
          <t>B0D32C15DW</t>
        </is>
      </c>
      <c r="C264" t="inlineStr">
        <is>
          <t>PUMA Women's Karmen II Idol Sneaker, Suede Black Black, 7</t>
        </is>
      </c>
      <c r="D264" t="n">
        <v>48.99</v>
      </c>
      <c r="E264" t="n">
        <v>48.99</v>
      </c>
      <c r="F264" t="n">
        <v>38510</v>
      </c>
      <c r="G264" t="n">
        <v>349892</v>
      </c>
      <c r="H264" t="n">
        <v>55.21</v>
      </c>
      <c r="I264" t="n">
        <v>61.98</v>
      </c>
      <c r="J264" t="n">
        <v>0</v>
      </c>
      <c r="K264" t="n">
        <v>0</v>
      </c>
      <c r="L264" t="n">
        <v>4</v>
      </c>
      <c r="M264" t="n">
        <v>1</v>
      </c>
      <c r="N264" t="n">
        <v>4.3</v>
      </c>
      <c r="O264" t="n">
        <v>0</v>
      </c>
      <c r="P264" t="n">
        <v>51</v>
      </c>
      <c r="Q264" t="n">
        <v>43</v>
      </c>
      <c r="R264" t="n">
        <v>65</v>
      </c>
      <c r="S264" t="inlineStr">
        <is>
          <t>B0DJCM3Q54</t>
        </is>
      </c>
      <c r="U264" t="n">
        <v>2.14068602</v>
      </c>
      <c r="V264" t="n">
        <v>7.62</v>
      </c>
      <c r="W264" t="n">
        <v>7.35</v>
      </c>
      <c r="X264" t="inlineStr">
        <is>
          <t>197672009797</t>
        </is>
      </c>
      <c r="Y264" t="inlineStr">
        <is>
          <t>39746206</t>
        </is>
      </c>
      <c r="Z264" t="inlineStr">
        <is>
          <t>39746206</t>
        </is>
      </c>
      <c r="AA264" t="inlineStr">
        <is>
          <t>Suede-puma Black-puma Black</t>
        </is>
      </c>
      <c r="AB264" t="inlineStr">
        <is>
          <t>0197672009797</t>
        </is>
      </c>
      <c r="AC264" t="inlineStr">
        <is>
          <t>Amazon offer is back-ordered</t>
        </is>
      </c>
      <c r="AD264" t="inlineStr">
        <is>
          <t>PUMA</t>
        </is>
      </c>
      <c r="AE264" t="inlineStr">
        <is>
          <t>7</t>
        </is>
      </c>
      <c r="AF264"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4"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5">
      <c r="A265" t="inlineStr">
        <is>
          <t>com</t>
        </is>
      </c>
      <c r="B265" t="inlineStr">
        <is>
          <t>B0D32BHHQM</t>
        </is>
      </c>
      <c r="C265" t="inlineStr">
        <is>
          <t>PUMA Women's Karmen II Idol Sneaker, Suede Black Black, 7.5</t>
        </is>
      </c>
      <c r="D265" t="n">
        <v>48.99</v>
      </c>
      <c r="E265" t="n">
        <v>48.99</v>
      </c>
      <c r="F265" t="n">
        <v>37459</v>
      </c>
      <c r="G265" t="n">
        <v>493178</v>
      </c>
      <c r="H265" t="n">
        <v>60.98</v>
      </c>
      <c r="I265" t="n">
        <v>64.56999999999999</v>
      </c>
      <c r="J265" t="n">
        <v>0</v>
      </c>
      <c r="K265" t="n">
        <v>0</v>
      </c>
      <c r="L265" t="n">
        <v>5</v>
      </c>
      <c r="M265" t="n">
        <v>3</v>
      </c>
      <c r="N265" t="n">
        <v>4.3</v>
      </c>
      <c r="O265" t="n">
        <v>0</v>
      </c>
      <c r="P265" t="n">
        <v>51</v>
      </c>
      <c r="Q265" t="n">
        <v>34</v>
      </c>
      <c r="R265" t="n">
        <v>55</v>
      </c>
      <c r="S265" t="inlineStr">
        <is>
          <t>B0DJCM3Q54</t>
        </is>
      </c>
      <c r="U265" t="n">
        <v>2.20021076</v>
      </c>
      <c r="V265" t="n">
        <v>7.62</v>
      </c>
      <c r="W265" t="n">
        <v>7.35</v>
      </c>
      <c r="X265" t="inlineStr">
        <is>
          <t>197672009735</t>
        </is>
      </c>
      <c r="Y265" t="inlineStr">
        <is>
          <t>39746206</t>
        </is>
      </c>
      <c r="Z265" t="inlineStr">
        <is>
          <t>39746206</t>
        </is>
      </c>
      <c r="AA265" t="inlineStr">
        <is>
          <t>Suede-puma Black-puma Black</t>
        </is>
      </c>
      <c r="AB265" t="inlineStr">
        <is>
          <t>0197672009735</t>
        </is>
      </c>
      <c r="AC265" t="inlineStr">
        <is>
          <t>Amazon offer is back-ordered</t>
        </is>
      </c>
      <c r="AD265" t="inlineStr">
        <is>
          <t>PUMA</t>
        </is>
      </c>
      <c r="AE265" t="inlineStr">
        <is>
          <t>7.5</t>
        </is>
      </c>
      <c r="AF265"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5"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6">
      <c r="A266" t="inlineStr">
        <is>
          <t>com</t>
        </is>
      </c>
      <c r="B266" t="inlineStr">
        <is>
          <t>B0D32B77HM</t>
        </is>
      </c>
      <c r="C266" t="inlineStr">
        <is>
          <t>PUMA Women's Karmen II Idol Sneaker, Suede Black Black, 8</t>
        </is>
      </c>
      <c r="D266" t="n">
        <v>48.99</v>
      </c>
      <c r="E266" t="n">
        <v>48.99</v>
      </c>
      <c r="F266" t="n">
        <v>37459</v>
      </c>
      <c r="G266" t="n">
        <v>296366</v>
      </c>
      <c r="H266" t="n">
        <v>58.24</v>
      </c>
      <c r="I266" t="n">
        <v>62.54</v>
      </c>
      <c r="J266" t="n">
        <v>0</v>
      </c>
      <c r="K266" t="n">
        <v>0</v>
      </c>
      <c r="L266" t="n">
        <v>7</v>
      </c>
      <c r="M266" t="n">
        <v>7</v>
      </c>
      <c r="N266" t="n">
        <v>4.3</v>
      </c>
      <c r="O266" t="n">
        <v>2</v>
      </c>
      <c r="P266" t="n">
        <v>54</v>
      </c>
      <c r="Q266" t="n">
        <v>42</v>
      </c>
      <c r="R266" t="n">
        <v>62</v>
      </c>
      <c r="S266" t="inlineStr">
        <is>
          <t>B0DJCM3Q54</t>
        </is>
      </c>
      <c r="U266" t="n">
        <v>2.25091702</v>
      </c>
      <c r="V266" t="n">
        <v>7.62</v>
      </c>
      <c r="W266" t="n">
        <v>7.35</v>
      </c>
      <c r="X266" t="inlineStr">
        <is>
          <t>197672009803</t>
        </is>
      </c>
      <c r="Y266" t="inlineStr">
        <is>
          <t>39746206</t>
        </is>
      </c>
      <c r="Z266" t="inlineStr">
        <is>
          <t>39746206</t>
        </is>
      </c>
      <c r="AA266" t="inlineStr">
        <is>
          <t>Suede-puma Black-puma Black</t>
        </is>
      </c>
      <c r="AB266" t="inlineStr">
        <is>
          <t>0197672009803</t>
        </is>
      </c>
      <c r="AC266" t="inlineStr">
        <is>
          <t>Amazon offer is back-ordered</t>
        </is>
      </c>
      <c r="AD266" t="inlineStr">
        <is>
          <t>PUMA</t>
        </is>
      </c>
      <c r="AE266" t="inlineStr">
        <is>
          <t>8</t>
        </is>
      </c>
      <c r="AF266" t="inlineStr">
        <is>
          <t>https://m.media-amazon.com/images/I/413jZG5HDeL.jpg;https://m.media-amazon.com/images/I/41uoNlK13FL.jpg;https://m.media-amazon.com/images/I/41qQzjiHUSL.jpg;https://m.media-amazon.com/images/I/31YlcMbf5sL.jpg;https://m.media-amazon.com/images/I/31pQOp7aIhL.jpg;https://m.media-amazon.com/images/I/31srpo7A4WL.jpg;https://m.media-amazon.com/images/I/41GHPy+AuSL.jpg</t>
        </is>
      </c>
      <c r="AG266"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7">
      <c r="A267" t="inlineStr">
        <is>
          <t>com</t>
        </is>
      </c>
      <c r="B267" t="inlineStr">
        <is>
          <t>B0D32C681G</t>
        </is>
      </c>
      <c r="C267" t="inlineStr">
        <is>
          <t>PUMA Women's Karmen II Idol Sneaker, Suede Black Black, 8.5</t>
        </is>
      </c>
      <c r="D267" t="n">
        <v>48.99</v>
      </c>
      <c r="E267" t="n">
        <v>48.99</v>
      </c>
      <c r="F267" t="n">
        <v>39909</v>
      </c>
      <c r="G267" t="n">
        <v>484160</v>
      </c>
      <c r="H267" t="n">
        <v>59.17</v>
      </c>
      <c r="I267" t="n">
        <v>64.03</v>
      </c>
      <c r="J267" t="n">
        <v>0</v>
      </c>
      <c r="K267" t="n">
        <v>0</v>
      </c>
      <c r="L267" t="n">
        <v>7</v>
      </c>
      <c r="M267" t="n">
        <v>7</v>
      </c>
      <c r="N267" t="n">
        <v>4.3</v>
      </c>
      <c r="O267" t="n">
        <v>1</v>
      </c>
      <c r="P267" t="n">
        <v>52</v>
      </c>
      <c r="Q267" t="n">
        <v>42</v>
      </c>
      <c r="R267" t="n">
        <v>65</v>
      </c>
      <c r="S267" t="inlineStr">
        <is>
          <t>B0DJCM3Q54</t>
        </is>
      </c>
      <c r="U267" t="n">
        <v>0.110231</v>
      </c>
      <c r="V267" t="n">
        <v>7.86</v>
      </c>
      <c r="W267" t="n">
        <v>7.35</v>
      </c>
      <c r="X267" t="inlineStr">
        <is>
          <t>197672009742</t>
        </is>
      </c>
      <c r="Y267" t="inlineStr">
        <is>
          <t>39746206</t>
        </is>
      </c>
      <c r="Z267" t="inlineStr">
        <is>
          <t>39746206</t>
        </is>
      </c>
      <c r="AA267" t="inlineStr">
        <is>
          <t>Suede-puma Black-puma Black</t>
        </is>
      </c>
      <c r="AB267" t="inlineStr">
        <is>
          <t>0197672009742</t>
        </is>
      </c>
      <c r="AC267" t="inlineStr">
        <is>
          <t>Amazon offer is back-ordered</t>
        </is>
      </c>
      <c r="AD267" t="inlineStr">
        <is>
          <t>PUMA</t>
        </is>
      </c>
      <c r="AE267" t="inlineStr">
        <is>
          <t>8.5</t>
        </is>
      </c>
      <c r="AF267"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7"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8">
      <c r="A268" t="inlineStr">
        <is>
          <t>com</t>
        </is>
      </c>
      <c r="B268" t="inlineStr">
        <is>
          <t>B0D32C5JT4</t>
        </is>
      </c>
      <c r="C268" t="inlineStr">
        <is>
          <t>PUMA Women's Karmen II Idol Sneaker, Suede Black Black, 9</t>
        </is>
      </c>
      <c r="D268" t="n">
        <v>48.99</v>
      </c>
      <c r="E268" t="n">
        <v>48.99</v>
      </c>
      <c r="F268" t="n">
        <v>38465</v>
      </c>
      <c r="G268" t="n">
        <v>421705</v>
      </c>
      <c r="H268" t="n">
        <v>59.59</v>
      </c>
      <c r="I268" t="n">
        <v>63.52</v>
      </c>
      <c r="J268" t="n">
        <v>0</v>
      </c>
      <c r="K268" t="n">
        <v>0</v>
      </c>
      <c r="L268" t="n">
        <v>5</v>
      </c>
      <c r="M268" t="n">
        <v>5</v>
      </c>
      <c r="N268" t="n">
        <v>4.3</v>
      </c>
      <c r="O268" t="n">
        <v>0</v>
      </c>
      <c r="P268" t="n">
        <v>54</v>
      </c>
      <c r="Q268" t="n">
        <v>36</v>
      </c>
      <c r="R268" t="n">
        <v>58</v>
      </c>
      <c r="S268" t="inlineStr">
        <is>
          <t>B0DJCM3Q54</t>
        </is>
      </c>
      <c r="U268" t="n">
        <v>2.40083118</v>
      </c>
      <c r="V268" t="n">
        <v>8.1</v>
      </c>
      <c r="W268" t="n">
        <v>7.35</v>
      </c>
      <c r="X268" t="inlineStr">
        <is>
          <t>197672009810</t>
        </is>
      </c>
      <c r="Y268" t="inlineStr">
        <is>
          <t>39746206</t>
        </is>
      </c>
      <c r="Z268" t="inlineStr">
        <is>
          <t>39746206</t>
        </is>
      </c>
      <c r="AA268" t="inlineStr">
        <is>
          <t>Suede-puma Black-puma Black</t>
        </is>
      </c>
      <c r="AB268" t="inlineStr">
        <is>
          <t>0197672009810</t>
        </is>
      </c>
      <c r="AC268" t="inlineStr">
        <is>
          <t>Amazon offer is back-ordered</t>
        </is>
      </c>
      <c r="AD268" t="inlineStr">
        <is>
          <t>PUMA</t>
        </is>
      </c>
      <c r="AE268" t="inlineStr">
        <is>
          <t>9</t>
        </is>
      </c>
      <c r="AF268"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8"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69">
      <c r="A269" t="inlineStr">
        <is>
          <t>com</t>
        </is>
      </c>
      <c r="B269" t="inlineStr">
        <is>
          <t>B0D32CTBRJ</t>
        </is>
      </c>
      <c r="C269" t="inlineStr">
        <is>
          <t>PUMA Women's Karmen II Idol Sneaker, Suede Black Black, 9.5</t>
        </is>
      </c>
      <c r="D269" t="n">
        <v>48.99</v>
      </c>
      <c r="E269" t="n">
        <v>48.99</v>
      </c>
      <c r="F269" t="n">
        <v>38465</v>
      </c>
      <c r="G269" t="n">
        <v>454444</v>
      </c>
      <c r="H269" t="n">
        <v>57.09</v>
      </c>
      <c r="I269" t="n">
        <v>61.65</v>
      </c>
      <c r="J269" t="n">
        <v>0</v>
      </c>
      <c r="K269" t="n">
        <v>0</v>
      </c>
      <c r="L269" t="n">
        <v>6</v>
      </c>
      <c r="M269" t="n">
        <v>6</v>
      </c>
      <c r="N269" t="n">
        <v>4.3</v>
      </c>
      <c r="O269" t="n">
        <v>0</v>
      </c>
      <c r="P269" t="n">
        <v>51</v>
      </c>
      <c r="Q269" t="n">
        <v>31</v>
      </c>
      <c r="R269" t="n">
        <v>61</v>
      </c>
      <c r="S269" t="inlineStr">
        <is>
          <t>B0DJCM3Q54</t>
        </is>
      </c>
      <c r="U269" t="n">
        <v>2.4691744</v>
      </c>
      <c r="V269" t="n">
        <v>7.86</v>
      </c>
      <c r="W269" t="n">
        <v>7.35</v>
      </c>
      <c r="X269" t="inlineStr">
        <is>
          <t>197672009759</t>
        </is>
      </c>
      <c r="Y269" t="inlineStr">
        <is>
          <t>39746206</t>
        </is>
      </c>
      <c r="Z269" t="inlineStr">
        <is>
          <t>39746206</t>
        </is>
      </c>
      <c r="AA269" t="inlineStr">
        <is>
          <t>Suede-puma Black-puma Black</t>
        </is>
      </c>
      <c r="AB269" t="inlineStr">
        <is>
          <t>0197672009759</t>
        </is>
      </c>
      <c r="AC269" t="inlineStr">
        <is>
          <t>Amazon offer is in stock and shippable</t>
        </is>
      </c>
      <c r="AD269" t="inlineStr">
        <is>
          <t>PUMA</t>
        </is>
      </c>
      <c r="AE269" t="inlineStr">
        <is>
          <t>9.5</t>
        </is>
      </c>
      <c r="AF269"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69"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70">
      <c r="A270" t="inlineStr">
        <is>
          <t>com</t>
        </is>
      </c>
      <c r="B270" t="inlineStr">
        <is>
          <t>B0D329N494</t>
        </is>
      </c>
      <c r="C270" t="inlineStr">
        <is>
          <t>PUMA Women's Karmen II Idol Sneaker, Suede Black Black, 10</t>
        </is>
      </c>
      <c r="D270" t="n">
        <v>48.99</v>
      </c>
      <c r="E270" t="n">
        <v>48.99</v>
      </c>
      <c r="F270" t="n">
        <v>37459</v>
      </c>
      <c r="G270" t="n">
        <v>441264</v>
      </c>
      <c r="H270" t="n">
        <v>59.28</v>
      </c>
      <c r="I270" t="n">
        <v>63.32</v>
      </c>
      <c r="J270" t="n">
        <v>0</v>
      </c>
      <c r="K270" t="n">
        <v>0</v>
      </c>
      <c r="L270" t="n">
        <v>7</v>
      </c>
      <c r="M270" t="n">
        <v>8</v>
      </c>
      <c r="N270" t="n">
        <v>4.3</v>
      </c>
      <c r="O270" t="n">
        <v>0</v>
      </c>
      <c r="P270" t="n">
        <v>52</v>
      </c>
      <c r="Q270" t="n">
        <v>31</v>
      </c>
      <c r="R270" t="n">
        <v>56</v>
      </c>
      <c r="S270" t="inlineStr">
        <is>
          <t>B0DJCM3Q54</t>
        </is>
      </c>
      <c r="U270" t="n">
        <v>2.48901598</v>
      </c>
      <c r="V270" t="n">
        <v>7.86</v>
      </c>
      <c r="W270" t="n">
        <v>7.35</v>
      </c>
      <c r="X270" t="inlineStr">
        <is>
          <t>197672009827</t>
        </is>
      </c>
      <c r="Y270" t="inlineStr">
        <is>
          <t>39746206</t>
        </is>
      </c>
      <c r="Z270" t="inlineStr">
        <is>
          <t>39746206</t>
        </is>
      </c>
      <c r="AA270" t="inlineStr">
        <is>
          <t>Suede-puma Black-puma Black</t>
        </is>
      </c>
      <c r="AB270" t="inlineStr">
        <is>
          <t>0197672009827</t>
        </is>
      </c>
      <c r="AC270" t="inlineStr">
        <is>
          <t>Amazon offer is in stock and shippable</t>
        </is>
      </c>
      <c r="AD270" t="inlineStr">
        <is>
          <t>PUMA</t>
        </is>
      </c>
      <c r="AE270" t="inlineStr">
        <is>
          <t>10</t>
        </is>
      </c>
      <c r="AF270"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70"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71">
      <c r="A271" t="inlineStr">
        <is>
          <t>com</t>
        </is>
      </c>
      <c r="B271" t="inlineStr">
        <is>
          <t>B0D32C3F1Y</t>
        </is>
      </c>
      <c r="C271" t="inlineStr">
        <is>
          <t>PUMA Women's Karmen II Idol Sneaker, Suede Black Black, 11</t>
        </is>
      </c>
      <c r="D271" t="n">
        <v>70.2</v>
      </c>
      <c r="E271" t="n">
        <v>70.18000000000001</v>
      </c>
      <c r="F271" t="n">
        <v>39909</v>
      </c>
      <c r="G271" t="n">
        <v>1287322</v>
      </c>
      <c r="H271" t="n">
        <v>62.45</v>
      </c>
      <c r="I271" t="n">
        <v>65.81</v>
      </c>
      <c r="J271" t="n">
        <v>0</v>
      </c>
      <c r="K271" t="n">
        <v>0.06</v>
      </c>
      <c r="L271" t="n">
        <v>7</v>
      </c>
      <c r="M271" t="n">
        <v>8</v>
      </c>
      <c r="N271" t="n">
        <v>4.4</v>
      </c>
      <c r="O271" t="n">
        <v>0</v>
      </c>
      <c r="P271" t="n">
        <v>49</v>
      </c>
      <c r="Q271" t="n">
        <v>39</v>
      </c>
      <c r="R271" t="n">
        <v>55</v>
      </c>
      <c r="S271" t="inlineStr">
        <is>
          <t>B0DJCM3Q54</t>
        </is>
      </c>
      <c r="U271" t="n">
        <v>2.44933282</v>
      </c>
      <c r="V271" t="n">
        <v>7.86</v>
      </c>
      <c r="W271" t="n">
        <v>10.53</v>
      </c>
      <c r="X271" t="inlineStr">
        <is>
          <t>197672009834</t>
        </is>
      </c>
      <c r="Y271" t="inlineStr">
        <is>
          <t>39746206</t>
        </is>
      </c>
      <c r="Z271" t="inlineStr">
        <is>
          <t>39746206</t>
        </is>
      </c>
      <c r="AA271" t="inlineStr">
        <is>
          <t>Suede-puma Black-puma Black</t>
        </is>
      </c>
      <c r="AB271" t="inlineStr">
        <is>
          <t>0197672009834</t>
        </is>
      </c>
      <c r="AC271" t="inlineStr">
        <is>
          <t>Amazon offer is in stock and shippable</t>
        </is>
      </c>
      <c r="AD271" t="inlineStr">
        <is>
          <t>PUMA</t>
        </is>
      </c>
      <c r="AE271" t="inlineStr">
        <is>
          <t>11</t>
        </is>
      </c>
      <c r="AF271" t="inlineStr">
        <is>
          <t>https://m.media-amazon.com/images/I/71tieCvvxBL.jpg;https://m.media-amazon.com/images/I/41uoNlK13FL.jpg;https://m.media-amazon.com/images/I/41qQzjiHUSL.jpg;https://m.media-amazon.com/images/I/31YlcMbf5sL.jpg;https://m.media-amazon.com/images/I/31pQOp7aIhL.jpg;https://m.media-amazon.com/images/I/31srpo7A4WL.jpg;https://m.media-amazon.com/images/I/41GHPy+AuSL.jpg</t>
        </is>
      </c>
      <c r="AG271" t="inlineStr">
        <is>
          <t>Description
Karmen is everywhere. You can find her in the salon, in shops, or a night out in town. Karmen’s popularity is undeniable, and it’s not stopping anytime soon. Introducing the Karmen II Idol, with a progressive slightly rugged rubber platform. The upper will translate feminity in angularity with qualitative coated leather overlays, superposed to create an elegant style for the lifestyle seeker consumer. The SoftFoam+ sockliner provides superior cushioning and optimal comfort for every step of your day.</t>
        </is>
      </c>
    </row>
    <row r="272">
      <c r="A272" t="inlineStr">
        <is>
          <t>com</t>
        </is>
      </c>
      <c r="B272" t="inlineStr">
        <is>
          <t>B0DJ651RSZ</t>
        </is>
      </c>
      <c r="C272" t="inlineStr">
        <is>
          <t>Puma - Womens Club Pearl Shoes, Color Alpine Snow/Cold Green/Caramel Latte, Size: 5.5 M US</t>
        </is>
      </c>
      <c r="D272" t="n">
        <v>74.98999999999999</v>
      </c>
      <c r="E272" t="n">
        <v>70</v>
      </c>
      <c r="H272" t="n">
        <v>74.98999999999999</v>
      </c>
      <c r="I272" t="n">
        <v>74.98999999999999</v>
      </c>
      <c r="J272" t="n">
        <v>0</v>
      </c>
      <c r="K272" t="n">
        <v>1</v>
      </c>
      <c r="L272" t="n">
        <v>1</v>
      </c>
      <c r="M272" t="n">
        <v>1</v>
      </c>
      <c r="Q272" t="n">
        <v>-1</v>
      </c>
      <c r="R272" t="n">
        <v>-1</v>
      </c>
      <c r="S272" t="inlineStr">
        <is>
          <t>B0DJ65GM16</t>
        </is>
      </c>
      <c r="V272" t="inlineStr"/>
      <c r="W272" t="inlineStr"/>
      <c r="X272" t="inlineStr">
        <is>
          <t>197672019000</t>
        </is>
      </c>
      <c r="Y272" t="inlineStr"/>
      <c r="Z272" t="inlineStr"/>
      <c r="AA272" t="inlineStr">
        <is>
          <t>Alpine Snow/Cold Green/Caramel Latte</t>
        </is>
      </c>
      <c r="AB272" t="inlineStr">
        <is>
          <t>0197672019000</t>
        </is>
      </c>
      <c r="AC272" t="inlineStr">
        <is>
          <t>no Amazon offer exists</t>
        </is>
      </c>
      <c r="AD272" t="inlineStr">
        <is>
          <t>Puma</t>
        </is>
      </c>
      <c r="AE272" t="inlineStr">
        <is>
          <t>5.5</t>
        </is>
      </c>
      <c r="AF272" t="inlineStr">
        <is>
          <t>https://m.media-amazon.com/images/I/51PsFfQXW1L.jpg;https://m.media-amazon.com/images/I/61ifxSOheZL.jpg;https://m.media-amazon.com/images/I/51nNLuobGgL.jpg;https://m.media-amazon.com/images/I/61M0QI3p7kL.jpg</t>
        </is>
      </c>
      <c r="AG272" t="inlineStr"/>
    </row>
    <row r="273">
      <c r="A273" t="inlineStr">
        <is>
          <t>com</t>
        </is>
      </c>
      <c r="B273" t="inlineStr">
        <is>
          <t>B0DJ63LTJR</t>
        </is>
      </c>
      <c r="C273" t="inlineStr">
        <is>
          <t>Puma - Womens Club Pearl Shoes, Color Alpine Snow/Cold Green/Caramel Latte, Size: 6 M US</t>
        </is>
      </c>
      <c r="D273" t="n">
        <v>95.48999999999999</v>
      </c>
      <c r="E273" t="n">
        <v>80.54000000000001</v>
      </c>
      <c r="H273" t="n">
        <v>95.92</v>
      </c>
      <c r="I273" t="n">
        <v>95.92</v>
      </c>
      <c r="J273" t="n">
        <v>0.04</v>
      </c>
      <c r="K273" t="n">
        <v>1</v>
      </c>
      <c r="L273" t="n">
        <v>4</v>
      </c>
      <c r="M273" t="n">
        <v>5</v>
      </c>
      <c r="Q273" t="n">
        <v>-1</v>
      </c>
      <c r="R273" t="n">
        <v>-1</v>
      </c>
      <c r="S273" t="inlineStr">
        <is>
          <t>B0DJ65GM16</t>
        </is>
      </c>
      <c r="V273" t="inlineStr"/>
      <c r="W273" t="inlineStr"/>
      <c r="X273" t="inlineStr">
        <is>
          <t>197672019062</t>
        </is>
      </c>
      <c r="Y273" t="inlineStr"/>
      <c r="Z273" t="inlineStr"/>
      <c r="AA273" t="inlineStr">
        <is>
          <t>Alpine Snow/Cold Green/Caramel Latte</t>
        </is>
      </c>
      <c r="AB273" t="inlineStr">
        <is>
          <t>0197672019062</t>
        </is>
      </c>
      <c r="AC273" t="inlineStr">
        <is>
          <t>no Amazon offer exists</t>
        </is>
      </c>
      <c r="AD273" t="inlineStr">
        <is>
          <t>Puma</t>
        </is>
      </c>
      <c r="AE273" t="inlineStr">
        <is>
          <t>6</t>
        </is>
      </c>
      <c r="AF273" t="inlineStr">
        <is>
          <t>https://m.media-amazon.com/images/I/51PsFfQXW1L.jpg;https://m.media-amazon.com/images/I/61ifxSOheZL.jpg;https://m.media-amazon.com/images/I/51nNLuobGgL.jpg;https://m.media-amazon.com/images/I/61M0QI3p7kL.jpg</t>
        </is>
      </c>
      <c r="AG273" t="inlineStr"/>
    </row>
    <row r="274">
      <c r="A274" t="inlineStr">
        <is>
          <t>com</t>
        </is>
      </c>
      <c r="B274" t="inlineStr">
        <is>
          <t>B0DJ63J9XJ</t>
        </is>
      </c>
      <c r="C274" t="inlineStr">
        <is>
          <t>Puma - Womens Club Pearl Shoes, Color Alpine Snow/Cold Green/Caramel Latte, Size: 6.5 M US</t>
        </is>
      </c>
      <c r="D274" t="n">
        <v>95.48999999999999</v>
      </c>
      <c r="E274" t="n">
        <v>80.54000000000001</v>
      </c>
      <c r="H274" t="n">
        <v>97.54000000000001</v>
      </c>
      <c r="I274" t="n">
        <v>97.54000000000001</v>
      </c>
      <c r="J274" t="n">
        <v>0.01</v>
      </c>
      <c r="K274" t="n">
        <v>1</v>
      </c>
      <c r="L274" t="n">
        <v>5</v>
      </c>
      <c r="M274" t="n">
        <v>6</v>
      </c>
      <c r="Q274" t="n">
        <v>-1</v>
      </c>
      <c r="R274" t="n">
        <v>-1</v>
      </c>
      <c r="S274" t="inlineStr">
        <is>
          <t>B0DJ65GM16</t>
        </is>
      </c>
      <c r="V274" t="inlineStr"/>
      <c r="W274" t="inlineStr"/>
      <c r="X274" t="inlineStr">
        <is>
          <t>197672019017</t>
        </is>
      </c>
      <c r="Y274" t="inlineStr"/>
      <c r="Z274" t="inlineStr"/>
      <c r="AA274" t="inlineStr">
        <is>
          <t>Alpine Snow/Cold Green/Caramel Latte</t>
        </is>
      </c>
      <c r="AB274" t="inlineStr">
        <is>
          <t>0197672019017</t>
        </is>
      </c>
      <c r="AC274" t="inlineStr">
        <is>
          <t>no Amazon offer exists</t>
        </is>
      </c>
      <c r="AD274" t="inlineStr">
        <is>
          <t>Puma</t>
        </is>
      </c>
      <c r="AE274" t="inlineStr">
        <is>
          <t>6.5</t>
        </is>
      </c>
      <c r="AF274" t="inlineStr">
        <is>
          <t>https://m.media-amazon.com/images/I/51PsFfQXW1L.jpg;https://m.media-amazon.com/images/I/61ifxSOheZL.jpg;https://m.media-amazon.com/images/I/51nNLuobGgL.jpg;https://m.media-amazon.com/images/I/61M0QI3p7kL.jpg</t>
        </is>
      </c>
      <c r="AG274" t="inlineStr"/>
    </row>
    <row r="275">
      <c r="A275" t="inlineStr">
        <is>
          <t>com</t>
        </is>
      </c>
      <c r="B275" t="inlineStr">
        <is>
          <t>B0DJ63XQPB</t>
        </is>
      </c>
      <c r="C275" t="inlineStr">
        <is>
          <t>Puma - Womens Club Pearl Shoes, Color Alpine Snow/Cold Green/Caramel Latte, Size: 7 M US</t>
        </is>
      </c>
      <c r="D275" t="n">
        <v>104</v>
      </c>
      <c r="E275" t="n">
        <v>82.55</v>
      </c>
      <c r="H275" t="n">
        <v>104</v>
      </c>
      <c r="I275" t="n">
        <v>104</v>
      </c>
      <c r="J275" t="n">
        <v>0.04</v>
      </c>
      <c r="K275" t="n">
        <v>1</v>
      </c>
      <c r="L275" t="n">
        <v>4</v>
      </c>
      <c r="M275" t="n">
        <v>4</v>
      </c>
      <c r="Q275" t="n">
        <v>-1</v>
      </c>
      <c r="R275" t="n">
        <v>-1</v>
      </c>
      <c r="S275" t="inlineStr">
        <is>
          <t>B0DJ65GM16</t>
        </is>
      </c>
      <c r="V275" t="inlineStr"/>
      <c r="W275" t="inlineStr"/>
      <c r="X275" t="inlineStr">
        <is>
          <t>197672019079</t>
        </is>
      </c>
      <c r="Y275" t="inlineStr"/>
      <c r="Z275" t="inlineStr"/>
      <c r="AA275" t="inlineStr">
        <is>
          <t>Alpine Snow/Cold Green/Caramel Latte</t>
        </is>
      </c>
      <c r="AB275" t="inlineStr">
        <is>
          <t>0197672019079</t>
        </is>
      </c>
      <c r="AC275" t="inlineStr">
        <is>
          <t>no Amazon offer exists</t>
        </is>
      </c>
      <c r="AD275" t="inlineStr">
        <is>
          <t>Puma</t>
        </is>
      </c>
      <c r="AE275" t="inlineStr">
        <is>
          <t>7</t>
        </is>
      </c>
      <c r="AF275" t="inlineStr">
        <is>
          <t>https://m.media-amazon.com/images/I/51PsFfQXW1L.jpg;https://m.media-amazon.com/images/I/61ifxSOheZL.jpg;https://m.media-amazon.com/images/I/51nNLuobGgL.jpg;https://m.media-amazon.com/images/I/61M0QI3p7kL.jpg</t>
        </is>
      </c>
      <c r="AG275" t="inlineStr"/>
    </row>
    <row r="276">
      <c r="A276" t="inlineStr">
        <is>
          <t>com</t>
        </is>
      </c>
      <c r="B276" t="inlineStr">
        <is>
          <t>B0DJ6519ZD</t>
        </is>
      </c>
      <c r="C276" t="inlineStr">
        <is>
          <t>Puma - Womens Club Pearl Shoes, Color Alpine Snow/Cold Green/Caramel Latte, Size: 7.5 M US</t>
        </is>
      </c>
      <c r="D276" t="n">
        <v>84.51000000000001</v>
      </c>
      <c r="E276" t="n">
        <v>76.56</v>
      </c>
      <c r="H276" t="n">
        <v>84.95</v>
      </c>
      <c r="I276" t="n">
        <v>84.95</v>
      </c>
      <c r="J276" t="n">
        <v>0.04</v>
      </c>
      <c r="K276" t="n">
        <v>1</v>
      </c>
      <c r="L276" t="n">
        <v>6</v>
      </c>
      <c r="M276" t="n">
        <v>8</v>
      </c>
      <c r="Q276" t="n">
        <v>-1</v>
      </c>
      <c r="R276" t="n">
        <v>-1</v>
      </c>
      <c r="S276" t="inlineStr">
        <is>
          <t>B0DJ65GM16</t>
        </is>
      </c>
      <c r="V276" t="inlineStr"/>
      <c r="W276" t="inlineStr"/>
      <c r="X276" t="inlineStr">
        <is>
          <t>197672019024</t>
        </is>
      </c>
      <c r="Y276" t="inlineStr"/>
      <c r="Z276" t="inlineStr"/>
      <c r="AA276" t="inlineStr">
        <is>
          <t>Alpine Snow/Cold Green/Caramel Latte</t>
        </is>
      </c>
      <c r="AB276" t="inlineStr">
        <is>
          <t>0197672019024</t>
        </is>
      </c>
      <c r="AC276" t="inlineStr">
        <is>
          <t>no Amazon offer exists</t>
        </is>
      </c>
      <c r="AD276" t="inlineStr">
        <is>
          <t>Puma</t>
        </is>
      </c>
      <c r="AE276" t="inlineStr">
        <is>
          <t>7.5</t>
        </is>
      </c>
      <c r="AF276" t="inlineStr">
        <is>
          <t>https://m.media-amazon.com/images/I/51PsFfQXW1L.jpg;https://m.media-amazon.com/images/I/61ifxSOheZL.jpg;https://m.media-amazon.com/images/I/51nNLuobGgL.jpg;https://m.media-amazon.com/images/I/61M0QI3p7kL.jpg</t>
        </is>
      </c>
      <c r="AG276" t="inlineStr"/>
    </row>
    <row r="277">
      <c r="A277" t="inlineStr">
        <is>
          <t>com</t>
        </is>
      </c>
      <c r="B277" t="inlineStr">
        <is>
          <t>B0DJ64YJHX</t>
        </is>
      </c>
      <c r="C277" t="inlineStr">
        <is>
          <t>Puma - Womens Club Pearl Shoes, Color Alpine Snow/Cold Green/Caramel Latte, Size: 8 M US</t>
        </is>
      </c>
      <c r="D277" t="n">
        <v>99</v>
      </c>
      <c r="E277" t="n">
        <v>80.51000000000001</v>
      </c>
      <c r="H277" t="n">
        <v>99</v>
      </c>
      <c r="I277" t="n">
        <v>99</v>
      </c>
      <c r="J277" t="n">
        <v>0.04</v>
      </c>
      <c r="K277" t="n">
        <v>1</v>
      </c>
      <c r="L277" t="n">
        <v>5</v>
      </c>
      <c r="M277" t="n">
        <v>6</v>
      </c>
      <c r="Q277" t="n">
        <v>-1</v>
      </c>
      <c r="R277" t="n">
        <v>-1</v>
      </c>
      <c r="S277" t="inlineStr">
        <is>
          <t>B0DJ65GM16</t>
        </is>
      </c>
      <c r="V277" t="inlineStr"/>
      <c r="W277" t="inlineStr"/>
      <c r="X277" t="inlineStr">
        <is>
          <t>197672019086</t>
        </is>
      </c>
      <c r="Y277" t="inlineStr"/>
      <c r="Z277" t="inlineStr"/>
      <c r="AA277" t="inlineStr">
        <is>
          <t>Alpine Snow/Cold Green/Caramel Latte</t>
        </is>
      </c>
      <c r="AB277" t="inlineStr">
        <is>
          <t>0197672019086</t>
        </is>
      </c>
      <c r="AC277" t="inlineStr">
        <is>
          <t>no Amazon offer exists</t>
        </is>
      </c>
      <c r="AD277" t="inlineStr">
        <is>
          <t>Puma</t>
        </is>
      </c>
      <c r="AE277" t="inlineStr">
        <is>
          <t>8</t>
        </is>
      </c>
      <c r="AF277" t="inlineStr">
        <is>
          <t>https://m.media-amazon.com/images/I/51PsFfQXW1L.jpg;https://m.media-amazon.com/images/I/61ifxSOheZL.jpg;https://m.media-amazon.com/images/I/51nNLuobGgL.jpg;https://m.media-amazon.com/images/I/61M0QI3p7kL.jpg</t>
        </is>
      </c>
      <c r="AG277" t="inlineStr"/>
    </row>
    <row r="278">
      <c r="A278" t="inlineStr">
        <is>
          <t>com</t>
        </is>
      </c>
      <c r="B278" t="inlineStr">
        <is>
          <t>B0DJ63WVH7</t>
        </is>
      </c>
      <c r="C278" t="inlineStr">
        <is>
          <t>Puma - Womens Club Pearl Shoes, Color Alpine Snow/Cold Green/Caramel Latte, Size: 8.5 M US</t>
        </is>
      </c>
      <c r="D278" t="n">
        <v>84.51000000000001</v>
      </c>
      <c r="E278" t="n">
        <v>76.56</v>
      </c>
      <c r="H278" t="n">
        <v>84.41</v>
      </c>
      <c r="I278" t="n">
        <v>84.41</v>
      </c>
      <c r="J278" t="n">
        <v>0.04</v>
      </c>
      <c r="K278" t="n">
        <v>1</v>
      </c>
      <c r="L278" t="n">
        <v>6</v>
      </c>
      <c r="M278" t="n">
        <v>8</v>
      </c>
      <c r="Q278" t="n">
        <v>-1</v>
      </c>
      <c r="R278" t="n">
        <v>-1</v>
      </c>
      <c r="S278" t="inlineStr">
        <is>
          <t>B0DJ65GM16</t>
        </is>
      </c>
      <c r="V278" t="inlineStr"/>
      <c r="W278" t="inlineStr"/>
      <c r="X278" t="inlineStr">
        <is>
          <t>197672019031</t>
        </is>
      </c>
      <c r="Y278" t="inlineStr"/>
      <c r="Z278" t="inlineStr"/>
      <c r="AA278" t="inlineStr">
        <is>
          <t>Alpine Snow/Cold Green/Caramel Latte</t>
        </is>
      </c>
      <c r="AB278" t="inlineStr">
        <is>
          <t>0197672019031</t>
        </is>
      </c>
      <c r="AC278" t="inlineStr">
        <is>
          <t>no Amazon offer exists</t>
        </is>
      </c>
      <c r="AD278" t="inlineStr">
        <is>
          <t>Puma</t>
        </is>
      </c>
      <c r="AE278" t="inlineStr">
        <is>
          <t>8.5</t>
        </is>
      </c>
      <c r="AF278" t="inlineStr">
        <is>
          <t>https://m.media-amazon.com/images/I/51PsFfQXW1L.jpg;https://m.media-amazon.com/images/I/61ifxSOheZL.jpg;https://m.media-amazon.com/images/I/51nNLuobGgL.jpg;https://m.media-amazon.com/images/I/61M0QI3p7kL.jpg</t>
        </is>
      </c>
      <c r="AG278" t="inlineStr"/>
    </row>
    <row r="279">
      <c r="A279" t="inlineStr">
        <is>
          <t>com</t>
        </is>
      </c>
      <c r="B279" t="inlineStr">
        <is>
          <t>B0DJ65F64R</t>
        </is>
      </c>
      <c r="C279" t="inlineStr">
        <is>
          <t>Puma - Womens Club Pearl Shoes, Color Alpine Snow/Cold Green/Caramel Latte, Size: 9 M US</t>
        </is>
      </c>
      <c r="D279" t="n">
        <v>95.48999999999999</v>
      </c>
      <c r="E279" t="n">
        <v>80.54000000000001</v>
      </c>
      <c r="H279" t="n">
        <v>102.94</v>
      </c>
      <c r="I279" t="n">
        <v>102.94</v>
      </c>
      <c r="J279" t="n">
        <v>0.04</v>
      </c>
      <c r="K279" t="n">
        <v>1</v>
      </c>
      <c r="L279" t="n">
        <v>5</v>
      </c>
      <c r="M279" t="n">
        <v>5</v>
      </c>
      <c r="Q279" t="n">
        <v>-1</v>
      </c>
      <c r="R279" t="n">
        <v>-1</v>
      </c>
      <c r="S279" t="inlineStr">
        <is>
          <t>B0DJ65GM16</t>
        </is>
      </c>
      <c r="V279" t="inlineStr"/>
      <c r="W279" t="inlineStr"/>
      <c r="X279" t="inlineStr">
        <is>
          <t>197672019093</t>
        </is>
      </c>
      <c r="Y279" t="inlineStr"/>
      <c r="Z279" t="inlineStr"/>
      <c r="AA279" t="inlineStr">
        <is>
          <t>Alpine Snow/Cold Green/Caramel Latte</t>
        </is>
      </c>
      <c r="AB279" t="inlineStr">
        <is>
          <t>0197672019093</t>
        </is>
      </c>
      <c r="AC279" t="inlineStr">
        <is>
          <t>no Amazon offer exists</t>
        </is>
      </c>
      <c r="AD279" t="inlineStr">
        <is>
          <t>Puma</t>
        </is>
      </c>
      <c r="AE279" t="inlineStr">
        <is>
          <t>9</t>
        </is>
      </c>
      <c r="AF279" t="inlineStr">
        <is>
          <t>https://m.media-amazon.com/images/I/51PsFfQXW1L.jpg;https://m.media-amazon.com/images/I/61ifxSOheZL.jpg;https://m.media-amazon.com/images/I/51nNLuobGgL.jpg;https://m.media-amazon.com/images/I/61M0QI3p7kL.jpg</t>
        </is>
      </c>
      <c r="AG279" t="inlineStr"/>
    </row>
    <row r="280">
      <c r="A280" t="inlineStr">
        <is>
          <t>com</t>
        </is>
      </c>
      <c r="B280" t="inlineStr">
        <is>
          <t>B0DJ63TX2X</t>
        </is>
      </c>
      <c r="C280" t="inlineStr">
        <is>
          <t>Puma - Womens Club Pearl Shoes, Color Alpine Snow/Cold Green/Caramel Latte, Size: 9.5 M US</t>
        </is>
      </c>
      <c r="D280" t="n">
        <v>96.98</v>
      </c>
      <c r="E280" t="n">
        <v>96.98</v>
      </c>
      <c r="H280" t="n">
        <v>100.55</v>
      </c>
      <c r="I280" t="n">
        <v>100.55</v>
      </c>
      <c r="J280" t="n">
        <v>0.01</v>
      </c>
      <c r="K280" t="n">
        <v>1</v>
      </c>
      <c r="L280" t="n">
        <v>5</v>
      </c>
      <c r="M280" t="n">
        <v>5</v>
      </c>
      <c r="Q280" t="n">
        <v>-1</v>
      </c>
      <c r="R280" t="n">
        <v>-1</v>
      </c>
      <c r="S280" t="inlineStr">
        <is>
          <t>B0DJ65GM16</t>
        </is>
      </c>
      <c r="V280" t="inlineStr"/>
      <c r="W280" t="inlineStr"/>
      <c r="X280" t="inlineStr">
        <is>
          <t>197672019048</t>
        </is>
      </c>
      <c r="Y280" t="inlineStr"/>
      <c r="Z280" t="inlineStr"/>
      <c r="AA280" t="inlineStr">
        <is>
          <t>Alpine Snow/Cold Green/Caramel Latte</t>
        </is>
      </c>
      <c r="AB280" t="inlineStr">
        <is>
          <t>0197672019048</t>
        </is>
      </c>
      <c r="AC280" t="inlineStr">
        <is>
          <t>no Amazon offer exists</t>
        </is>
      </c>
      <c r="AD280" t="inlineStr">
        <is>
          <t>Puma</t>
        </is>
      </c>
      <c r="AE280" t="inlineStr">
        <is>
          <t>9.5</t>
        </is>
      </c>
      <c r="AF280" t="inlineStr">
        <is>
          <t>https://m.media-amazon.com/images/I/51PsFfQXW1L.jpg;https://m.media-amazon.com/images/I/61ifxSOheZL.jpg;https://m.media-amazon.com/images/I/51nNLuobGgL.jpg;https://m.media-amazon.com/images/I/61M0QI3p7kL.jpg</t>
        </is>
      </c>
      <c r="AG280" t="inlineStr"/>
    </row>
    <row r="281">
      <c r="A281" t="inlineStr">
        <is>
          <t>com</t>
        </is>
      </c>
      <c r="B281" t="inlineStr">
        <is>
          <t>B0DJ654C62</t>
        </is>
      </c>
      <c r="C281" t="inlineStr">
        <is>
          <t>Puma - Womens Club Pearl Shoes, Color Alpine Snow/Cold Green/Caramel Latte, Size: 10 M US</t>
        </is>
      </c>
      <c r="D281" t="n">
        <v>96.95</v>
      </c>
      <c r="E281" t="n">
        <v>96.95</v>
      </c>
      <c r="H281" t="n">
        <v>97</v>
      </c>
      <c r="I281" t="n">
        <v>97</v>
      </c>
      <c r="J281" t="n">
        <v>0.01</v>
      </c>
      <c r="K281" t="n">
        <v>1</v>
      </c>
      <c r="L281" t="n">
        <v>4</v>
      </c>
      <c r="M281" t="n">
        <v>4</v>
      </c>
      <c r="Q281" t="n">
        <v>-1</v>
      </c>
      <c r="R281" t="n">
        <v>-1</v>
      </c>
      <c r="S281" t="inlineStr">
        <is>
          <t>B0DJ65GM16</t>
        </is>
      </c>
      <c r="V281" t="inlineStr"/>
      <c r="W281" t="inlineStr"/>
      <c r="X281" t="inlineStr">
        <is>
          <t>197672019109</t>
        </is>
      </c>
      <c r="Y281" t="inlineStr"/>
      <c r="Z281" t="inlineStr"/>
      <c r="AA281" t="inlineStr">
        <is>
          <t>Alpine Snow/Cold Green/Caramel Latte</t>
        </is>
      </c>
      <c r="AB281" t="inlineStr">
        <is>
          <t>0197672019109</t>
        </is>
      </c>
      <c r="AC281" t="inlineStr">
        <is>
          <t>no Amazon offer exists</t>
        </is>
      </c>
      <c r="AD281" t="inlineStr">
        <is>
          <t>Puma</t>
        </is>
      </c>
      <c r="AE281" t="inlineStr">
        <is>
          <t>10</t>
        </is>
      </c>
      <c r="AF281" t="inlineStr">
        <is>
          <t>https://m.media-amazon.com/images/I/51PsFfQXW1L.jpg;https://m.media-amazon.com/images/I/61ifxSOheZL.jpg;https://m.media-amazon.com/images/I/51nNLuobGgL.jpg;https://m.media-amazon.com/images/I/61M0QI3p7kL.jpg</t>
        </is>
      </c>
      <c r="AG281" t="inlineStr"/>
    </row>
    <row r="282">
      <c r="A282" t="inlineStr">
        <is>
          <t>com</t>
        </is>
      </c>
      <c r="B282" t="inlineStr">
        <is>
          <t>B0DJ65FK13</t>
        </is>
      </c>
      <c r="C282" t="inlineStr">
        <is>
          <t>Puma - Womens Club Pearl Shoes, Color Alpine Snow/Cold Green/Caramel Latte, Size: 11 M US</t>
        </is>
      </c>
      <c r="D282" t="n">
        <v>96.97</v>
      </c>
      <c r="E282" t="n">
        <v>96.97</v>
      </c>
      <c r="H282" t="n">
        <v>97.78</v>
      </c>
      <c r="I282" t="n">
        <v>97.78</v>
      </c>
      <c r="J282" t="n">
        <v>0</v>
      </c>
      <c r="K282" t="n">
        <v>1</v>
      </c>
      <c r="L282" t="n">
        <v>3</v>
      </c>
      <c r="M282" t="n">
        <v>3</v>
      </c>
      <c r="Q282" t="n">
        <v>-1</v>
      </c>
      <c r="R282" t="n">
        <v>-1</v>
      </c>
      <c r="S282" t="inlineStr">
        <is>
          <t>B0DJ65GM16</t>
        </is>
      </c>
      <c r="V282" t="inlineStr"/>
      <c r="W282" t="inlineStr"/>
      <c r="X282" t="inlineStr">
        <is>
          <t>197672019116</t>
        </is>
      </c>
      <c r="Y282" t="inlineStr"/>
      <c r="Z282" t="inlineStr"/>
      <c r="AA282" t="inlineStr">
        <is>
          <t>Alpine Snow/Cold Green/Caramel Latte</t>
        </is>
      </c>
      <c r="AB282" t="inlineStr">
        <is>
          <t>0197672019116</t>
        </is>
      </c>
      <c r="AC282" t="inlineStr">
        <is>
          <t>no Amazon offer exists</t>
        </is>
      </c>
      <c r="AD282" t="inlineStr">
        <is>
          <t>Puma</t>
        </is>
      </c>
      <c r="AE282" t="inlineStr">
        <is>
          <t>11</t>
        </is>
      </c>
      <c r="AF282" t="inlineStr">
        <is>
          <t>https://m.media-amazon.com/images/I/51PsFfQXW1L.jpg;https://m.media-amazon.com/images/I/61ifxSOheZL.jpg;https://m.media-amazon.com/images/I/51nNLuobGgL.jpg;https://m.media-amazon.com/images/I/61M0QI3p7kL.jpg</t>
        </is>
      </c>
      <c r="AG282" t="inlineStr"/>
    </row>
    <row r="283">
      <c r="A283" t="inlineStr">
        <is>
          <t>com</t>
        </is>
      </c>
      <c r="B283" t="inlineStr">
        <is>
          <t>B0CTS2SRQM</t>
        </is>
      </c>
      <c r="C283" t="inlineStr">
        <is>
          <t>adidas Women's Vl Court 3.0 Sneaker, Off White/Black/Off White, 5</t>
        </is>
      </c>
      <c r="D283" t="n">
        <v>74.95</v>
      </c>
      <c r="E283" t="n">
        <v>74.95</v>
      </c>
      <c r="F283" t="n">
        <v>815</v>
      </c>
      <c r="G283" t="n">
        <v>736</v>
      </c>
      <c r="H283" t="n">
        <v>74.95</v>
      </c>
      <c r="I283" t="n">
        <v>74.95</v>
      </c>
      <c r="J283" t="n">
        <v>0.74</v>
      </c>
      <c r="K283" t="n">
        <v>0.74</v>
      </c>
      <c r="L283" t="n">
        <v>1</v>
      </c>
      <c r="M283" t="n">
        <v>1</v>
      </c>
      <c r="N283" t="n">
        <v>4.5</v>
      </c>
      <c r="O283" t="n">
        <v>0</v>
      </c>
      <c r="P283" t="n">
        <v>1562</v>
      </c>
      <c r="Q283" t="n">
        <v>27</v>
      </c>
      <c r="R283" t="n">
        <v>27</v>
      </c>
      <c r="S283" t="inlineStr">
        <is>
          <t>B0C2K2PHL8</t>
        </is>
      </c>
      <c r="U283" t="n">
        <v>1.3889106</v>
      </c>
      <c r="V283" t="n">
        <v>6.61</v>
      </c>
      <c r="W283" t="n">
        <v>11.24</v>
      </c>
      <c r="X283" t="inlineStr">
        <is>
          <t>197613957149</t>
        </is>
      </c>
      <c r="Y283" t="inlineStr">
        <is>
          <t>NNO46</t>
        </is>
      </c>
      <c r="Z283" t="inlineStr">
        <is>
          <t>NNO46</t>
        </is>
      </c>
      <c r="AA283" t="inlineStr">
        <is>
          <t>Off White/Black/Off White</t>
        </is>
      </c>
      <c r="AB283" t="inlineStr">
        <is>
          <t>0197613957149</t>
        </is>
      </c>
      <c r="AC283" t="inlineStr">
        <is>
          <t>Amazon offer is in stock and shippable</t>
        </is>
      </c>
      <c r="AD283" t="inlineStr">
        <is>
          <t>adidas</t>
        </is>
      </c>
      <c r="AE283" t="inlineStr">
        <is>
          <t>5</t>
        </is>
      </c>
      <c r="AF283" t="inlineStr">
        <is>
          <t>https://m.media-amazon.com/images/I/61BjhuHKEOL.jpg;https://m.media-amazon.com/images/I/51dSIp68dlL.jpg;https://m.media-amazon.com/images/I/51gWBRvIoaL.jpg;https://m.media-amazon.com/images/I/511XOlL6rWL.jpg;https://m.media-amazon.com/images/I/51+AkjSlVzL.jpg;https://m.media-amazon.com/images/I/61N0tufy2DL.jpg</t>
        </is>
      </c>
      <c r="AG283" t="inlineStr">
        <is>
          <t>Description
adidas womens VL Court 3.0</t>
        </is>
      </c>
    </row>
    <row r="284">
      <c r="A284" t="inlineStr">
        <is>
          <t>com</t>
        </is>
      </c>
      <c r="B284" t="inlineStr">
        <is>
          <t>B0CTS8VSBF</t>
        </is>
      </c>
      <c r="C284" t="inlineStr">
        <is>
          <t>adidas Women's Vl Court 3.0 Sneaker, Off White/Black/Off White, 5.5</t>
        </is>
      </c>
      <c r="D284" t="n">
        <v>141.09</v>
      </c>
      <c r="E284" t="n">
        <v>141.09</v>
      </c>
      <c r="F284" t="n">
        <v>815</v>
      </c>
      <c r="G284" t="n">
        <v>731</v>
      </c>
      <c r="H284" t="n">
        <v>74.95</v>
      </c>
      <c r="I284" t="n">
        <v>74.95</v>
      </c>
      <c r="J284" t="n">
        <v>0.74</v>
      </c>
      <c r="K284" t="n">
        <v>0.84</v>
      </c>
      <c r="L284" t="n">
        <v>2</v>
      </c>
      <c r="M284" t="n">
        <v>2</v>
      </c>
      <c r="N284" t="n">
        <v>4.5</v>
      </c>
      <c r="O284" t="n">
        <v>0</v>
      </c>
      <c r="P284" t="n">
        <v>1562</v>
      </c>
      <c r="Q284" t="n">
        <v>43</v>
      </c>
      <c r="R284" t="n">
        <v>43</v>
      </c>
      <c r="S284" t="inlineStr">
        <is>
          <t>B0C2K2PHL8</t>
        </is>
      </c>
      <c r="U284" t="n">
        <v>1.4109568</v>
      </c>
      <c r="V284" t="n">
        <v>6.61</v>
      </c>
      <c r="W284" t="inlineStr"/>
      <c r="X284" t="inlineStr">
        <is>
          <t>197613957163</t>
        </is>
      </c>
      <c r="Y284" t="inlineStr">
        <is>
          <t>NNO46</t>
        </is>
      </c>
      <c r="Z284" t="inlineStr">
        <is>
          <t>NNO46</t>
        </is>
      </c>
      <c r="AA284" t="inlineStr">
        <is>
          <t>Off White/Black/Off White</t>
        </is>
      </c>
      <c r="AB284" t="inlineStr">
        <is>
          <t>0197613957163</t>
        </is>
      </c>
      <c r="AC284" t="inlineStr">
        <is>
          <t>no Amazon offer exists</t>
        </is>
      </c>
      <c r="AD284" t="inlineStr">
        <is>
          <t>adidas</t>
        </is>
      </c>
      <c r="AE284" t="inlineStr">
        <is>
          <t>5.5</t>
        </is>
      </c>
      <c r="AF284" t="inlineStr">
        <is>
          <t>https://m.media-amazon.com/images/I/61BjhuHKEOL.jpg;https://m.media-amazon.com/images/I/51dSIp68dlL.jpg;https://m.media-amazon.com/images/I/51gWBRvIoaL.jpg;https://m.media-amazon.com/images/I/511XOlL6rWL.jpg;https://m.media-amazon.com/images/I/51+AkjSlVzL.jpg;https://m.media-amazon.com/images/I/61N0tufy2DL.jpg</t>
        </is>
      </c>
      <c r="AG284" t="inlineStr">
        <is>
          <t>Description
adidas womens VL Court 3.0</t>
        </is>
      </c>
    </row>
    <row r="285">
      <c r="A285" t="inlineStr">
        <is>
          <t>com</t>
        </is>
      </c>
      <c r="B285" t="inlineStr">
        <is>
          <t>B0CTSDFMVY</t>
        </is>
      </c>
      <c r="C285" t="inlineStr">
        <is>
          <t>adidas Women's Vl Court 3.0 Sneaker, Off White/Black/Off White, 6</t>
        </is>
      </c>
      <c r="D285" t="n">
        <v>74.95</v>
      </c>
      <c r="E285" t="n">
        <v>74.95</v>
      </c>
      <c r="F285" t="n">
        <v>815</v>
      </c>
      <c r="G285" t="n">
        <v>740</v>
      </c>
      <c r="H285" t="n">
        <v>74.95</v>
      </c>
      <c r="I285" t="n">
        <v>74.95</v>
      </c>
      <c r="J285" t="n">
        <v>0.74</v>
      </c>
      <c r="K285" t="n">
        <v>0.8100000000000001</v>
      </c>
      <c r="L285" t="n">
        <v>3</v>
      </c>
      <c r="M285" t="n">
        <v>4</v>
      </c>
      <c r="N285" t="n">
        <v>4.5</v>
      </c>
      <c r="O285" t="n">
        <v>0</v>
      </c>
      <c r="P285" t="n">
        <v>1562</v>
      </c>
      <c r="Q285" t="n">
        <v>39</v>
      </c>
      <c r="R285" t="n">
        <v>39</v>
      </c>
      <c r="S285" t="inlineStr">
        <is>
          <t>B0C2K2PHL8</t>
        </is>
      </c>
      <c r="U285" t="n">
        <v>1.43079838</v>
      </c>
      <c r="V285" t="n">
        <v>7.03</v>
      </c>
      <c r="W285" t="n">
        <v>11.24</v>
      </c>
      <c r="X285" t="inlineStr">
        <is>
          <t>197613957101</t>
        </is>
      </c>
      <c r="Y285" t="inlineStr">
        <is>
          <t>NNO46</t>
        </is>
      </c>
      <c r="Z285" t="inlineStr">
        <is>
          <t>NNO46</t>
        </is>
      </c>
      <c r="AA285" t="inlineStr">
        <is>
          <t>Off White/Black/Off White</t>
        </is>
      </c>
      <c r="AB285" t="inlineStr">
        <is>
          <t>0197613957101</t>
        </is>
      </c>
      <c r="AC285" t="inlineStr">
        <is>
          <t>Amazon offer is in stock and shippable</t>
        </is>
      </c>
      <c r="AD285" t="inlineStr">
        <is>
          <t>adidas</t>
        </is>
      </c>
      <c r="AE285" t="inlineStr">
        <is>
          <t>6</t>
        </is>
      </c>
      <c r="AF285" t="inlineStr">
        <is>
          <t>https://m.media-amazon.com/images/I/61BjhuHKEOL.jpg;https://m.media-amazon.com/images/I/51dSIp68dlL.jpg;https://m.media-amazon.com/images/I/51gWBRvIoaL.jpg;https://m.media-amazon.com/images/I/511XOlL6rWL.jpg;https://m.media-amazon.com/images/I/51+AkjSlVzL.jpg;https://m.media-amazon.com/images/I/61N0tufy2DL.jpg</t>
        </is>
      </c>
      <c r="AG285" t="inlineStr">
        <is>
          <t>Description
adidas womens VL Court 3.0</t>
        </is>
      </c>
    </row>
    <row r="286">
      <c r="A286" t="inlineStr">
        <is>
          <t>com</t>
        </is>
      </c>
      <c r="B286" t="inlineStr">
        <is>
          <t>B0CTRS46FT</t>
        </is>
      </c>
      <c r="C286" t="inlineStr">
        <is>
          <t>adidas Women's Vl Court 3.0 Sneaker, Off White/Black/Off White, 6.5</t>
        </is>
      </c>
      <c r="D286" t="n">
        <v>74.95</v>
      </c>
      <c r="E286" t="n">
        <v>74.95</v>
      </c>
      <c r="F286" t="n">
        <v>815</v>
      </c>
      <c r="G286" t="n">
        <v>744</v>
      </c>
      <c r="H286" t="n">
        <v>74.95</v>
      </c>
      <c r="I286" t="n">
        <v>74.95</v>
      </c>
      <c r="J286" t="n">
        <v>0.74</v>
      </c>
      <c r="K286" t="n">
        <v>0.74</v>
      </c>
      <c r="L286" t="n">
        <v>3</v>
      </c>
      <c r="M286" t="n">
        <v>4</v>
      </c>
      <c r="N286" t="n">
        <v>4.5</v>
      </c>
      <c r="O286" t="n">
        <v>0</v>
      </c>
      <c r="P286" t="n">
        <v>1562</v>
      </c>
      <c r="Q286" t="n">
        <v>37</v>
      </c>
      <c r="R286" t="n">
        <v>37</v>
      </c>
      <c r="S286" t="inlineStr">
        <is>
          <t>B0C2K2PHL8</t>
        </is>
      </c>
      <c r="U286" t="n">
        <v>1.51898318</v>
      </c>
      <c r="V286" t="n">
        <v>6.61</v>
      </c>
      <c r="W286" t="n">
        <v>11.24</v>
      </c>
      <c r="X286" t="inlineStr">
        <is>
          <t>197613957132</t>
        </is>
      </c>
      <c r="Y286" t="inlineStr">
        <is>
          <t>NNO46</t>
        </is>
      </c>
      <c r="Z286" t="inlineStr">
        <is>
          <t>NNO46</t>
        </is>
      </c>
      <c r="AA286" t="inlineStr">
        <is>
          <t>Off White/Black/Off White</t>
        </is>
      </c>
      <c r="AB286" t="inlineStr">
        <is>
          <t>0197613957132</t>
        </is>
      </c>
      <c r="AC286" t="inlineStr">
        <is>
          <t>Amazon offer is in stock and shippable</t>
        </is>
      </c>
      <c r="AD286" t="inlineStr">
        <is>
          <t>adidas</t>
        </is>
      </c>
      <c r="AE286" t="inlineStr">
        <is>
          <t>6.5</t>
        </is>
      </c>
      <c r="AF286" t="inlineStr">
        <is>
          <t>https://m.media-amazon.com/images/I/61BjhuHKEOL.jpg;https://m.media-amazon.com/images/I/51dSIp68dlL.jpg;https://m.media-amazon.com/images/I/51gWBRvIoaL.jpg;https://m.media-amazon.com/images/I/511XOlL6rWL.jpg;https://m.media-amazon.com/images/I/51+AkjSlVzL.jpg;https://m.media-amazon.com/images/I/61N0tufy2DL.jpg</t>
        </is>
      </c>
      <c r="AG286" t="inlineStr">
        <is>
          <t>Description
adidas womens VL Court 3.0</t>
        </is>
      </c>
    </row>
    <row r="287">
      <c r="A287" t="inlineStr">
        <is>
          <t>com</t>
        </is>
      </c>
      <c r="B287" t="inlineStr">
        <is>
          <t>B0CTRZSGGP</t>
        </is>
      </c>
      <c r="C287" t="inlineStr">
        <is>
          <t>adidas Women's Vl Court 3.0 Sneaker, Off White/Black/Off White, 7</t>
        </is>
      </c>
      <c r="D287" t="n">
        <v>74.95</v>
      </c>
      <c r="E287" t="n">
        <v>74.95</v>
      </c>
      <c r="F287" t="n">
        <v>815</v>
      </c>
      <c r="G287" t="n">
        <v>743</v>
      </c>
      <c r="H287" t="n">
        <v>74.95</v>
      </c>
      <c r="I287" t="n">
        <v>74.95</v>
      </c>
      <c r="J287" t="n">
        <v>0.67</v>
      </c>
      <c r="K287" t="n">
        <v>0.77</v>
      </c>
      <c r="L287" t="n">
        <v>2</v>
      </c>
      <c r="M287" t="n">
        <v>3</v>
      </c>
      <c r="N287" t="n">
        <v>4.5</v>
      </c>
      <c r="O287" t="n">
        <v>0</v>
      </c>
      <c r="P287" t="n">
        <v>1562</v>
      </c>
      <c r="Q287" t="n">
        <v>39</v>
      </c>
      <c r="R287" t="n">
        <v>39</v>
      </c>
      <c r="S287" t="inlineStr">
        <is>
          <t>B0C2K2PHL8</t>
        </is>
      </c>
      <c r="U287" t="n">
        <v>1.58953102</v>
      </c>
      <c r="V287" t="n">
        <v>6.61</v>
      </c>
      <c r="W287" t="n">
        <v>11.24</v>
      </c>
      <c r="X287" t="inlineStr">
        <is>
          <t>197613957200</t>
        </is>
      </c>
      <c r="Y287" t="inlineStr">
        <is>
          <t>NNO46</t>
        </is>
      </c>
      <c r="Z287" t="inlineStr">
        <is>
          <t>NNO46</t>
        </is>
      </c>
      <c r="AA287" t="inlineStr">
        <is>
          <t>Off White/Black/Off White</t>
        </is>
      </c>
      <c r="AB287" t="inlineStr">
        <is>
          <t>0197613957200</t>
        </is>
      </c>
      <c r="AC287" t="inlineStr">
        <is>
          <t>Amazon offer is in stock and shippable</t>
        </is>
      </c>
      <c r="AD287" t="inlineStr">
        <is>
          <t>adidas</t>
        </is>
      </c>
      <c r="AE287" t="inlineStr">
        <is>
          <t>7</t>
        </is>
      </c>
      <c r="AF287" t="inlineStr">
        <is>
          <t>https://m.media-amazon.com/images/I/61BjhuHKEOL.jpg;https://m.media-amazon.com/images/I/51dSIp68dlL.jpg;https://m.media-amazon.com/images/I/51gWBRvIoaL.jpg;https://m.media-amazon.com/images/I/511XOlL6rWL.jpg;https://m.media-amazon.com/images/I/51+AkjSlVzL.jpg;https://m.media-amazon.com/images/I/61N0tufy2DL.jpg</t>
        </is>
      </c>
      <c r="AG287" t="inlineStr">
        <is>
          <t>Description
adidas womens VL Court 3.0</t>
        </is>
      </c>
    </row>
    <row r="288">
      <c r="A288" t="inlineStr">
        <is>
          <t>com</t>
        </is>
      </c>
      <c r="B288" t="inlineStr">
        <is>
          <t>B0CTS4MD5R</t>
        </is>
      </c>
      <c r="C288" t="inlineStr">
        <is>
          <t>adidas Women's Vl Court 3.0 Sneaker, Off White/Black/Off White, 7.5</t>
        </is>
      </c>
      <c r="D288" t="n">
        <v>74.95</v>
      </c>
      <c r="E288" t="n">
        <v>74.95</v>
      </c>
      <c r="F288" t="n">
        <v>815</v>
      </c>
      <c r="G288" t="n">
        <v>741</v>
      </c>
      <c r="H288" t="n">
        <v>74.95</v>
      </c>
      <c r="I288" t="n">
        <v>74.95</v>
      </c>
      <c r="J288" t="n">
        <v>0.71</v>
      </c>
      <c r="K288" t="n">
        <v>0.82</v>
      </c>
      <c r="L288" t="n">
        <v>3</v>
      </c>
      <c r="M288" t="n">
        <v>3</v>
      </c>
      <c r="N288" t="n">
        <v>4.5</v>
      </c>
      <c r="O288" t="n">
        <v>1</v>
      </c>
      <c r="P288" t="n">
        <v>1562</v>
      </c>
      <c r="Q288" t="n">
        <v>34</v>
      </c>
      <c r="R288" t="n">
        <v>34</v>
      </c>
      <c r="S288" t="inlineStr">
        <is>
          <t>B0C2K2PHL8</t>
        </is>
      </c>
      <c r="U288" t="n">
        <v>1.6093726</v>
      </c>
      <c r="V288" t="n">
        <v>7.7</v>
      </c>
      <c r="W288" t="n">
        <v>11.24</v>
      </c>
      <c r="X288" t="inlineStr">
        <is>
          <t>197613957187</t>
        </is>
      </c>
      <c r="Y288" t="inlineStr">
        <is>
          <t>NNO46</t>
        </is>
      </c>
      <c r="Z288" t="inlineStr">
        <is>
          <t>NNO46</t>
        </is>
      </c>
      <c r="AA288" t="inlineStr">
        <is>
          <t>Off White/Black/Off White</t>
        </is>
      </c>
      <c r="AB288" t="inlineStr">
        <is>
          <t>0197613957187</t>
        </is>
      </c>
      <c r="AC288" t="inlineStr">
        <is>
          <t>Amazon offer is in stock and shippable</t>
        </is>
      </c>
      <c r="AD288" t="inlineStr">
        <is>
          <t>adidas</t>
        </is>
      </c>
      <c r="AE288" t="inlineStr">
        <is>
          <t>7.5</t>
        </is>
      </c>
      <c r="AF288" t="inlineStr">
        <is>
          <t>https://m.media-amazon.com/images/I/61BjhuHKEOL.jpg;https://m.media-amazon.com/images/I/51dSIp68dlL.jpg;https://m.media-amazon.com/images/I/51gWBRvIoaL.jpg;https://m.media-amazon.com/images/I/511XOlL6rWL.jpg;https://m.media-amazon.com/images/I/51+AkjSlVzL.jpg;https://m.media-amazon.com/images/I/61N0tufy2DL.jpg</t>
        </is>
      </c>
      <c r="AG288" t="inlineStr">
        <is>
          <t>Description
adidas womens VL Court 3.0</t>
        </is>
      </c>
    </row>
    <row r="289">
      <c r="A289" t="inlineStr">
        <is>
          <t>com</t>
        </is>
      </c>
      <c r="B289" t="inlineStr">
        <is>
          <t>B0CTRVCQMC</t>
        </is>
      </c>
      <c r="C289" t="inlineStr">
        <is>
          <t>adidas Women's Vl Court 3.0 Sneaker, Off White/Black/Off White, 8</t>
        </is>
      </c>
      <c r="D289" t="n">
        <v>74.95</v>
      </c>
      <c r="E289" t="n">
        <v>74.95</v>
      </c>
      <c r="F289" t="n">
        <v>815</v>
      </c>
      <c r="G289" t="n">
        <v>743</v>
      </c>
      <c r="H289" t="n">
        <v>74.95</v>
      </c>
      <c r="I289" t="n">
        <v>74.95</v>
      </c>
      <c r="J289" t="n">
        <v>0.67</v>
      </c>
      <c r="K289" t="n">
        <v>0.71</v>
      </c>
      <c r="L289" t="n">
        <v>3</v>
      </c>
      <c r="M289" t="n">
        <v>4</v>
      </c>
      <c r="N289" t="n">
        <v>4.5</v>
      </c>
      <c r="O289" t="n">
        <v>0</v>
      </c>
      <c r="P289" t="n">
        <v>1562</v>
      </c>
      <c r="Q289" t="n">
        <v>33</v>
      </c>
      <c r="R289" t="n">
        <v>33</v>
      </c>
      <c r="S289" t="inlineStr">
        <is>
          <t>B0C2K2PHL8</t>
        </is>
      </c>
      <c r="U289" t="n">
        <v>1.62921418</v>
      </c>
      <c r="V289" t="n">
        <v>7.7</v>
      </c>
      <c r="W289" t="n">
        <v>11.24</v>
      </c>
      <c r="X289" t="inlineStr">
        <is>
          <t>197613957118</t>
        </is>
      </c>
      <c r="Y289" t="inlineStr">
        <is>
          <t>NNO46</t>
        </is>
      </c>
      <c r="Z289" t="inlineStr">
        <is>
          <t>NNO46</t>
        </is>
      </c>
      <c r="AA289" t="inlineStr">
        <is>
          <t>Off White/Black/Off White</t>
        </is>
      </c>
      <c r="AB289" t="inlineStr">
        <is>
          <t>0197613957118</t>
        </is>
      </c>
      <c r="AC289" t="inlineStr">
        <is>
          <t>Amazon offer is in stock and shippable</t>
        </is>
      </c>
      <c r="AD289" t="inlineStr">
        <is>
          <t>adidas</t>
        </is>
      </c>
      <c r="AE289" t="inlineStr">
        <is>
          <t>8</t>
        </is>
      </c>
      <c r="AF289" t="inlineStr">
        <is>
          <t>https://m.media-amazon.com/images/I/61BjhuHKEOL.jpg;https://m.media-amazon.com/images/I/51dSIp68dlL.jpg;https://m.media-amazon.com/images/I/51gWBRvIoaL.jpg;https://m.media-amazon.com/images/I/511XOlL6rWL.jpg;https://m.media-amazon.com/images/I/51+AkjSlVzL.jpg;https://m.media-amazon.com/images/I/61N0tufy2DL.jpg</t>
        </is>
      </c>
      <c r="AG289" t="inlineStr">
        <is>
          <t>Description
adidas womens VL Court 3.0</t>
        </is>
      </c>
    </row>
    <row r="290">
      <c r="A290" t="inlineStr">
        <is>
          <t>com</t>
        </is>
      </c>
      <c r="B290" t="inlineStr">
        <is>
          <t>B0CTSSS29G</t>
        </is>
      </c>
      <c r="C290" t="inlineStr">
        <is>
          <t>adidas Women's Vl Court 3.0 Sneaker, Off White/Black/Off White, 8.5</t>
        </is>
      </c>
      <c r="D290" t="n">
        <v>74.95</v>
      </c>
      <c r="E290" t="n">
        <v>74.95</v>
      </c>
      <c r="F290" t="n">
        <v>815</v>
      </c>
      <c r="G290" t="n">
        <v>729</v>
      </c>
      <c r="H290" t="n">
        <v>74.95</v>
      </c>
      <c r="I290" t="n">
        <v>74.95</v>
      </c>
      <c r="J290" t="n">
        <v>0.67</v>
      </c>
      <c r="K290" t="n">
        <v>0.79</v>
      </c>
      <c r="L290" t="n">
        <v>2</v>
      </c>
      <c r="M290" t="n">
        <v>3</v>
      </c>
      <c r="N290" t="n">
        <v>4.5</v>
      </c>
      <c r="O290" t="n">
        <v>0</v>
      </c>
      <c r="P290" t="n">
        <v>1566</v>
      </c>
      <c r="Q290" t="n">
        <v>42</v>
      </c>
      <c r="R290" t="n">
        <v>42</v>
      </c>
      <c r="S290" t="inlineStr">
        <is>
          <t>B0C2K2PHL8</t>
        </is>
      </c>
      <c r="U290" t="n">
        <v>1.67992044</v>
      </c>
      <c r="V290" t="n">
        <v>7.7</v>
      </c>
      <c r="W290" t="n">
        <v>11.24</v>
      </c>
      <c r="X290" t="inlineStr">
        <is>
          <t>197613957125</t>
        </is>
      </c>
      <c r="Y290" t="inlineStr">
        <is>
          <t>NNO46</t>
        </is>
      </c>
      <c r="Z290" t="inlineStr">
        <is>
          <t>NNO46</t>
        </is>
      </c>
      <c r="AA290" t="inlineStr">
        <is>
          <t>Off White/Black/Off White</t>
        </is>
      </c>
      <c r="AB290" t="inlineStr">
        <is>
          <t>0197613957125</t>
        </is>
      </c>
      <c r="AC290" t="inlineStr">
        <is>
          <t>Amazon offer is in stock and shippable</t>
        </is>
      </c>
      <c r="AD290" t="inlineStr">
        <is>
          <t>adidas</t>
        </is>
      </c>
      <c r="AE290" t="inlineStr">
        <is>
          <t>8.5</t>
        </is>
      </c>
      <c r="AF290" t="inlineStr">
        <is>
          <t>https://m.media-amazon.com/images/I/61BjhuHKEOL.jpg;https://m.media-amazon.com/images/I/51dSIp68dlL.jpg;https://m.media-amazon.com/images/I/51gWBRvIoaL.jpg;https://m.media-amazon.com/images/I/511XOlL6rWL.jpg;https://m.media-amazon.com/images/I/51+AkjSlVzL.jpg;https://m.media-amazon.com/images/I/61N0tufy2DL.jpg</t>
        </is>
      </c>
      <c r="AG290" t="inlineStr">
        <is>
          <t>Description
adidas womens VL Court 3.0</t>
        </is>
      </c>
    </row>
    <row r="291">
      <c r="A291" t="inlineStr">
        <is>
          <t>com</t>
        </is>
      </c>
      <c r="B291" t="inlineStr">
        <is>
          <t>B0CTS47TW3</t>
        </is>
      </c>
      <c r="C291" t="inlineStr">
        <is>
          <t>adidas Women's Vl Court 3.0 Sneaker, Off White/Black/Off White, 9</t>
        </is>
      </c>
      <c r="D291" t="n">
        <v>74.95</v>
      </c>
      <c r="E291" t="n">
        <v>74.95</v>
      </c>
      <c r="F291" t="n">
        <v>815</v>
      </c>
      <c r="G291" t="n">
        <v>747</v>
      </c>
      <c r="H291" t="n">
        <v>74.95</v>
      </c>
      <c r="I291" t="n">
        <v>74.95</v>
      </c>
      <c r="J291" t="n">
        <v>0.74</v>
      </c>
      <c r="K291" t="n">
        <v>0.74</v>
      </c>
      <c r="L291" t="n">
        <v>3</v>
      </c>
      <c r="M291" t="n">
        <v>4</v>
      </c>
      <c r="N291" t="n">
        <v>4.5</v>
      </c>
      <c r="O291" t="n">
        <v>0</v>
      </c>
      <c r="P291" t="n">
        <v>1570</v>
      </c>
      <c r="Q291" t="n">
        <v>40</v>
      </c>
      <c r="R291" t="n">
        <v>40</v>
      </c>
      <c r="S291" t="inlineStr">
        <is>
          <t>B0C2K2PHL8</t>
        </is>
      </c>
      <c r="U291" t="n">
        <v>0.83996022</v>
      </c>
      <c r="V291" t="n">
        <v>7.7</v>
      </c>
      <c r="W291" t="n">
        <v>11.24</v>
      </c>
      <c r="X291" t="inlineStr">
        <is>
          <t>197613957194</t>
        </is>
      </c>
      <c r="Y291" t="inlineStr">
        <is>
          <t>NNO46</t>
        </is>
      </c>
      <c r="Z291" t="inlineStr">
        <is>
          <t>NNO46</t>
        </is>
      </c>
      <c r="AA291" t="inlineStr">
        <is>
          <t>Off White/Black/Off White</t>
        </is>
      </c>
      <c r="AB291" t="inlineStr">
        <is>
          <t>0197613957194</t>
        </is>
      </c>
      <c r="AC291" t="inlineStr">
        <is>
          <t>Amazon offer is in stock and shippable</t>
        </is>
      </c>
      <c r="AD291" t="inlineStr">
        <is>
          <t>adidas</t>
        </is>
      </c>
      <c r="AE291" t="inlineStr">
        <is>
          <t>9</t>
        </is>
      </c>
      <c r="AF291" t="inlineStr">
        <is>
          <t>https://m.media-amazon.com/images/I/61BjhuHKEOL.jpg;https://m.media-amazon.com/images/I/51dSIp68dlL.jpg;https://m.media-amazon.com/images/I/51gWBRvIoaL.jpg;https://m.media-amazon.com/images/I/511XOlL6rWL.jpg;https://m.media-amazon.com/images/I/51+AkjSlVzL.jpg;https://m.media-amazon.com/images/I/61N0tufy2DL.jpg</t>
        </is>
      </c>
      <c r="AG291" t="inlineStr">
        <is>
          <t>Description
adidas womens VL Court 3.0</t>
        </is>
      </c>
    </row>
    <row r="292">
      <c r="A292" t="inlineStr">
        <is>
          <t>com</t>
        </is>
      </c>
      <c r="B292" t="inlineStr">
        <is>
          <t>B0CTRVCQM6</t>
        </is>
      </c>
      <c r="C292" t="inlineStr">
        <is>
          <t>adidas Women's Vl Court 3.0 Sneaker, Off White/Black/Off White, 9.5</t>
        </is>
      </c>
      <c r="D292" t="n">
        <v>74.95</v>
      </c>
      <c r="E292" t="n">
        <v>74.95</v>
      </c>
      <c r="F292" t="n">
        <v>815</v>
      </c>
      <c r="G292" t="n">
        <v>738</v>
      </c>
      <c r="H292" t="n">
        <v>74.95</v>
      </c>
      <c r="I292" t="n">
        <v>74.95</v>
      </c>
      <c r="J292" t="n">
        <v>0.67</v>
      </c>
      <c r="K292" t="n">
        <v>0.8</v>
      </c>
      <c r="L292" t="n">
        <v>3</v>
      </c>
      <c r="M292" t="n">
        <v>4</v>
      </c>
      <c r="N292" t="n">
        <v>4.5</v>
      </c>
      <c r="O292" t="n">
        <v>0</v>
      </c>
      <c r="P292" t="n">
        <v>1562</v>
      </c>
      <c r="Q292" t="n">
        <v>40</v>
      </c>
      <c r="R292" t="n">
        <v>40</v>
      </c>
      <c r="S292" t="inlineStr">
        <is>
          <t>B0C2K2PHL8</t>
        </is>
      </c>
      <c r="U292" t="n">
        <v>1.80999302</v>
      </c>
      <c r="V292" t="n">
        <v>7.7</v>
      </c>
      <c r="W292" t="n">
        <v>11.24</v>
      </c>
      <c r="X292" t="inlineStr">
        <is>
          <t>197613957217</t>
        </is>
      </c>
      <c r="Y292" t="inlineStr">
        <is>
          <t>NNO46</t>
        </is>
      </c>
      <c r="Z292" t="inlineStr">
        <is>
          <t>NNO46</t>
        </is>
      </c>
      <c r="AA292" t="inlineStr">
        <is>
          <t>Off White/Black/Off White</t>
        </is>
      </c>
      <c r="AB292" t="inlineStr">
        <is>
          <t>0197613957217</t>
        </is>
      </c>
      <c r="AC292" t="inlineStr">
        <is>
          <t>Amazon offer is in stock and shippable</t>
        </is>
      </c>
      <c r="AD292" t="inlineStr">
        <is>
          <t>adidas</t>
        </is>
      </c>
      <c r="AE292" t="inlineStr">
        <is>
          <t>9.5</t>
        </is>
      </c>
      <c r="AF292" t="inlineStr">
        <is>
          <t>https://m.media-amazon.com/images/I/61BjhuHKEOL.jpg;https://m.media-amazon.com/images/I/51dSIp68dlL.jpg;https://m.media-amazon.com/images/I/51gWBRvIoaL.jpg;https://m.media-amazon.com/images/I/511XOlL6rWL.jpg;https://m.media-amazon.com/images/I/51+AkjSlVzL.jpg;https://m.media-amazon.com/images/I/61N0tufy2DL.jpg</t>
        </is>
      </c>
      <c r="AG292" t="inlineStr">
        <is>
          <t>Description
adidas womens VL Court 3.0</t>
        </is>
      </c>
    </row>
    <row r="293">
      <c r="A293" t="inlineStr">
        <is>
          <t>com</t>
        </is>
      </c>
      <c r="B293" t="inlineStr">
        <is>
          <t>B0CTSFJSGR</t>
        </is>
      </c>
      <c r="C293" t="inlineStr">
        <is>
          <t>adidas Women's Vl Court 3.0 Sneaker, Off White/Black/Off White, 10</t>
        </is>
      </c>
      <c r="D293" t="n">
        <v>74.95</v>
      </c>
      <c r="E293" t="n">
        <v>74.95</v>
      </c>
      <c r="F293" t="n">
        <v>815</v>
      </c>
      <c r="G293" t="n">
        <v>741</v>
      </c>
      <c r="H293" t="n">
        <v>74.95</v>
      </c>
      <c r="I293" t="n">
        <v>74.95</v>
      </c>
      <c r="J293" t="n">
        <v>0.67</v>
      </c>
      <c r="K293" t="n">
        <v>0.67</v>
      </c>
      <c r="L293" t="n">
        <v>3</v>
      </c>
      <c r="M293" t="n">
        <v>4</v>
      </c>
      <c r="N293" t="n">
        <v>4.5</v>
      </c>
      <c r="O293" t="n">
        <v>0</v>
      </c>
      <c r="P293" t="n">
        <v>1562</v>
      </c>
      <c r="Q293" t="n">
        <v>35</v>
      </c>
      <c r="R293" t="n">
        <v>35</v>
      </c>
      <c r="S293" t="inlineStr">
        <is>
          <t>B0C2K2PHL8</t>
        </is>
      </c>
      <c r="U293" t="n">
        <v>1.8298346</v>
      </c>
      <c r="V293" t="n">
        <v>7.7</v>
      </c>
      <c r="W293" t="n">
        <v>11.24</v>
      </c>
      <c r="X293" t="inlineStr">
        <is>
          <t>197613957170</t>
        </is>
      </c>
      <c r="Y293" t="inlineStr">
        <is>
          <t>NNO46</t>
        </is>
      </c>
      <c r="Z293" t="inlineStr">
        <is>
          <t>NNO46</t>
        </is>
      </c>
      <c r="AA293" t="inlineStr">
        <is>
          <t>Off White/Black/Off White</t>
        </is>
      </c>
      <c r="AB293" t="inlineStr">
        <is>
          <t>0197613957170</t>
        </is>
      </c>
      <c r="AC293" t="inlineStr">
        <is>
          <t>Amazon offer is in stock and shippable</t>
        </is>
      </c>
      <c r="AD293" t="inlineStr">
        <is>
          <t>adidas</t>
        </is>
      </c>
      <c r="AE293" t="inlineStr">
        <is>
          <t>10</t>
        </is>
      </c>
      <c r="AF293" t="inlineStr">
        <is>
          <t>https://m.media-amazon.com/images/I/61BjhuHKEOL.jpg;https://m.media-amazon.com/images/I/51dSIp68dlL.jpg;https://m.media-amazon.com/images/I/51gWBRvIoaL.jpg;https://m.media-amazon.com/images/I/511XOlL6rWL.jpg;https://m.media-amazon.com/images/I/51+AkjSlVzL.jpg;https://m.media-amazon.com/images/I/61N0tufy2DL.jpg</t>
        </is>
      </c>
      <c r="AG293" t="inlineStr">
        <is>
          <t>Description
adidas womens VL Court 3.0</t>
        </is>
      </c>
    </row>
    <row r="294">
      <c r="A294" t="inlineStr">
        <is>
          <t>com</t>
        </is>
      </c>
      <c r="B294" t="inlineStr">
        <is>
          <t>B0CTS1SCJ7</t>
        </is>
      </c>
      <c r="C294" t="inlineStr">
        <is>
          <t>adidas Women's Vl Court 3.0 Sneaker, Off White/Black/Off White, 11</t>
        </is>
      </c>
      <c r="D294" t="n">
        <v>74.95</v>
      </c>
      <c r="E294" t="n">
        <v>74.95</v>
      </c>
      <c r="F294" t="n">
        <v>815</v>
      </c>
      <c r="G294" t="n">
        <v>739</v>
      </c>
      <c r="H294" t="n">
        <v>74.95</v>
      </c>
      <c r="I294" t="n">
        <v>74.95</v>
      </c>
      <c r="J294" t="n">
        <v>0.71</v>
      </c>
      <c r="K294" t="n">
        <v>0.75</v>
      </c>
      <c r="L294" t="n">
        <v>2</v>
      </c>
      <c r="M294" t="n">
        <v>3</v>
      </c>
      <c r="N294" t="n">
        <v>4.5</v>
      </c>
      <c r="O294" t="n">
        <v>0</v>
      </c>
      <c r="P294" t="n">
        <v>1562</v>
      </c>
      <c r="Q294" t="n">
        <v>33</v>
      </c>
      <c r="R294" t="n">
        <v>33</v>
      </c>
      <c r="S294" t="inlineStr">
        <is>
          <t>B0C2K2PHL8</t>
        </is>
      </c>
      <c r="U294" t="n">
        <v>1.8849501</v>
      </c>
      <c r="V294" t="n">
        <v>7.86</v>
      </c>
      <c r="W294" t="n">
        <v>11.24</v>
      </c>
      <c r="X294" t="inlineStr">
        <is>
          <t>197613957095</t>
        </is>
      </c>
      <c r="Y294" t="inlineStr">
        <is>
          <t>NNO46</t>
        </is>
      </c>
      <c r="Z294" t="inlineStr">
        <is>
          <t>NNO46</t>
        </is>
      </c>
      <c r="AA294" t="inlineStr">
        <is>
          <t>Off White/Black/Off White</t>
        </is>
      </c>
      <c r="AB294" t="inlineStr">
        <is>
          <t>0197613957095</t>
        </is>
      </c>
      <c r="AC294" t="inlineStr">
        <is>
          <t>Amazon offer is in stock and shippable</t>
        </is>
      </c>
      <c r="AD294" t="inlineStr">
        <is>
          <t>adidas</t>
        </is>
      </c>
      <c r="AE294" t="inlineStr">
        <is>
          <t>11</t>
        </is>
      </c>
      <c r="AF294" t="inlineStr">
        <is>
          <t>https://m.media-amazon.com/images/I/61BjhuHKEOL.jpg;https://m.media-amazon.com/images/I/51dSIp68dlL.jpg;https://m.media-amazon.com/images/I/51gWBRvIoaL.jpg;https://m.media-amazon.com/images/I/511XOlL6rWL.jpg;https://m.media-amazon.com/images/I/51+AkjSlVzL.jpg;https://m.media-amazon.com/images/I/61N0tufy2DL.jpg</t>
        </is>
      </c>
      <c r="AG294" t="inlineStr">
        <is>
          <t>Description
adidas womens VL Court 3.0</t>
        </is>
      </c>
    </row>
    <row r="295">
      <c r="A295" t="inlineStr">
        <is>
          <t>com</t>
        </is>
      </c>
      <c r="B295" t="inlineStr">
        <is>
          <t>B0BXTGR18R</t>
        </is>
      </c>
      <c r="C295" t="inlineStr">
        <is>
          <t>PUMA Women's CARINA STREET Sneaker, PUMA White-Rose Dust-Feather Gray, 5.5</t>
        </is>
      </c>
      <c r="D295" t="inlineStr"/>
      <c r="E295" t="inlineStr"/>
      <c r="H295" t="inlineStr"/>
      <c r="I295" t="inlineStr"/>
      <c r="J295" t="n">
        <v>1</v>
      </c>
      <c r="K295" t="n">
        <v>1</v>
      </c>
      <c r="O295" t="n">
        <v>0</v>
      </c>
      <c r="Q295" t="n">
        <v>0</v>
      </c>
      <c r="R295" t="n">
        <v>0</v>
      </c>
      <c r="S295" t="inlineStr"/>
      <c r="U295" t="n">
        <v>1.6644881</v>
      </c>
      <c r="V295" t="n">
        <v>6.89</v>
      </c>
      <c r="W295" t="inlineStr"/>
      <c r="X295" t="inlineStr">
        <is>
          <t>195552638518</t>
        </is>
      </c>
      <c r="Y295" t="inlineStr">
        <is>
          <t>38939005</t>
        </is>
      </c>
      <c r="Z295" t="inlineStr">
        <is>
          <t>38939005</t>
        </is>
      </c>
      <c r="AA295" t="inlineStr"/>
      <c r="AB295" t="inlineStr">
        <is>
          <t>0195552638518</t>
        </is>
      </c>
      <c r="AC295" t="inlineStr">
        <is>
          <t>no Amazon offer exists</t>
        </is>
      </c>
      <c r="AD295" t="inlineStr">
        <is>
          <t>PUMA</t>
        </is>
      </c>
      <c r="AE295" t="inlineStr"/>
      <c r="AF295" t="inlineStr">
        <is>
          <t>https://m.media-amazon.com/images/I/419u-lttDHL.jpg</t>
        </is>
      </c>
      <c r="AG295" t="inlineStr">
        <is>
          <t>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96">
      <c r="A296" t="inlineStr">
        <is>
          <t>com</t>
        </is>
      </c>
      <c r="B296" t="inlineStr">
        <is>
          <t>B0BXTF7WP8</t>
        </is>
      </c>
      <c r="C296" t="inlineStr">
        <is>
          <t>PUMA Women's CARINA STREET Sneaker, PUMA White-Rose Dust-Feather Gray, 6</t>
        </is>
      </c>
      <c r="D296" t="n">
        <v>52.3</v>
      </c>
      <c r="E296" t="inlineStr"/>
      <c r="F296" t="n">
        <v>251465</v>
      </c>
      <c r="G296" t="n">
        <v>558836</v>
      </c>
      <c r="H296" t="n">
        <v>52.3</v>
      </c>
      <c r="I296" t="n">
        <v>57.68</v>
      </c>
      <c r="J296" t="n">
        <v>0.03</v>
      </c>
      <c r="K296" t="n">
        <v>1</v>
      </c>
      <c r="L296" t="n">
        <v>1</v>
      </c>
      <c r="M296" t="n">
        <v>1</v>
      </c>
      <c r="N296" t="n">
        <v>4.4</v>
      </c>
      <c r="O296" t="n">
        <v>1</v>
      </c>
      <c r="P296" t="n">
        <v>15030</v>
      </c>
      <c r="Q296" t="n">
        <v>21</v>
      </c>
      <c r="R296" t="n">
        <v>60</v>
      </c>
      <c r="S296" t="inlineStr">
        <is>
          <t>B07HJR823P</t>
        </is>
      </c>
      <c r="U296" t="n">
        <v>1.59394026</v>
      </c>
      <c r="V296" t="n">
        <v>7.03</v>
      </c>
      <c r="W296" t="inlineStr"/>
      <c r="X296" t="inlineStr">
        <is>
          <t>195552638556</t>
        </is>
      </c>
      <c r="Y296" t="inlineStr">
        <is>
          <t>38939005</t>
        </is>
      </c>
      <c r="Z296" t="inlineStr">
        <is>
          <t>38939005</t>
        </is>
      </c>
      <c r="AA296" t="inlineStr">
        <is>
          <t>Puma White-rose Dust-feather Gray</t>
        </is>
      </c>
      <c r="AB296" t="inlineStr">
        <is>
          <t>0195552638556</t>
        </is>
      </c>
      <c r="AC296" t="inlineStr">
        <is>
          <t>no Amazon offer exists</t>
        </is>
      </c>
      <c r="AD296" t="inlineStr">
        <is>
          <t>PUMA</t>
        </is>
      </c>
      <c r="AE296" t="inlineStr">
        <is>
          <t>6</t>
        </is>
      </c>
      <c r="AF296" t="inlineStr">
        <is>
          <t>https://m.media-amazon.com/images/I/41CtTETysPL.jpg;https://m.media-amazon.com/images/I/41zugRaoewL.jpg;https://m.media-amazon.com/images/I/41p02IlqWUL.jpg;https://m.media-amazon.com/images/I/318Wq1N-SdL.jpg;https://m.media-amazon.com/images/I/31IqUe2IoOL.jpg;https://m.media-amazon.com/images/I/31SNsQuMYTL.jpg;https://m.media-amazon.com/images/I/419u-lttDHL.jpg;https://m.media-amazon.com/images/I/41cxT6iw8JL.jpg;https://m.media-amazon.com/images/I/31vZ1uCJHnL.jpg</t>
        </is>
      </c>
      <c r="AG296"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97">
      <c r="A297" t="inlineStr">
        <is>
          <t>com</t>
        </is>
      </c>
      <c r="B297" t="inlineStr">
        <is>
          <t>B0BXTTNJGG</t>
        </is>
      </c>
      <c r="C297" t="inlineStr">
        <is>
          <t>PUMA Women's CARINA STREET Sneaker, PUMA White-Rose Dust-Feather Gray, 6.5</t>
        </is>
      </c>
      <c r="D297" t="n">
        <v>49</v>
      </c>
      <c r="E297" t="n">
        <v>49</v>
      </c>
      <c r="F297" t="n">
        <v>2430653</v>
      </c>
      <c r="G297" t="n">
        <v>2097678</v>
      </c>
      <c r="H297" t="n">
        <v>55.8</v>
      </c>
      <c r="I297" t="n">
        <v>59.93</v>
      </c>
      <c r="J297" t="n">
        <v>0</v>
      </c>
      <c r="K297" t="n">
        <v>1</v>
      </c>
      <c r="L297" t="n">
        <v>4</v>
      </c>
      <c r="M297" t="n">
        <v>4</v>
      </c>
      <c r="N297" t="n">
        <v>4.7</v>
      </c>
      <c r="O297" t="n">
        <v>2</v>
      </c>
      <c r="P297" t="n">
        <v>4</v>
      </c>
      <c r="Q297" t="n">
        <v>2</v>
      </c>
      <c r="R297" t="n">
        <v>5</v>
      </c>
      <c r="S297" t="inlineStr"/>
      <c r="U297" t="n">
        <v>1.67992044</v>
      </c>
      <c r="V297" t="n">
        <v>7.03</v>
      </c>
      <c r="W297" t="n">
        <v>7.35</v>
      </c>
      <c r="X297" t="inlineStr">
        <is>
          <t>195552638594</t>
        </is>
      </c>
      <c r="Y297" t="inlineStr">
        <is>
          <t>38939005</t>
        </is>
      </c>
      <c r="Z297" t="inlineStr">
        <is>
          <t>38939005</t>
        </is>
      </c>
      <c r="AA297" t="inlineStr">
        <is>
          <t>White</t>
        </is>
      </c>
      <c r="AB297" t="inlineStr">
        <is>
          <t>0195552638594</t>
        </is>
      </c>
      <c r="AC297" t="inlineStr">
        <is>
          <t>no Amazon offer exists</t>
        </is>
      </c>
      <c r="AD297" t="inlineStr">
        <is>
          <t>Puma</t>
        </is>
      </c>
      <c r="AE297" t="inlineStr">
        <is>
          <t>6.5</t>
        </is>
      </c>
      <c r="AF297" t="inlineStr">
        <is>
          <t>https://m.media-amazon.com/images/I/612Wgd79-6L.jpg;https://m.media-amazon.com/images/I/41zugRaoewL.jpg;https://m.media-amazon.com/images/I/41p02IlqWUL.jpg;https://m.media-amazon.com/images/I/318Wq1N-SdL.jpg;https://m.media-amazon.com/images/I/31IqUe2IoOL.jpg;https://m.media-amazon.com/images/I/31SNsQuMYTL.jpg;https://m.media-amazon.com/images/I/419u-lttDHL.jpg;https://m.media-amazon.com/images/I/41cxT6iw8JL.jpg;https://m.media-amazon.com/images/I/31vZ1uCJHnL.jpg</t>
        </is>
      </c>
      <c r="AG297" t="inlineStr">
        <is>
          <t>Description
The Carina Street white/ rose/ grey sneaker from Puma features a streetwear-inspired design and a slightly elevated platform, making them your perfect choice for casual, everyday outfits. Upper of this shoe is made with at least 20% recycled materials as a step toward a better future. SOFTFOAM+: Step-in comfort sockliner designed to provide soft cushioning thanks to its extra thick heel.</t>
        </is>
      </c>
    </row>
    <row r="298">
      <c r="A298" t="inlineStr">
        <is>
          <t>com</t>
        </is>
      </c>
      <c r="B298" t="inlineStr">
        <is>
          <t>B0BXTMXD45</t>
        </is>
      </c>
      <c r="C298" t="inlineStr">
        <is>
          <t>PUMA Women's CARINA STREET Sneaker, PUMA White-Rose Dust-Feather Gray, 7</t>
        </is>
      </c>
      <c r="D298" t="n">
        <v>49</v>
      </c>
      <c r="E298" t="n">
        <v>49</v>
      </c>
      <c r="F298" t="n">
        <v>251465</v>
      </c>
      <c r="G298" t="n">
        <v>414356</v>
      </c>
      <c r="H298" t="n">
        <v>60.89</v>
      </c>
      <c r="I298" t="n">
        <v>65.3</v>
      </c>
      <c r="J298" t="n">
        <v>0.28</v>
      </c>
      <c r="K298" t="n">
        <v>0.83</v>
      </c>
      <c r="L298" t="n">
        <v>2</v>
      </c>
      <c r="M298" t="n">
        <v>2</v>
      </c>
      <c r="N298" t="n">
        <v>4.4</v>
      </c>
      <c r="O298" t="n">
        <v>7</v>
      </c>
      <c r="P298" t="n">
        <v>15030</v>
      </c>
      <c r="Q298" t="n">
        <v>38</v>
      </c>
      <c r="R298" t="n">
        <v>68</v>
      </c>
      <c r="S298" t="inlineStr">
        <is>
          <t>B07HJR823P</t>
        </is>
      </c>
      <c r="U298" t="n">
        <v>1.7196036</v>
      </c>
      <c r="V298" t="n">
        <v>7.62</v>
      </c>
      <c r="W298" t="inlineStr"/>
      <c r="X298" t="inlineStr">
        <is>
          <t>195552638525</t>
        </is>
      </c>
      <c r="Y298" t="inlineStr">
        <is>
          <t>38939005</t>
        </is>
      </c>
      <c r="Z298" t="inlineStr">
        <is>
          <t>38939005</t>
        </is>
      </c>
      <c r="AA298" t="inlineStr">
        <is>
          <t>Puma White-rose Dust-feather Gray</t>
        </is>
      </c>
      <c r="AB298" t="inlineStr">
        <is>
          <t>0195552638525</t>
        </is>
      </c>
      <c r="AC298" t="inlineStr">
        <is>
          <t>no Amazon offer exists</t>
        </is>
      </c>
      <c r="AD298" t="inlineStr">
        <is>
          <t>PUMA</t>
        </is>
      </c>
      <c r="AE298" t="inlineStr">
        <is>
          <t>7</t>
        </is>
      </c>
      <c r="AF298" t="inlineStr">
        <is>
          <t>https://m.media-amazon.com/images/I/612Wgd79-6L.jpg;https://m.media-amazon.com/images/I/41zugRaoewL.jpg;https://m.media-amazon.com/images/I/41p02IlqWUL.jpg;https://m.media-amazon.com/images/I/318Wq1N-SdL.jpg;https://m.media-amazon.com/images/I/31IqUe2IoOL.jpg;https://m.media-amazon.com/images/I/31SNsQuMYTL.jpg;https://m.media-amazon.com/images/I/419u-lttDHL.jpg;https://m.media-amazon.com/images/I/41cxT6iw8JL.jpg;https://m.media-amazon.com/images/I/31vZ1uCJHnL.jpg</t>
        </is>
      </c>
      <c r="AG298"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299">
      <c r="A299" t="inlineStr">
        <is>
          <t>com</t>
        </is>
      </c>
      <c r="B299" t="inlineStr">
        <is>
          <t>B0BXTPHB1H</t>
        </is>
      </c>
      <c r="C299" t="inlineStr">
        <is>
          <t>PUMA Womens Carina Street Sneaker, PUMA Womens White-Rose Dust-Feather Gray, 7.5</t>
        </is>
      </c>
      <c r="D299" t="n">
        <v>49</v>
      </c>
      <c r="E299" t="n">
        <v>49</v>
      </c>
      <c r="F299" t="n">
        <v>45846</v>
      </c>
      <c r="G299" t="n">
        <v>345651</v>
      </c>
      <c r="H299" t="n">
        <v>61.08</v>
      </c>
      <c r="I299" t="n">
        <v>64.84</v>
      </c>
      <c r="J299" t="n">
        <v>0</v>
      </c>
      <c r="K299" t="n">
        <v>0.97</v>
      </c>
      <c r="L299" t="n">
        <v>3</v>
      </c>
      <c r="M299" t="n">
        <v>2</v>
      </c>
      <c r="N299" t="n">
        <v>4.4</v>
      </c>
      <c r="O299" t="n">
        <v>4</v>
      </c>
      <c r="P299" t="n">
        <v>327</v>
      </c>
      <c r="Q299" t="n">
        <v>21</v>
      </c>
      <c r="R299" t="n">
        <v>65</v>
      </c>
      <c r="S299" t="inlineStr">
        <is>
          <t>B0DH8F8493</t>
        </is>
      </c>
      <c r="U299" t="n">
        <v>1.80117454</v>
      </c>
      <c r="V299" t="n">
        <v>7.62</v>
      </c>
      <c r="W299" t="inlineStr"/>
      <c r="X299" t="inlineStr">
        <is>
          <t>195552638600</t>
        </is>
      </c>
      <c r="Y299" t="inlineStr">
        <is>
          <t>38939005</t>
        </is>
      </c>
      <c r="Z299" t="inlineStr">
        <is>
          <t>38939005</t>
        </is>
      </c>
      <c r="AA299" t="inlineStr">
        <is>
          <t>Puma White-rose Dust-feather Gray</t>
        </is>
      </c>
      <c r="AB299" t="inlineStr">
        <is>
          <t>0195552638600</t>
        </is>
      </c>
      <c r="AC299" t="inlineStr">
        <is>
          <t>no Amazon offer exists</t>
        </is>
      </c>
      <c r="AD299" t="inlineStr">
        <is>
          <t>PUMA</t>
        </is>
      </c>
      <c r="AE299" t="inlineStr">
        <is>
          <t>7.5</t>
        </is>
      </c>
      <c r="AF299" t="inlineStr">
        <is>
          <t>https://m.media-amazon.com/images/I/61-2Q-miQ-L.jpg;https://m.media-amazon.com/images/I/41t+Yt2CBVL.jpg;https://m.media-amazon.com/images/I/31V8xL3aa8L.jpg;https://m.media-amazon.com/images/I/41wsL2Eqm7L.jpg;https://m.media-amazon.com/images/I/31pA4qM886L.jpg;https://m.media-amazon.com/images/I/419u-lttDHL.jpg;https://m.media-amazon.com/images/I/41KnYTvB7RL.jpg;https://m.media-amazon.com/images/I/31vZ1uCJHnL.jpg</t>
        </is>
      </c>
      <c r="AG299" t="inlineStr">
        <is>
          <t>Description
PUMA Womens Carina Street Sneaker</t>
        </is>
      </c>
    </row>
    <row r="300">
      <c r="A300" t="inlineStr">
        <is>
          <t>com</t>
        </is>
      </c>
      <c r="B300" t="inlineStr">
        <is>
          <t>B0BXTKWGRZ</t>
        </is>
      </c>
      <c r="C300" t="inlineStr">
        <is>
          <t>PUMA Women's CARINA STREET Sneaker, PUMA White-Rose Dust-Feather Gray, 8</t>
        </is>
      </c>
      <c r="D300" t="n">
        <v>49</v>
      </c>
      <c r="E300" t="n">
        <v>49</v>
      </c>
      <c r="F300" t="n">
        <v>268817</v>
      </c>
      <c r="G300" t="n">
        <v>403357</v>
      </c>
      <c r="H300" t="n">
        <v>51.25</v>
      </c>
      <c r="I300" t="n">
        <v>59.35</v>
      </c>
      <c r="J300" t="n">
        <v>0</v>
      </c>
      <c r="K300" t="n">
        <v>0.87</v>
      </c>
      <c r="L300" t="n">
        <v>2</v>
      </c>
      <c r="M300" t="n">
        <v>2</v>
      </c>
      <c r="N300" t="n">
        <v>4.4</v>
      </c>
      <c r="O300" t="n">
        <v>6</v>
      </c>
      <c r="P300" t="n">
        <v>15032</v>
      </c>
      <c r="Q300" t="n">
        <v>30</v>
      </c>
      <c r="R300" t="n">
        <v>80</v>
      </c>
      <c r="S300" t="inlineStr">
        <is>
          <t>B07HJR823P</t>
        </is>
      </c>
      <c r="U300" t="n">
        <v>1.83865308</v>
      </c>
      <c r="V300" t="n">
        <v>7.7</v>
      </c>
      <c r="W300" t="n">
        <v>7.35</v>
      </c>
      <c r="X300" t="inlineStr">
        <is>
          <t>195552638587</t>
        </is>
      </c>
      <c r="Y300" t="inlineStr">
        <is>
          <t>38939005</t>
        </is>
      </c>
      <c r="Z300" t="inlineStr">
        <is>
          <t>38939005</t>
        </is>
      </c>
      <c r="AA300" t="inlineStr">
        <is>
          <t>Puma White-rose Dust-feather Gray</t>
        </is>
      </c>
      <c r="AB300" t="inlineStr">
        <is>
          <t>0195552638587</t>
        </is>
      </c>
      <c r="AC300" t="inlineStr">
        <is>
          <t>no Amazon offer exists</t>
        </is>
      </c>
      <c r="AD300" t="inlineStr">
        <is>
          <t>PUMA</t>
        </is>
      </c>
      <c r="AE300" t="inlineStr">
        <is>
          <t>8</t>
        </is>
      </c>
      <c r="AF300" t="inlineStr">
        <is>
          <t>https://m.media-amazon.com/images/I/612Wgd79-6L.jpg;https://m.media-amazon.com/images/I/41zugRaoewL.jpg;https://m.media-amazon.com/images/I/41p02IlqWUL.jpg;https://m.media-amazon.com/images/I/318Wq1N-SdL.jpg;https://m.media-amazon.com/images/I/31IqUe2IoOL.jpg;https://m.media-amazon.com/images/I/31SNsQuMYTL.jpg;https://m.media-amazon.com/images/I/419u-lttDHL.jpg;https://m.media-amazon.com/images/I/41cxT6iw8JL.jpg;https://m.media-amazon.com/images/I/31vZ1uCJHnL.jpg</t>
        </is>
      </c>
      <c r="AG300"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301">
      <c r="A301" t="inlineStr">
        <is>
          <t>com</t>
        </is>
      </c>
      <c r="B301" t="inlineStr">
        <is>
          <t>B0BXTR6L6K</t>
        </is>
      </c>
      <c r="C301" t="inlineStr">
        <is>
          <t>PUMA Women's CARINA STREET Sneaker, PUMA White-Rose Dust-Feather Gray, 8.5</t>
        </is>
      </c>
      <c r="D301" t="n">
        <v>55.3</v>
      </c>
      <c r="E301" t="n">
        <v>55.3</v>
      </c>
      <c r="F301" t="n">
        <v>251465</v>
      </c>
      <c r="G301" t="n">
        <v>221070</v>
      </c>
      <c r="H301" t="n">
        <v>56.08</v>
      </c>
      <c r="I301" t="n">
        <v>60.89</v>
      </c>
      <c r="J301" t="n">
        <v>0</v>
      </c>
      <c r="K301" t="n">
        <v>1</v>
      </c>
      <c r="L301" t="n">
        <v>3</v>
      </c>
      <c r="M301" t="n">
        <v>2</v>
      </c>
      <c r="N301" t="n">
        <v>4.4</v>
      </c>
      <c r="O301" t="n">
        <v>3</v>
      </c>
      <c r="P301" t="n">
        <v>15030</v>
      </c>
      <c r="Q301" t="n">
        <v>29</v>
      </c>
      <c r="R301" t="n">
        <v>96</v>
      </c>
      <c r="S301" t="inlineStr">
        <is>
          <t>B07HJR823P</t>
        </is>
      </c>
      <c r="U301" t="n">
        <v>1.86951776</v>
      </c>
      <c r="V301" t="n">
        <v>7.7</v>
      </c>
      <c r="W301" t="inlineStr"/>
      <c r="X301" t="inlineStr">
        <is>
          <t>195552638563</t>
        </is>
      </c>
      <c r="Y301" t="inlineStr">
        <is>
          <t>38939005</t>
        </is>
      </c>
      <c r="Z301" t="inlineStr">
        <is>
          <t>38939005</t>
        </is>
      </c>
      <c r="AA301" t="inlineStr">
        <is>
          <t>Puma White-rose Dust-feather Gray</t>
        </is>
      </c>
      <c r="AB301" t="inlineStr">
        <is>
          <t>0195552638563</t>
        </is>
      </c>
      <c r="AC301" t="inlineStr">
        <is>
          <t>no Amazon offer exists</t>
        </is>
      </c>
      <c r="AD301" t="inlineStr">
        <is>
          <t>PUMA</t>
        </is>
      </c>
      <c r="AE301" t="inlineStr">
        <is>
          <t>8.5</t>
        </is>
      </c>
      <c r="AF301" t="inlineStr">
        <is>
          <t>https://m.media-amazon.com/images/I/612Wgd79-6L.jpg;https://m.media-amazon.com/images/I/41zugRaoewL.jpg;https://m.media-amazon.com/images/I/41p02IlqWUL.jpg;https://m.media-amazon.com/images/I/318Wq1N-SdL.jpg;https://m.media-amazon.com/images/I/31IqUe2IoOL.jpg;https://m.media-amazon.com/images/I/31SNsQuMYTL.jpg;https://m.media-amazon.com/images/I/419u-lttDHL.jpg;https://m.media-amazon.com/images/I/41cxT6iw8JL.jpg;https://m.media-amazon.com/images/I/31vZ1uCJHnL.jpg</t>
        </is>
      </c>
      <c r="AG301"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302">
      <c r="A302" t="inlineStr">
        <is>
          <t>com</t>
        </is>
      </c>
      <c r="B302" t="inlineStr">
        <is>
          <t>B0BXTL5VNM</t>
        </is>
      </c>
      <c r="C302" t="inlineStr">
        <is>
          <t>PUMA Womens Carina Street Sneaker, PUMA Womens White-Rose Dust-Feather Gray, 9</t>
        </is>
      </c>
      <c r="D302" t="n">
        <v>49</v>
      </c>
      <c r="E302" t="n">
        <v>49</v>
      </c>
      <c r="F302" t="n">
        <v>42383</v>
      </c>
      <c r="G302" t="n">
        <v>62309</v>
      </c>
      <c r="H302" t="n">
        <v>52.15</v>
      </c>
      <c r="I302" t="n">
        <v>56.79</v>
      </c>
      <c r="J302" t="n">
        <v>0</v>
      </c>
      <c r="K302" t="n">
        <v>0.63</v>
      </c>
      <c r="L302" t="n">
        <v>3</v>
      </c>
      <c r="M302" t="n">
        <v>2</v>
      </c>
      <c r="N302" t="n">
        <v>4.4</v>
      </c>
      <c r="O302" t="n">
        <v>4</v>
      </c>
      <c r="P302" t="n">
        <v>327</v>
      </c>
      <c r="Q302" t="n">
        <v>21</v>
      </c>
      <c r="R302" t="n">
        <v>66</v>
      </c>
      <c r="S302" t="inlineStr">
        <is>
          <t>B0DH8F8493</t>
        </is>
      </c>
      <c r="U302" t="n">
        <v>1.89817782</v>
      </c>
      <c r="V302" t="n">
        <v>7.62</v>
      </c>
      <c r="W302" t="inlineStr"/>
      <c r="X302" t="inlineStr">
        <is>
          <t>195552638501</t>
        </is>
      </c>
      <c r="Y302" t="inlineStr">
        <is>
          <t>38939005</t>
        </is>
      </c>
      <c r="Z302" t="inlineStr">
        <is>
          <t>38939005</t>
        </is>
      </c>
      <c r="AA302" t="inlineStr">
        <is>
          <t>Puma White-rose Dust-feather Gray</t>
        </is>
      </c>
      <c r="AB302" t="inlineStr">
        <is>
          <t>0195552638501</t>
        </is>
      </c>
      <c r="AC302" t="inlineStr">
        <is>
          <t>no Amazon offer exists</t>
        </is>
      </c>
      <c r="AD302" t="inlineStr">
        <is>
          <t>PUMA</t>
        </is>
      </c>
      <c r="AE302" t="inlineStr">
        <is>
          <t>9</t>
        </is>
      </c>
      <c r="AF302" t="inlineStr">
        <is>
          <t>https://m.media-amazon.com/images/I/61-2Q-miQ-L.jpg;https://m.media-amazon.com/images/I/41t+Yt2CBVL.jpg;https://m.media-amazon.com/images/I/31V8xL3aa8L.jpg;https://m.media-amazon.com/images/I/41wsL2Eqm7L.jpg;https://m.media-amazon.com/images/I/31pA4qM886L.jpg;https://m.media-amazon.com/images/I/419u-lttDHL.jpg;https://m.media-amazon.com/images/I/41KnYTvB7RL.jpg;https://m.media-amazon.com/images/I/31vZ1uCJHnL.jpg</t>
        </is>
      </c>
      <c r="AG302" t="inlineStr">
        <is>
          <t>Description
PUMA Womens Carina Street Sneaker</t>
        </is>
      </c>
    </row>
    <row r="303">
      <c r="A303" t="inlineStr">
        <is>
          <t>com</t>
        </is>
      </c>
      <c r="B303" t="inlineStr">
        <is>
          <t>B0BXTD6C7D</t>
        </is>
      </c>
      <c r="C303" t="inlineStr">
        <is>
          <t>PUMA Womens Carina Street Sneaker, PUMA Womens White-Rose Dust-Feather Gray, 9.5</t>
        </is>
      </c>
      <c r="D303" t="n">
        <v>44.99</v>
      </c>
      <c r="E303" t="n">
        <v>44.99</v>
      </c>
      <c r="F303" t="n">
        <v>42383</v>
      </c>
      <c r="G303" t="n">
        <v>63160</v>
      </c>
      <c r="H303" t="n">
        <v>48.43</v>
      </c>
      <c r="I303" t="n">
        <v>51.81</v>
      </c>
      <c r="J303" t="n">
        <v>0</v>
      </c>
      <c r="K303" t="n">
        <v>0</v>
      </c>
      <c r="L303" t="n">
        <v>4</v>
      </c>
      <c r="M303" t="n">
        <v>4</v>
      </c>
      <c r="N303" t="n">
        <v>4.4</v>
      </c>
      <c r="O303" t="n">
        <v>3</v>
      </c>
      <c r="P303" t="n">
        <v>327</v>
      </c>
      <c r="Q303" t="n">
        <v>23</v>
      </c>
      <c r="R303" t="n">
        <v>85</v>
      </c>
      <c r="S303" t="inlineStr">
        <is>
          <t>B0DH8F8493</t>
        </is>
      </c>
      <c r="U303" t="n">
        <v>1.98636262</v>
      </c>
      <c r="V303" t="n">
        <v>7.86</v>
      </c>
      <c r="W303" t="n">
        <v>6.75</v>
      </c>
      <c r="X303" t="inlineStr">
        <is>
          <t>195552638570</t>
        </is>
      </c>
      <c r="Y303" t="inlineStr">
        <is>
          <t>38939005</t>
        </is>
      </c>
      <c r="Z303" t="inlineStr">
        <is>
          <t>38939005</t>
        </is>
      </c>
      <c r="AA303" t="inlineStr">
        <is>
          <t>Puma White-rose Dust-feather Gray</t>
        </is>
      </c>
      <c r="AB303" t="inlineStr">
        <is>
          <t>0195552638570</t>
        </is>
      </c>
      <c r="AC303" t="inlineStr">
        <is>
          <t>Amazon offer is in stock and shippable</t>
        </is>
      </c>
      <c r="AD303" t="inlineStr">
        <is>
          <t>PUMA</t>
        </is>
      </c>
      <c r="AE303" t="inlineStr">
        <is>
          <t>9.5</t>
        </is>
      </c>
      <c r="AF303" t="inlineStr">
        <is>
          <t>https://m.media-amazon.com/images/I/61-2Q-miQ-L.jpg;https://m.media-amazon.com/images/I/41t+Yt2CBVL.jpg;https://m.media-amazon.com/images/I/31V8xL3aa8L.jpg;https://m.media-amazon.com/images/I/41wsL2Eqm7L.jpg;https://m.media-amazon.com/images/I/31pA4qM886L.jpg;https://m.media-amazon.com/images/I/419u-lttDHL.jpg;https://m.media-amazon.com/images/I/41KnYTvB7RL.jpg;https://m.media-amazon.com/images/I/31vZ1uCJHnL.jpg</t>
        </is>
      </c>
      <c r="AG303" t="inlineStr">
        <is>
          <t>Description
PUMA Womens Carina Street Sneaker</t>
        </is>
      </c>
    </row>
    <row r="304">
      <c r="A304" t="inlineStr">
        <is>
          <t>com</t>
        </is>
      </c>
      <c r="B304" t="inlineStr">
        <is>
          <t>B0BXTGPPGF</t>
        </is>
      </c>
      <c r="C304" t="inlineStr">
        <is>
          <t>PUMA Womens Carina Street Sneaker, PUMA Womens White-Rose Dust-Feather Gray, 10</t>
        </is>
      </c>
      <c r="D304" t="n">
        <v>44.99</v>
      </c>
      <c r="E304" t="n">
        <v>44.99</v>
      </c>
      <c r="F304" t="n">
        <v>42383</v>
      </c>
      <c r="G304" t="n">
        <v>61736</v>
      </c>
      <c r="H304" t="n">
        <v>48.21</v>
      </c>
      <c r="I304" t="n">
        <v>52.15</v>
      </c>
      <c r="J304" t="n">
        <v>0</v>
      </c>
      <c r="K304" t="n">
        <v>0</v>
      </c>
      <c r="L304" t="n">
        <v>4</v>
      </c>
      <c r="M304" t="n">
        <v>4</v>
      </c>
      <c r="N304" t="n">
        <v>4.4</v>
      </c>
      <c r="O304" t="n">
        <v>4</v>
      </c>
      <c r="P304" t="n">
        <v>327</v>
      </c>
      <c r="Q304" t="n">
        <v>18</v>
      </c>
      <c r="R304" t="n">
        <v>59</v>
      </c>
      <c r="S304" t="inlineStr">
        <is>
          <t>B0DH8F8493</t>
        </is>
      </c>
      <c r="U304" t="n">
        <v>2.11202596</v>
      </c>
      <c r="V304" t="n">
        <v>7.86</v>
      </c>
      <c r="W304" t="n">
        <v>6.75</v>
      </c>
      <c r="X304" t="inlineStr">
        <is>
          <t>195552638617</t>
        </is>
      </c>
      <c r="Y304" t="inlineStr">
        <is>
          <t>38939005</t>
        </is>
      </c>
      <c r="Z304" t="inlineStr">
        <is>
          <t>38939005</t>
        </is>
      </c>
      <c r="AA304" t="inlineStr">
        <is>
          <t>Puma White-rose Dust-feather Gray</t>
        </is>
      </c>
      <c r="AB304" t="inlineStr">
        <is>
          <t>0195552638617</t>
        </is>
      </c>
      <c r="AC304" t="inlineStr">
        <is>
          <t>Amazon offer is in stock and shippable</t>
        </is>
      </c>
      <c r="AD304" t="inlineStr">
        <is>
          <t>PUMA</t>
        </is>
      </c>
      <c r="AE304" t="inlineStr">
        <is>
          <t>10</t>
        </is>
      </c>
      <c r="AF304" t="inlineStr">
        <is>
          <t>https://m.media-amazon.com/images/I/61-2Q-miQ-L.jpg;https://m.media-amazon.com/images/I/41t+Yt2CBVL.jpg;https://m.media-amazon.com/images/I/31V8xL3aa8L.jpg;https://m.media-amazon.com/images/I/41wsL2Eqm7L.jpg;https://m.media-amazon.com/images/I/31pA4qM886L.jpg;https://m.media-amazon.com/images/I/419u-lttDHL.jpg;https://m.media-amazon.com/images/I/41KnYTvB7RL.jpg;https://m.media-amazon.com/images/I/31vZ1uCJHnL.jpg</t>
        </is>
      </c>
      <c r="AG304" t="inlineStr">
        <is>
          <t>Description
PUMA Womens Carina Street Sneaker</t>
        </is>
      </c>
    </row>
    <row r="305">
      <c r="A305" t="inlineStr">
        <is>
          <t>com</t>
        </is>
      </c>
      <c r="B305" t="inlineStr">
        <is>
          <t>B0BXTBHVHF</t>
        </is>
      </c>
      <c r="C305" t="inlineStr">
        <is>
          <t>PUMA Womens Carina Street Sneaker, PUMA Womens White-Rose Dust-Feather Gray, 11</t>
        </is>
      </c>
      <c r="D305" t="n">
        <v>49</v>
      </c>
      <c r="E305" t="n">
        <v>49</v>
      </c>
      <c r="F305" t="n">
        <v>42383</v>
      </c>
      <c r="G305" t="n">
        <v>380990</v>
      </c>
      <c r="H305" t="n">
        <v>48.12</v>
      </c>
      <c r="I305" t="n">
        <v>49.54</v>
      </c>
      <c r="J305" t="n">
        <v>0</v>
      </c>
      <c r="K305" t="n">
        <v>0.39</v>
      </c>
      <c r="L305" t="n">
        <v>3</v>
      </c>
      <c r="M305" t="n">
        <v>2</v>
      </c>
      <c r="N305" t="n">
        <v>4.4</v>
      </c>
      <c r="O305" t="n">
        <v>2</v>
      </c>
      <c r="P305" t="n">
        <v>327</v>
      </c>
      <c r="Q305" t="n">
        <v>17</v>
      </c>
      <c r="R305" t="n">
        <v>45</v>
      </c>
      <c r="S305" t="inlineStr">
        <is>
          <t>B0DH8F8493</t>
        </is>
      </c>
      <c r="U305" t="n">
        <v>2.24209854</v>
      </c>
      <c r="V305" t="n">
        <v>8.02</v>
      </c>
      <c r="W305" t="n">
        <v>7.35</v>
      </c>
      <c r="X305" t="inlineStr">
        <is>
          <t>195552638532</t>
        </is>
      </c>
      <c r="Y305" t="inlineStr">
        <is>
          <t>38939005</t>
        </is>
      </c>
      <c r="Z305" t="inlineStr">
        <is>
          <t>38939005</t>
        </is>
      </c>
      <c r="AA305" t="inlineStr">
        <is>
          <t>Puma White-rose Dust-feather Gray</t>
        </is>
      </c>
      <c r="AB305" t="inlineStr">
        <is>
          <t>0195552638532</t>
        </is>
      </c>
      <c r="AC305" t="inlineStr">
        <is>
          <t>no Amazon offer exists</t>
        </is>
      </c>
      <c r="AD305" t="inlineStr">
        <is>
          <t>PUMA</t>
        </is>
      </c>
      <c r="AE305" t="inlineStr">
        <is>
          <t>11</t>
        </is>
      </c>
      <c r="AF305" t="inlineStr">
        <is>
          <t>https://m.media-amazon.com/images/I/61-2Q-miQ-L.jpg;https://m.media-amazon.com/images/I/41t+Yt2CBVL.jpg;https://m.media-amazon.com/images/I/31V8xL3aa8L.jpg;https://m.media-amazon.com/images/I/41wsL2Eqm7L.jpg;https://m.media-amazon.com/images/I/31pA4qM886L.jpg;https://m.media-amazon.com/images/I/419u-lttDHL.jpg;https://m.media-amazon.com/images/I/41KnYTvB7RL.jpg;https://m.media-amazon.com/images/I/31vZ1uCJHnL.jpg</t>
        </is>
      </c>
      <c r="AG305" t="inlineStr">
        <is>
          <t>Description
PUMA Womens Carina Street Sneaker</t>
        </is>
      </c>
    </row>
    <row r="306">
      <c r="A306" t="inlineStr">
        <is>
          <t>com</t>
        </is>
      </c>
      <c r="B306" t="inlineStr">
        <is>
          <t>B0D677C2YL</t>
        </is>
      </c>
      <c r="C306" t="inlineStr">
        <is>
          <t>PUMA Women's Rebound Layup Stone Sneaker, Feather Gray/Marble Team Gold, 5.5</t>
        </is>
      </c>
      <c r="D306" t="n">
        <v>70</v>
      </c>
      <c r="E306" t="n">
        <v>70</v>
      </c>
      <c r="H306" t="n">
        <v>70</v>
      </c>
      <c r="I306" t="n">
        <v>70</v>
      </c>
      <c r="J306" t="n">
        <v>0</v>
      </c>
      <c r="K306" t="n">
        <v>1</v>
      </c>
      <c r="L306" t="n">
        <v>1</v>
      </c>
      <c r="M306" t="n">
        <v>1</v>
      </c>
      <c r="Q306" t="n">
        <v>-1</v>
      </c>
      <c r="R306" t="n">
        <v>-1</v>
      </c>
      <c r="S306" t="inlineStr">
        <is>
          <t>B0D67GX9FD</t>
        </is>
      </c>
      <c r="U306" t="n">
        <v>1.90038244</v>
      </c>
      <c r="V306" t="n">
        <v>7.03</v>
      </c>
      <c r="W306" t="n">
        <v>10.5</v>
      </c>
      <c r="X306" t="inlineStr">
        <is>
          <t>197672686783</t>
        </is>
      </c>
      <c r="Y306" t="inlineStr">
        <is>
          <t>40187401</t>
        </is>
      </c>
      <c r="Z306" t="inlineStr">
        <is>
          <t>40187401</t>
        </is>
      </c>
      <c r="AA306" t="inlineStr">
        <is>
          <t>Feather Gray/Marble/Puma Team Gold</t>
        </is>
      </c>
      <c r="AB306" t="inlineStr">
        <is>
          <t>0197672686783</t>
        </is>
      </c>
      <c r="AC306" t="inlineStr">
        <is>
          <t>no Amazon offer exists</t>
        </is>
      </c>
      <c r="AD306" t="inlineStr">
        <is>
          <t>PUMA</t>
        </is>
      </c>
      <c r="AE306" t="inlineStr">
        <is>
          <t>5.5</t>
        </is>
      </c>
      <c r="AF306"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06" t="inlineStr">
        <is>
          <t>Description
The Puma Rebound LayUp is a new interpretation of a classic mid-cut basketball inspired trainer. Perforations on the vamp and classic PUMA formstripe branding create an iconic basketball look while the SoftFoam+ sockliner provides superior cushioning and optimal comfort for every step of your day.</t>
        </is>
      </c>
    </row>
    <row r="307">
      <c r="A307" t="inlineStr">
        <is>
          <t>com</t>
        </is>
      </c>
      <c r="B307" t="inlineStr">
        <is>
          <t>B0D6771J4F</t>
        </is>
      </c>
      <c r="C307" t="inlineStr">
        <is>
          <t>PUMA Women's Rebound Layup Stone Sneaker, Feather Gray/Marble Team Gold, 6</t>
        </is>
      </c>
      <c r="D307" t="n">
        <v>70</v>
      </c>
      <c r="E307" t="n">
        <v>70</v>
      </c>
      <c r="H307" t="n">
        <v>70</v>
      </c>
      <c r="I307" t="n">
        <v>70</v>
      </c>
      <c r="J307" t="n">
        <v>0</v>
      </c>
      <c r="K307" t="n">
        <v>1</v>
      </c>
      <c r="L307" t="n">
        <v>1</v>
      </c>
      <c r="M307" t="n">
        <v>1</v>
      </c>
      <c r="Q307" t="n">
        <v>-1</v>
      </c>
      <c r="R307" t="n">
        <v>-1</v>
      </c>
      <c r="S307" t="inlineStr">
        <is>
          <t>B0D67GX9FD</t>
        </is>
      </c>
      <c r="U307" t="n">
        <v>1.80999302</v>
      </c>
      <c r="V307" t="n">
        <v>7.03</v>
      </c>
      <c r="W307" t="n">
        <v>10.5</v>
      </c>
      <c r="X307" t="inlineStr">
        <is>
          <t>197672686844</t>
        </is>
      </c>
      <c r="Y307" t="inlineStr">
        <is>
          <t>40187401</t>
        </is>
      </c>
      <c r="Z307" t="inlineStr">
        <is>
          <t>40187401</t>
        </is>
      </c>
      <c r="AA307" t="inlineStr">
        <is>
          <t>Feather Gray/Marble/Puma Team Gold</t>
        </is>
      </c>
      <c r="AB307" t="inlineStr">
        <is>
          <t>0197672686844</t>
        </is>
      </c>
      <c r="AC307" t="inlineStr">
        <is>
          <t>no Amazon offer exists</t>
        </is>
      </c>
      <c r="AD307" t="inlineStr">
        <is>
          <t>PUMA</t>
        </is>
      </c>
      <c r="AE307" t="inlineStr">
        <is>
          <t>6</t>
        </is>
      </c>
      <c r="AF307"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07" t="inlineStr"/>
    </row>
    <row r="308">
      <c r="A308" t="inlineStr">
        <is>
          <t>com</t>
        </is>
      </c>
      <c r="B308" t="inlineStr">
        <is>
          <t>B0D67817XB</t>
        </is>
      </c>
      <c r="C308" t="inlineStr">
        <is>
          <t>PUMA Women's Rebound Layup Stone Sneaker, Feather Gray/Marble Team Gold, 6.5</t>
        </is>
      </c>
      <c r="D308" t="n">
        <v>70</v>
      </c>
      <c r="E308" t="n">
        <v>70</v>
      </c>
      <c r="H308" t="n">
        <v>70</v>
      </c>
      <c r="I308" t="n">
        <v>70</v>
      </c>
      <c r="J308" t="n">
        <v>0</v>
      </c>
      <c r="K308" t="n">
        <v>1</v>
      </c>
      <c r="L308" t="n">
        <v>1</v>
      </c>
      <c r="M308" t="n">
        <v>1</v>
      </c>
      <c r="Q308" t="n">
        <v>-1</v>
      </c>
      <c r="R308" t="n">
        <v>-1</v>
      </c>
      <c r="S308" t="inlineStr">
        <is>
          <t>B0D67GX9FD</t>
        </is>
      </c>
      <c r="U308" t="n">
        <v>1.92022402</v>
      </c>
      <c r="V308" t="n">
        <v>7.03</v>
      </c>
      <c r="W308" t="n">
        <v>10.5</v>
      </c>
      <c r="X308" t="inlineStr">
        <is>
          <t>197672686790</t>
        </is>
      </c>
      <c r="Y308" t="inlineStr">
        <is>
          <t>40187401</t>
        </is>
      </c>
      <c r="Z308" t="inlineStr">
        <is>
          <t>40187401</t>
        </is>
      </c>
      <c r="AA308" t="inlineStr">
        <is>
          <t>Feather Gray/Marble/Puma Team Gold</t>
        </is>
      </c>
      <c r="AB308" t="inlineStr">
        <is>
          <t>0197672686790</t>
        </is>
      </c>
      <c r="AC308" t="inlineStr">
        <is>
          <t>no Amazon offer exists</t>
        </is>
      </c>
      <c r="AD308" t="inlineStr">
        <is>
          <t>PUMA</t>
        </is>
      </c>
      <c r="AE308" t="inlineStr">
        <is>
          <t>6.5</t>
        </is>
      </c>
      <c r="AF308"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08" t="inlineStr"/>
    </row>
    <row r="309">
      <c r="A309" t="inlineStr">
        <is>
          <t>com</t>
        </is>
      </c>
      <c r="B309" t="inlineStr">
        <is>
          <t>B0D678MMF9</t>
        </is>
      </c>
      <c r="C309" t="inlineStr">
        <is>
          <t>PUMA Women's Rebound Layup Stone Sneaker, Feather Gray/Marble Team Gold, 7</t>
        </is>
      </c>
      <c r="D309" t="n">
        <v>70</v>
      </c>
      <c r="E309" t="n">
        <v>70</v>
      </c>
      <c r="H309" t="n">
        <v>70</v>
      </c>
      <c r="I309" t="n">
        <v>70</v>
      </c>
      <c r="J309" t="n">
        <v>0.38</v>
      </c>
      <c r="K309" t="n">
        <v>1</v>
      </c>
      <c r="L309" t="n">
        <v>1</v>
      </c>
      <c r="M309" t="n">
        <v>1</v>
      </c>
      <c r="Q309" t="n">
        <v>-1</v>
      </c>
      <c r="R309" t="n">
        <v>-1</v>
      </c>
      <c r="S309" t="inlineStr">
        <is>
          <t>B0D67GX9FD</t>
        </is>
      </c>
      <c r="U309" t="n">
        <v>1.97974876</v>
      </c>
      <c r="V309" t="n">
        <v>7.54</v>
      </c>
      <c r="W309" t="n">
        <v>10.5</v>
      </c>
      <c r="X309" t="inlineStr">
        <is>
          <t>197672686851</t>
        </is>
      </c>
      <c r="Y309" t="inlineStr">
        <is>
          <t>40187401</t>
        </is>
      </c>
      <c r="Z309" t="inlineStr">
        <is>
          <t>40187401</t>
        </is>
      </c>
      <c r="AA309" t="inlineStr">
        <is>
          <t>Feather Gray/Marble/Puma Team Gold</t>
        </is>
      </c>
      <c r="AB309" t="inlineStr">
        <is>
          <t>0197672686851</t>
        </is>
      </c>
      <c r="AC309" t="inlineStr">
        <is>
          <t>no Amazon offer exists</t>
        </is>
      </c>
      <c r="AD309" t="inlineStr">
        <is>
          <t>PUMA</t>
        </is>
      </c>
      <c r="AE309" t="inlineStr">
        <is>
          <t>7</t>
        </is>
      </c>
      <c r="AF309"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09" t="inlineStr"/>
    </row>
    <row r="310">
      <c r="A310" t="inlineStr">
        <is>
          <t>com</t>
        </is>
      </c>
      <c r="B310" t="inlineStr">
        <is>
          <t>B0D678G3XB</t>
        </is>
      </c>
      <c r="C310" t="inlineStr">
        <is>
          <t>PUMA Women's Rebound Layup Stone Sneaker, Feather Gray/Marble Team Gold, 7.5</t>
        </is>
      </c>
      <c r="D310" t="n">
        <v>70</v>
      </c>
      <c r="E310" t="n">
        <v>70</v>
      </c>
      <c r="H310" t="n">
        <v>70</v>
      </c>
      <c r="I310" t="n">
        <v>70</v>
      </c>
      <c r="J310" t="n">
        <v>0.38</v>
      </c>
      <c r="K310" t="n">
        <v>1</v>
      </c>
      <c r="L310" t="n">
        <v>1</v>
      </c>
      <c r="M310" t="n">
        <v>1</v>
      </c>
      <c r="Q310" t="n">
        <v>-1</v>
      </c>
      <c r="R310" t="n">
        <v>-1</v>
      </c>
      <c r="S310" t="inlineStr">
        <is>
          <t>B0D67GX9FD</t>
        </is>
      </c>
      <c r="U310" t="n">
        <v>1.97974876</v>
      </c>
      <c r="V310" t="n">
        <v>7.03</v>
      </c>
      <c r="W310" t="n">
        <v>10.5</v>
      </c>
      <c r="X310" t="inlineStr">
        <is>
          <t>197672686806</t>
        </is>
      </c>
      <c r="Y310" t="inlineStr">
        <is>
          <t>40187401</t>
        </is>
      </c>
      <c r="Z310" t="inlineStr">
        <is>
          <t>40187401</t>
        </is>
      </c>
      <c r="AA310" t="inlineStr">
        <is>
          <t>Feather Gray/Marble/Puma Team Gold</t>
        </is>
      </c>
      <c r="AB310" t="inlineStr">
        <is>
          <t>0197672686806</t>
        </is>
      </c>
      <c r="AC310" t="inlineStr">
        <is>
          <t>no Amazon offer exists</t>
        </is>
      </c>
      <c r="AD310" t="inlineStr">
        <is>
          <t>PUMA</t>
        </is>
      </c>
      <c r="AE310" t="inlineStr">
        <is>
          <t>7.5</t>
        </is>
      </c>
      <c r="AF310"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0" t="inlineStr"/>
    </row>
    <row r="311">
      <c r="A311" t="inlineStr">
        <is>
          <t>com</t>
        </is>
      </c>
      <c r="B311" t="inlineStr">
        <is>
          <t>B0D676JLMP</t>
        </is>
      </c>
      <c r="C311" t="inlineStr">
        <is>
          <t>PUMA Women's Rebound Layup Stone Sneaker, Feather Gray/Marble Team Gold, 8</t>
        </is>
      </c>
      <c r="D311" t="n">
        <v>70</v>
      </c>
      <c r="E311" t="n">
        <v>70</v>
      </c>
      <c r="H311" t="n">
        <v>70</v>
      </c>
      <c r="I311" t="n">
        <v>70</v>
      </c>
      <c r="J311" t="n">
        <v>0.38</v>
      </c>
      <c r="K311" t="n">
        <v>1</v>
      </c>
      <c r="L311" t="n">
        <v>1</v>
      </c>
      <c r="M311" t="n">
        <v>1</v>
      </c>
      <c r="Q311" t="n">
        <v>-1</v>
      </c>
      <c r="R311" t="n">
        <v>-1</v>
      </c>
      <c r="S311" t="inlineStr">
        <is>
          <t>B0D67GX9FD</t>
        </is>
      </c>
      <c r="U311" t="n">
        <v>2.14068602</v>
      </c>
      <c r="V311" t="n">
        <v>7.62</v>
      </c>
      <c r="W311" t="n">
        <v>10.5</v>
      </c>
      <c r="X311" t="inlineStr">
        <is>
          <t>197672686868</t>
        </is>
      </c>
      <c r="Y311" t="inlineStr">
        <is>
          <t>40187401</t>
        </is>
      </c>
      <c r="Z311" t="inlineStr">
        <is>
          <t>40187401</t>
        </is>
      </c>
      <c r="AA311" t="inlineStr">
        <is>
          <t>Feather Gray/Marble/Puma Team Gold</t>
        </is>
      </c>
      <c r="AB311" t="inlineStr">
        <is>
          <t>0197672686868</t>
        </is>
      </c>
      <c r="AC311" t="inlineStr">
        <is>
          <t>no Amazon offer exists</t>
        </is>
      </c>
      <c r="AD311" t="inlineStr">
        <is>
          <t>PUMA</t>
        </is>
      </c>
      <c r="AE311" t="inlineStr">
        <is>
          <t>8</t>
        </is>
      </c>
      <c r="AF311"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1" t="inlineStr"/>
    </row>
    <row r="312">
      <c r="A312" t="inlineStr">
        <is>
          <t>com</t>
        </is>
      </c>
      <c r="B312" t="inlineStr">
        <is>
          <t>B0D678R4BT</t>
        </is>
      </c>
      <c r="C312" t="inlineStr">
        <is>
          <t>PUMA Women's Rebound Layup Stone Sneaker, Feather Gray/Marble Team Gold, 8.5</t>
        </is>
      </c>
      <c r="D312" t="n">
        <v>70</v>
      </c>
      <c r="E312" t="n">
        <v>70</v>
      </c>
      <c r="H312" t="n">
        <v>70</v>
      </c>
      <c r="I312" t="n">
        <v>70</v>
      </c>
      <c r="J312" t="n">
        <v>0.38</v>
      </c>
      <c r="K312" t="n">
        <v>1</v>
      </c>
      <c r="L312" t="n">
        <v>1</v>
      </c>
      <c r="M312" t="n">
        <v>1</v>
      </c>
      <c r="Q312" t="n">
        <v>-1</v>
      </c>
      <c r="R312" t="n">
        <v>-1</v>
      </c>
      <c r="S312" t="inlineStr">
        <is>
          <t>B0D67GX9FD</t>
        </is>
      </c>
      <c r="U312" t="n">
        <v>2.23107544</v>
      </c>
      <c r="V312" t="n">
        <v>7.62</v>
      </c>
      <c r="W312" t="n">
        <v>10.5</v>
      </c>
      <c r="X312" t="inlineStr">
        <is>
          <t>197672686813</t>
        </is>
      </c>
      <c r="Y312" t="inlineStr">
        <is>
          <t>40187401</t>
        </is>
      </c>
      <c r="Z312" t="inlineStr">
        <is>
          <t>40187401</t>
        </is>
      </c>
      <c r="AA312" t="inlineStr">
        <is>
          <t>Feather Gray/Marble/Puma Team Gold</t>
        </is>
      </c>
      <c r="AB312" t="inlineStr">
        <is>
          <t>0197672686813</t>
        </is>
      </c>
      <c r="AC312" t="inlineStr">
        <is>
          <t>no Amazon offer exists</t>
        </is>
      </c>
      <c r="AD312" t="inlineStr">
        <is>
          <t>PUMA</t>
        </is>
      </c>
      <c r="AE312" t="inlineStr">
        <is>
          <t>8.5</t>
        </is>
      </c>
      <c r="AF312"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2" t="inlineStr"/>
    </row>
    <row r="313">
      <c r="A313" t="inlineStr">
        <is>
          <t>com</t>
        </is>
      </c>
      <c r="B313" t="inlineStr">
        <is>
          <t>B0D6784R2M</t>
        </is>
      </c>
      <c r="C313" t="inlineStr">
        <is>
          <t>PUMA Women's Rebound Layup Stone Sneaker, Feather Gray/Marble Team Gold, 9</t>
        </is>
      </c>
      <c r="D313" t="n">
        <v>70</v>
      </c>
      <c r="E313" t="n">
        <v>70</v>
      </c>
      <c r="H313" t="n">
        <v>70</v>
      </c>
      <c r="I313" t="n">
        <v>70</v>
      </c>
      <c r="J313" t="n">
        <v>0.38</v>
      </c>
      <c r="K313" t="n">
        <v>1</v>
      </c>
      <c r="L313" t="n">
        <v>1</v>
      </c>
      <c r="M313" t="n">
        <v>1</v>
      </c>
      <c r="Q313" t="n">
        <v>-1</v>
      </c>
      <c r="R313" t="n">
        <v>-1</v>
      </c>
      <c r="S313" t="inlineStr">
        <is>
          <t>B0D67GX9FD</t>
        </is>
      </c>
      <c r="U313" t="n">
        <v>2.2707586</v>
      </c>
      <c r="V313" t="n">
        <v>7.62</v>
      </c>
      <c r="W313" t="n">
        <v>10.5</v>
      </c>
      <c r="X313" t="inlineStr">
        <is>
          <t>197672686875</t>
        </is>
      </c>
      <c r="Y313" t="inlineStr">
        <is>
          <t>40187401</t>
        </is>
      </c>
      <c r="Z313" t="inlineStr">
        <is>
          <t>40187401</t>
        </is>
      </c>
      <c r="AA313" t="inlineStr">
        <is>
          <t>Feather Gray/Marble/Puma Team Gold</t>
        </is>
      </c>
      <c r="AB313" t="inlineStr">
        <is>
          <t>0197672686875</t>
        </is>
      </c>
      <c r="AC313" t="inlineStr">
        <is>
          <t>no Amazon offer exists</t>
        </is>
      </c>
      <c r="AD313" t="inlineStr">
        <is>
          <t>PUMA</t>
        </is>
      </c>
      <c r="AE313" t="inlineStr">
        <is>
          <t>9</t>
        </is>
      </c>
      <c r="AF313"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3" t="inlineStr"/>
    </row>
    <row r="314">
      <c r="A314" t="inlineStr">
        <is>
          <t>com</t>
        </is>
      </c>
      <c r="B314" t="inlineStr">
        <is>
          <t>B0D678V2FN</t>
        </is>
      </c>
      <c r="C314" t="inlineStr">
        <is>
          <t>PUMA Women's Rebound Layup Stone Sneaker, Feather Gray/Marble Team Gold, 9.5</t>
        </is>
      </c>
      <c r="D314" t="n">
        <v>70</v>
      </c>
      <c r="E314" t="n">
        <v>70</v>
      </c>
      <c r="H314" t="n">
        <v>70</v>
      </c>
      <c r="I314" t="n">
        <v>70</v>
      </c>
      <c r="J314" t="n">
        <v>0</v>
      </c>
      <c r="K314" t="n">
        <v>1</v>
      </c>
      <c r="L314" t="n">
        <v>1</v>
      </c>
      <c r="M314" t="n">
        <v>1</v>
      </c>
      <c r="Q314" t="n">
        <v>-1</v>
      </c>
      <c r="R314" t="n">
        <v>-1</v>
      </c>
      <c r="S314" t="inlineStr">
        <is>
          <t>B0D67GX9FD</t>
        </is>
      </c>
      <c r="U314" t="n">
        <v>2.40083118</v>
      </c>
      <c r="V314" t="n">
        <v>7.62</v>
      </c>
      <c r="W314" t="n">
        <v>10.5</v>
      </c>
      <c r="X314" t="inlineStr">
        <is>
          <t>197672686820</t>
        </is>
      </c>
      <c r="Y314" t="inlineStr">
        <is>
          <t>40187401</t>
        </is>
      </c>
      <c r="Z314" t="inlineStr">
        <is>
          <t>40187401</t>
        </is>
      </c>
      <c r="AA314" t="inlineStr">
        <is>
          <t>Feather Gray/Marble/Puma Team Gold</t>
        </is>
      </c>
      <c r="AB314" t="inlineStr">
        <is>
          <t>0197672686820</t>
        </is>
      </c>
      <c r="AC314" t="inlineStr">
        <is>
          <t>no Amazon offer exists</t>
        </is>
      </c>
      <c r="AD314" t="inlineStr">
        <is>
          <t>PUMA</t>
        </is>
      </c>
      <c r="AE314" t="inlineStr">
        <is>
          <t>9.5</t>
        </is>
      </c>
      <c r="AF314"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4" t="inlineStr"/>
    </row>
    <row r="315">
      <c r="A315" t="inlineStr">
        <is>
          <t>com</t>
        </is>
      </c>
      <c r="B315" t="inlineStr">
        <is>
          <t>B0D6768XF4</t>
        </is>
      </c>
      <c r="C315" t="inlineStr">
        <is>
          <t>PUMA Women's Rebound Layup Stone Sneaker, Feather Gray/Marble Team Gold, 10</t>
        </is>
      </c>
      <c r="D315" t="n">
        <v>70</v>
      </c>
      <c r="E315" t="n">
        <v>70</v>
      </c>
      <c r="H315" t="n">
        <v>70</v>
      </c>
      <c r="I315" t="n">
        <v>70</v>
      </c>
      <c r="J315" t="n">
        <v>0</v>
      </c>
      <c r="K315" t="n">
        <v>1</v>
      </c>
      <c r="L315" t="n">
        <v>2</v>
      </c>
      <c r="M315" t="n">
        <v>2</v>
      </c>
      <c r="Q315" t="n">
        <v>-1</v>
      </c>
      <c r="R315" t="n">
        <v>-1</v>
      </c>
      <c r="S315" t="inlineStr">
        <is>
          <t>B0D67GX9FD</t>
        </is>
      </c>
      <c r="U315" t="n">
        <v>2.3809896</v>
      </c>
      <c r="V315" t="n">
        <v>7.62</v>
      </c>
      <c r="W315" t="n">
        <v>10.5</v>
      </c>
      <c r="X315" t="inlineStr">
        <is>
          <t>197672686882</t>
        </is>
      </c>
      <c r="Y315" t="inlineStr">
        <is>
          <t>40187401</t>
        </is>
      </c>
      <c r="Z315" t="inlineStr">
        <is>
          <t>40187401</t>
        </is>
      </c>
      <c r="AA315" t="inlineStr">
        <is>
          <t>Feather Gray/Marble/Puma Team Gold</t>
        </is>
      </c>
      <c r="AB315" t="inlineStr">
        <is>
          <t>0197672686882</t>
        </is>
      </c>
      <c r="AC315" t="inlineStr">
        <is>
          <t>no Amazon offer exists</t>
        </is>
      </c>
      <c r="AD315" t="inlineStr">
        <is>
          <t>PUMA</t>
        </is>
      </c>
      <c r="AE315" t="inlineStr">
        <is>
          <t>10</t>
        </is>
      </c>
      <c r="AF315"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5" t="inlineStr"/>
    </row>
    <row r="316">
      <c r="A316" t="inlineStr">
        <is>
          <t>com</t>
        </is>
      </c>
      <c r="B316" t="inlineStr">
        <is>
          <t>B0D676SW83</t>
        </is>
      </c>
      <c r="C316" t="inlineStr">
        <is>
          <t>PUMA Women's Rebound Layup Stone Sneaker, Feather Gray/Marble Team Gold, 11</t>
        </is>
      </c>
      <c r="D316" t="n">
        <v>70</v>
      </c>
      <c r="E316" t="n">
        <v>70</v>
      </c>
      <c r="H316" t="n">
        <v>70</v>
      </c>
      <c r="I316" t="n">
        <v>70</v>
      </c>
      <c r="J316" t="n">
        <v>0</v>
      </c>
      <c r="K316" t="n">
        <v>1</v>
      </c>
      <c r="L316" t="n">
        <v>1</v>
      </c>
      <c r="M316" t="n">
        <v>1</v>
      </c>
      <c r="Q316" t="n">
        <v>-1</v>
      </c>
      <c r="R316" t="n">
        <v>-1</v>
      </c>
      <c r="S316" t="inlineStr">
        <is>
          <t>B0D67GX9FD</t>
        </is>
      </c>
      <c r="U316" t="n">
        <v>2.64995324</v>
      </c>
      <c r="V316" t="n">
        <v>7.94</v>
      </c>
      <c r="W316" t="n">
        <v>10.5</v>
      </c>
      <c r="X316" t="inlineStr">
        <is>
          <t>197672686899</t>
        </is>
      </c>
      <c r="Y316" t="inlineStr">
        <is>
          <t>40187401</t>
        </is>
      </c>
      <c r="Z316" t="inlineStr">
        <is>
          <t>40187401</t>
        </is>
      </c>
      <c r="AA316" t="inlineStr">
        <is>
          <t>Feather Gray/Marble/Puma Team Gold</t>
        </is>
      </c>
      <c r="AB316" t="inlineStr">
        <is>
          <t>0197672686899</t>
        </is>
      </c>
      <c r="AC316" t="inlineStr">
        <is>
          <t>no Amazon offer exists</t>
        </is>
      </c>
      <c r="AD316" t="inlineStr">
        <is>
          <t>PUMA</t>
        </is>
      </c>
      <c r="AE316" t="inlineStr">
        <is>
          <t>11</t>
        </is>
      </c>
      <c r="AF316" t="inlineStr">
        <is>
          <t>https://m.media-amazon.com/images/I/71gHGAyXG1L.jpg;https://m.media-amazon.com/images/I/71ds5+e1cwL.jpg;https://m.media-amazon.com/images/I/61aqxGxjXmL.jpg;https://m.media-amazon.com/images/I/71M6Omw01qL.jpg;https://m.media-amazon.com/images/I/71KsNv9mc6L.jpg;https://m.media-amazon.com/images/I/81dehCSoLSL.jpg;https://m.media-amazon.com/images/I/71RPKNlsM-L.jpg</t>
        </is>
      </c>
      <c r="AG316" t="inlineStr"/>
    </row>
    <row r="317">
      <c r="A317" t="inlineStr">
        <is>
          <t>com</t>
        </is>
      </c>
      <c r="B317" t="inlineStr">
        <is>
          <t>B0DDTX1DR6</t>
        </is>
      </c>
      <c r="C317" t="inlineStr">
        <is>
          <t>PUMA Women's Voltaic EVO Cross Trainer Sneaker, Black-Magic Rose, 5.5</t>
        </is>
      </c>
      <c r="D317" t="n">
        <v>80</v>
      </c>
      <c r="E317" t="inlineStr"/>
      <c r="H317" t="n">
        <v>80</v>
      </c>
      <c r="I317" t="n">
        <v>80</v>
      </c>
      <c r="J317" t="n">
        <v>0.8</v>
      </c>
      <c r="K317" t="n">
        <v>0.8</v>
      </c>
      <c r="L317" t="n">
        <v>1</v>
      </c>
      <c r="M317" t="n">
        <v>1</v>
      </c>
      <c r="Q317" t="n">
        <v>-1</v>
      </c>
      <c r="R317" t="n">
        <v>-1</v>
      </c>
      <c r="S317" t="inlineStr">
        <is>
          <t>B0CLQ68V62</t>
        </is>
      </c>
      <c r="U317" t="n">
        <v>1.54102938</v>
      </c>
      <c r="V317" t="n">
        <v>7.03</v>
      </c>
      <c r="W317" t="inlineStr"/>
      <c r="X317" t="inlineStr">
        <is>
          <t>197674365402</t>
        </is>
      </c>
      <c r="Y317" t="inlineStr"/>
      <c r="Z317" t="inlineStr">
        <is>
          <t>30972019</t>
        </is>
      </c>
      <c r="AA317" t="inlineStr">
        <is>
          <t>Puma Black-magic Rose</t>
        </is>
      </c>
      <c r="AB317" t="inlineStr">
        <is>
          <t>0197674365402</t>
        </is>
      </c>
      <c r="AC317" t="inlineStr">
        <is>
          <t>no Amazon offer exists</t>
        </is>
      </c>
      <c r="AD317" t="inlineStr">
        <is>
          <t>PUMA</t>
        </is>
      </c>
      <c r="AE317" t="inlineStr">
        <is>
          <t>5.5</t>
        </is>
      </c>
      <c r="AF317" t="inlineStr">
        <is>
          <t>https://m.media-amazon.com/images/I/61TZ92LYQyL.jpg</t>
        </is>
      </c>
      <c r="AG317" t="inlineStr"/>
    </row>
    <row r="318">
      <c r="A318" t="inlineStr">
        <is>
          <t>com</t>
        </is>
      </c>
      <c r="B318" t="inlineStr">
        <is>
          <t>B0DDTV74TZ</t>
        </is>
      </c>
      <c r="C318" t="inlineStr">
        <is>
          <t>PUMA Women's Voltaic EVO Cross Trainer Sneaker, Black-Magic Rose, 6</t>
        </is>
      </c>
      <c r="D318" t="n">
        <v>80</v>
      </c>
      <c r="E318" t="inlineStr"/>
      <c r="H318" t="n">
        <v>80</v>
      </c>
      <c r="I318" t="n">
        <v>80</v>
      </c>
      <c r="J318" t="n">
        <v>0.8</v>
      </c>
      <c r="K318" t="n">
        <v>0.8</v>
      </c>
      <c r="L318" t="n">
        <v>1</v>
      </c>
      <c r="M318" t="n">
        <v>1</v>
      </c>
      <c r="Q318" t="n">
        <v>-1</v>
      </c>
      <c r="R318" t="n">
        <v>-1</v>
      </c>
      <c r="S318" t="inlineStr">
        <is>
          <t>B0CLQ68V62</t>
        </is>
      </c>
      <c r="U318" t="n">
        <v>1.58953102</v>
      </c>
      <c r="V318" t="n">
        <v>6.61</v>
      </c>
      <c r="W318" t="inlineStr"/>
      <c r="X318" t="inlineStr">
        <is>
          <t>197674365464</t>
        </is>
      </c>
      <c r="Y318" t="inlineStr"/>
      <c r="Z318" t="inlineStr">
        <is>
          <t>30972019</t>
        </is>
      </c>
      <c r="AA318" t="inlineStr">
        <is>
          <t>Puma Black-magic Rose</t>
        </is>
      </c>
      <c r="AB318" t="inlineStr">
        <is>
          <t>0197674365464</t>
        </is>
      </c>
      <c r="AC318" t="inlineStr">
        <is>
          <t>no Amazon offer exists</t>
        </is>
      </c>
      <c r="AD318" t="inlineStr">
        <is>
          <t>PUMA</t>
        </is>
      </c>
      <c r="AE318" t="inlineStr">
        <is>
          <t>6</t>
        </is>
      </c>
      <c r="AF318" t="inlineStr">
        <is>
          <t>https://m.media-amazon.com/images/I/61TZ92LYQyL.jpg</t>
        </is>
      </c>
      <c r="AG318" t="inlineStr"/>
    </row>
    <row r="319">
      <c r="A319" t="inlineStr">
        <is>
          <t>com</t>
        </is>
      </c>
      <c r="B319" t="inlineStr">
        <is>
          <t>B0DDTV7L9F</t>
        </is>
      </c>
      <c r="C319" t="inlineStr">
        <is>
          <t>PUMA Women's Voltaic EVO Cross Trainer Sneaker, Black-Magic Rose, 6.5</t>
        </is>
      </c>
      <c r="D319" t="n">
        <v>80</v>
      </c>
      <c r="E319" t="inlineStr"/>
      <c r="H319" t="n">
        <v>80</v>
      </c>
      <c r="I319" t="n">
        <v>80</v>
      </c>
      <c r="J319" t="n">
        <v>0.8</v>
      </c>
      <c r="K319" t="n">
        <v>0.8</v>
      </c>
      <c r="L319" t="n">
        <v>1</v>
      </c>
      <c r="M319" t="n">
        <v>1</v>
      </c>
      <c r="Q319" t="n">
        <v>-1</v>
      </c>
      <c r="R319" t="n">
        <v>-1</v>
      </c>
      <c r="S319" t="inlineStr">
        <is>
          <t>B0CLQ68V62</t>
        </is>
      </c>
      <c r="U319" t="n">
        <v>1.58953102</v>
      </c>
      <c r="V319" t="n">
        <v>6.61</v>
      </c>
      <c r="W319" t="inlineStr"/>
      <c r="X319" t="inlineStr">
        <is>
          <t>197674365419</t>
        </is>
      </c>
      <c r="Y319" t="inlineStr"/>
      <c r="Z319" t="inlineStr">
        <is>
          <t>30972019</t>
        </is>
      </c>
      <c r="AA319" t="inlineStr">
        <is>
          <t>Puma Black-magic Rose</t>
        </is>
      </c>
      <c r="AB319" t="inlineStr">
        <is>
          <t>0197674365419</t>
        </is>
      </c>
      <c r="AC319" t="inlineStr">
        <is>
          <t>no Amazon offer exists</t>
        </is>
      </c>
      <c r="AD319" t="inlineStr">
        <is>
          <t>PUMA</t>
        </is>
      </c>
      <c r="AE319" t="inlineStr">
        <is>
          <t>6.5</t>
        </is>
      </c>
      <c r="AF319" t="inlineStr">
        <is>
          <t>https://m.media-amazon.com/images/I/61TZ92LYQyL.jpg</t>
        </is>
      </c>
      <c r="AG319" t="inlineStr"/>
    </row>
    <row r="320">
      <c r="A320" t="inlineStr">
        <is>
          <t>com</t>
        </is>
      </c>
      <c r="B320" t="inlineStr">
        <is>
          <t>B0DDTVB6SM</t>
        </is>
      </c>
      <c r="C320" t="inlineStr">
        <is>
          <t>PUMA Women's Voltaic EVO Cross Trainer Sneaker, Black-Magic Rose, 7</t>
        </is>
      </c>
      <c r="D320" t="n">
        <v>108.39</v>
      </c>
      <c r="E320" t="inlineStr"/>
      <c r="H320" t="n">
        <v>108.39</v>
      </c>
      <c r="I320" t="n">
        <v>108.39</v>
      </c>
      <c r="J320" t="n">
        <v>0.02</v>
      </c>
      <c r="K320" t="n">
        <v>0.83</v>
      </c>
      <c r="L320" t="n">
        <v>1</v>
      </c>
      <c r="M320" t="n">
        <v>1</v>
      </c>
      <c r="Q320" t="n">
        <v>-1</v>
      </c>
      <c r="R320" t="n">
        <v>-1</v>
      </c>
      <c r="S320" t="inlineStr">
        <is>
          <t>B0D2NRGT5S</t>
        </is>
      </c>
      <c r="U320" t="n">
        <v>1.62921418</v>
      </c>
      <c r="V320" t="n">
        <v>6.44</v>
      </c>
      <c r="W320" t="inlineStr"/>
      <c r="X320" t="inlineStr">
        <is>
          <t>197674365471</t>
        </is>
      </c>
      <c r="Y320" t="inlineStr"/>
      <c r="Z320" t="inlineStr">
        <is>
          <t>30972019</t>
        </is>
      </c>
      <c r="AA320" t="inlineStr">
        <is>
          <t>Puma Black-magic Rose</t>
        </is>
      </c>
      <c r="AB320" t="inlineStr">
        <is>
          <t>0197674365471</t>
        </is>
      </c>
      <c r="AC320" t="inlineStr">
        <is>
          <t>no Amazon offer exists</t>
        </is>
      </c>
      <c r="AD320" t="inlineStr">
        <is>
          <t>PUMA</t>
        </is>
      </c>
      <c r="AE320" t="inlineStr">
        <is>
          <t>7</t>
        </is>
      </c>
      <c r="AF320" t="inlineStr">
        <is>
          <t>https://m.media-amazon.com/images/I/51QhmzOTILL.jpg;https://m.media-amazon.com/images/I/61AXa1qyjgL.jpg;https://m.media-amazon.com/images/I/51mdrHlnxqL.jpg;https://m.media-amazon.com/images/I/61Awmz9CvQL.jpg;https://m.media-amazon.com/images/I/51VJWfq-8aL.jpg;https://m.media-amazon.com/images/I/61Fl8GlUdCL.jpg</t>
        </is>
      </c>
      <c r="AG320"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1">
      <c r="A321" t="inlineStr">
        <is>
          <t>com</t>
        </is>
      </c>
      <c r="B321" t="inlineStr">
        <is>
          <t>B0DDTWRYLZ</t>
        </is>
      </c>
      <c r="C321" t="inlineStr">
        <is>
          <t>PUMA Women's Voltaic EVO Cross Trainer Sneaker, Black-Magic Rose, 7.5</t>
        </is>
      </c>
      <c r="D321" t="n">
        <v>69.53</v>
      </c>
      <c r="E321" t="n">
        <v>69.53</v>
      </c>
      <c r="H321" t="n">
        <v>77.40000000000001</v>
      </c>
      <c r="I321" t="n">
        <v>77.40000000000001</v>
      </c>
      <c r="J321" t="n">
        <v>0</v>
      </c>
      <c r="K321" t="n">
        <v>0</v>
      </c>
      <c r="L321" t="n">
        <v>2</v>
      </c>
      <c r="M321" t="n">
        <v>2</v>
      </c>
      <c r="Q321" t="n">
        <v>-1</v>
      </c>
      <c r="R321" t="n">
        <v>-1</v>
      </c>
      <c r="S321" t="inlineStr">
        <is>
          <t>B0D2NRGT5S</t>
        </is>
      </c>
      <c r="U321" t="n">
        <v>1.7196036</v>
      </c>
      <c r="V321" t="n">
        <v>7.03</v>
      </c>
      <c r="W321" t="n">
        <v>10.43</v>
      </c>
      <c r="X321" t="inlineStr">
        <is>
          <t>197674365426</t>
        </is>
      </c>
      <c r="Y321" t="inlineStr">
        <is>
          <t>30972019</t>
        </is>
      </c>
      <c r="Z321" t="inlineStr">
        <is>
          <t>30972019</t>
        </is>
      </c>
      <c r="AA321" t="inlineStr">
        <is>
          <t>Puma Black-magic Rose</t>
        </is>
      </c>
      <c r="AB321" t="inlineStr">
        <is>
          <t>0197674365426</t>
        </is>
      </c>
      <c r="AC321" t="inlineStr">
        <is>
          <t>Amazon offer is back-ordered</t>
        </is>
      </c>
      <c r="AD321" t="inlineStr">
        <is>
          <t>PUMA</t>
        </is>
      </c>
      <c r="AE321" t="inlineStr">
        <is>
          <t>7.5</t>
        </is>
      </c>
      <c r="AF321" t="inlineStr">
        <is>
          <t>https://m.media-amazon.com/images/I/51QhmzOTILL.jpg;https://m.media-amazon.com/images/I/61AXa1qyjgL.jpg;https://m.media-amazon.com/images/I/51mdrHlnxqL.jpg;https://m.media-amazon.com/images/I/61Awmz9CvQL.jpg;https://m.media-amazon.com/images/I/51VJWfq-8aL.jpg;https://m.media-amazon.com/images/I/61Fl8GlUdCL.jpg</t>
        </is>
      </c>
      <c r="AG321"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2">
      <c r="A322" t="inlineStr">
        <is>
          <t>com</t>
        </is>
      </c>
      <c r="B322" t="inlineStr">
        <is>
          <t>B0DDTV6DCF</t>
        </is>
      </c>
      <c r="C322" t="inlineStr">
        <is>
          <t>PUMA Women's Voltaic EVO Cross Trainer Sneaker, Black-Magic Rose, 8</t>
        </is>
      </c>
      <c r="D322" t="n">
        <v>80</v>
      </c>
      <c r="E322" t="inlineStr"/>
      <c r="H322" t="n">
        <v>80</v>
      </c>
      <c r="I322" t="n">
        <v>80</v>
      </c>
      <c r="J322" t="n">
        <v>0.8</v>
      </c>
      <c r="K322" t="n">
        <v>0.8</v>
      </c>
      <c r="L322" t="n">
        <v>1</v>
      </c>
      <c r="M322" t="n">
        <v>1</v>
      </c>
      <c r="Q322" t="n">
        <v>-1</v>
      </c>
      <c r="R322" t="n">
        <v>-1</v>
      </c>
      <c r="S322" t="inlineStr">
        <is>
          <t>B0D2NRGT5S</t>
        </is>
      </c>
      <c r="U322" t="n">
        <v>1.7196036</v>
      </c>
      <c r="V322" t="n">
        <v>7.03</v>
      </c>
      <c r="W322" t="inlineStr"/>
      <c r="X322" t="inlineStr">
        <is>
          <t>197674365488</t>
        </is>
      </c>
      <c r="Y322" t="inlineStr"/>
      <c r="Z322" t="inlineStr">
        <is>
          <t>30972019</t>
        </is>
      </c>
      <c r="AA322" t="inlineStr">
        <is>
          <t>Puma Black-magic Rose</t>
        </is>
      </c>
      <c r="AB322" t="inlineStr">
        <is>
          <t>0197674365488</t>
        </is>
      </c>
      <c r="AC322" t="inlineStr">
        <is>
          <t>no Amazon offer exists</t>
        </is>
      </c>
      <c r="AD322" t="inlineStr">
        <is>
          <t>PUMA</t>
        </is>
      </c>
      <c r="AE322" t="inlineStr">
        <is>
          <t>8</t>
        </is>
      </c>
      <c r="AF322" t="inlineStr">
        <is>
          <t>https://m.media-amazon.com/images/I/51QhmzOTILL.jpg;https://m.media-amazon.com/images/I/61AXa1qyjgL.jpg;https://m.media-amazon.com/images/I/51mdrHlnxqL.jpg;https://m.media-amazon.com/images/I/61Awmz9CvQL.jpg;https://m.media-amazon.com/images/I/51VJWfq-8aL.jpg;https://m.media-amazon.com/images/I/61Fl8GlUdCL.jpg</t>
        </is>
      </c>
      <c r="AG322"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3">
      <c r="A323" t="inlineStr">
        <is>
          <t>com</t>
        </is>
      </c>
      <c r="B323" t="inlineStr">
        <is>
          <t>B0DDTVSGW8</t>
        </is>
      </c>
      <c r="C323" t="inlineStr">
        <is>
          <t>PUMA Women's Voltaic EVO Cross Trainer Sneaker, Black-Magic Rose, 8.5</t>
        </is>
      </c>
      <c r="D323" t="n">
        <v>80</v>
      </c>
      <c r="E323" t="inlineStr"/>
      <c r="H323" t="n">
        <v>80</v>
      </c>
      <c r="I323" t="n">
        <v>80</v>
      </c>
      <c r="J323" t="n">
        <v>0.8</v>
      </c>
      <c r="K323" t="n">
        <v>0.8</v>
      </c>
      <c r="L323" t="n">
        <v>1</v>
      </c>
      <c r="M323" t="n">
        <v>1</v>
      </c>
      <c r="Q323" t="n">
        <v>-1</v>
      </c>
      <c r="R323" t="n">
        <v>-1</v>
      </c>
      <c r="S323" t="inlineStr">
        <is>
          <t>B0D2NRGT5S</t>
        </is>
      </c>
      <c r="U323" t="n">
        <v>1.67992044</v>
      </c>
      <c r="V323" t="n">
        <v>7.03</v>
      </c>
      <c r="W323" t="inlineStr"/>
      <c r="X323" t="inlineStr">
        <is>
          <t>197674365433</t>
        </is>
      </c>
      <c r="Y323" t="inlineStr"/>
      <c r="Z323" t="inlineStr">
        <is>
          <t>30972019</t>
        </is>
      </c>
      <c r="AA323" t="inlineStr">
        <is>
          <t>Puma Black-magic Rose</t>
        </is>
      </c>
      <c r="AB323" t="inlineStr">
        <is>
          <t>0197674365433</t>
        </is>
      </c>
      <c r="AC323" t="inlineStr">
        <is>
          <t>no Amazon offer exists</t>
        </is>
      </c>
      <c r="AD323" t="inlineStr">
        <is>
          <t>PUMA</t>
        </is>
      </c>
      <c r="AE323" t="inlineStr">
        <is>
          <t>8.5</t>
        </is>
      </c>
      <c r="AF323" t="inlineStr">
        <is>
          <t>https://m.media-amazon.com/images/I/51QhmzOTILL.jpg;https://m.media-amazon.com/images/I/61AXa1qyjgL.jpg;https://m.media-amazon.com/images/I/51mdrHlnxqL.jpg;https://m.media-amazon.com/images/I/61Awmz9CvQL.jpg;https://m.media-amazon.com/images/I/51VJWfq-8aL.jpg;https://m.media-amazon.com/images/I/61Fl8GlUdCL.jpg</t>
        </is>
      </c>
      <c r="AG323"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4">
      <c r="A324" t="inlineStr">
        <is>
          <t>com</t>
        </is>
      </c>
      <c r="B324" t="inlineStr">
        <is>
          <t>B0DDTVVKRW</t>
        </is>
      </c>
      <c r="C324" t="inlineStr">
        <is>
          <t>PUMA Women's Voltaic EVO Cross Trainer Sneaker, Black-Magic Rose, 9</t>
        </is>
      </c>
      <c r="D324" t="n">
        <v>112.34</v>
      </c>
      <c r="E324" t="inlineStr"/>
      <c r="H324" t="n">
        <v>112.34</v>
      </c>
      <c r="I324" t="n">
        <v>112.34</v>
      </c>
      <c r="J324" t="n">
        <v>0.51</v>
      </c>
      <c r="K324" t="n">
        <v>0.89</v>
      </c>
      <c r="L324" t="n">
        <v>1</v>
      </c>
      <c r="M324" t="n">
        <v>1</v>
      </c>
      <c r="Q324" t="n">
        <v>-1</v>
      </c>
      <c r="R324" t="n">
        <v>-1</v>
      </c>
      <c r="S324" t="inlineStr">
        <is>
          <t>B0D2NRGT5S</t>
        </is>
      </c>
      <c r="U324" t="n">
        <v>1.80999302</v>
      </c>
      <c r="V324" t="n">
        <v>7.03</v>
      </c>
      <c r="W324" t="inlineStr"/>
      <c r="X324" t="inlineStr">
        <is>
          <t>197674365495</t>
        </is>
      </c>
      <c r="Y324" t="inlineStr"/>
      <c r="Z324" t="inlineStr">
        <is>
          <t>30972019</t>
        </is>
      </c>
      <c r="AA324" t="inlineStr">
        <is>
          <t>Puma Black-magic Rose</t>
        </is>
      </c>
      <c r="AB324" t="inlineStr">
        <is>
          <t>0197674365495</t>
        </is>
      </c>
      <c r="AC324" t="inlineStr">
        <is>
          <t>no Amazon offer exists</t>
        </is>
      </c>
      <c r="AD324" t="inlineStr">
        <is>
          <t>PUMA</t>
        </is>
      </c>
      <c r="AE324" t="inlineStr">
        <is>
          <t>9</t>
        </is>
      </c>
      <c r="AF324" t="inlineStr">
        <is>
          <t>https://m.media-amazon.com/images/I/51QhmzOTILL.jpg;https://m.media-amazon.com/images/I/61AXa1qyjgL.jpg;https://m.media-amazon.com/images/I/51mdrHlnxqL.jpg;https://m.media-amazon.com/images/I/61Awmz9CvQL.jpg;https://m.media-amazon.com/images/I/51VJWfq-8aL.jpg;https://m.media-amazon.com/images/I/61Fl8GlUdCL.jpg</t>
        </is>
      </c>
      <c r="AG324"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5">
      <c r="A325" t="inlineStr">
        <is>
          <t>com</t>
        </is>
      </c>
      <c r="B325" t="inlineStr">
        <is>
          <t>B0DDTWS7BP</t>
        </is>
      </c>
      <c r="C325" t="inlineStr">
        <is>
          <t>PUMA Women's Voltaic EVO Cross Trainer Sneaker, Black-Magic Rose, 9.5</t>
        </is>
      </c>
      <c r="D325" t="n">
        <v>80</v>
      </c>
      <c r="E325" t="inlineStr"/>
      <c r="H325" t="n">
        <v>80</v>
      </c>
      <c r="I325" t="n">
        <v>80</v>
      </c>
      <c r="J325" t="n">
        <v>0.8</v>
      </c>
      <c r="K325" t="n">
        <v>0.8</v>
      </c>
      <c r="L325" t="n">
        <v>1</v>
      </c>
      <c r="M325" t="n">
        <v>1</v>
      </c>
      <c r="Q325" t="n">
        <v>-1</v>
      </c>
      <c r="R325" t="n">
        <v>-1</v>
      </c>
      <c r="S325" t="inlineStr">
        <is>
          <t>B0D2NRGT5S</t>
        </is>
      </c>
      <c r="U325" t="n">
        <v>1.9400656</v>
      </c>
      <c r="V325" t="n">
        <v>7.62</v>
      </c>
      <c r="W325" t="inlineStr"/>
      <c r="X325" t="inlineStr">
        <is>
          <t>197674365440</t>
        </is>
      </c>
      <c r="Y325" t="inlineStr"/>
      <c r="Z325" t="inlineStr">
        <is>
          <t>30972019</t>
        </is>
      </c>
      <c r="AA325" t="inlineStr">
        <is>
          <t>Puma Black-magic Rose</t>
        </is>
      </c>
      <c r="AB325" t="inlineStr">
        <is>
          <t>0197674365440</t>
        </is>
      </c>
      <c r="AC325" t="inlineStr">
        <is>
          <t>no Amazon offer exists</t>
        </is>
      </c>
      <c r="AD325" t="inlineStr">
        <is>
          <t>PUMA</t>
        </is>
      </c>
      <c r="AE325" t="inlineStr">
        <is>
          <t>9.5</t>
        </is>
      </c>
      <c r="AF325" t="inlineStr">
        <is>
          <t>https://m.media-amazon.com/images/I/51QhmzOTILL.jpg;https://m.media-amazon.com/images/I/61AXa1qyjgL.jpg;https://m.media-amazon.com/images/I/51mdrHlnxqL.jpg;https://m.media-amazon.com/images/I/61Awmz9CvQL.jpg;https://m.media-amazon.com/images/I/51VJWfq-8aL.jpg;https://m.media-amazon.com/images/I/61Fl8GlUdCL.jpg</t>
        </is>
      </c>
      <c r="AG325"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6">
      <c r="A326" t="inlineStr">
        <is>
          <t>com</t>
        </is>
      </c>
      <c r="B326" t="inlineStr">
        <is>
          <t>B0DDTW3TJC</t>
        </is>
      </c>
      <c r="C326" t="inlineStr">
        <is>
          <t>PUMA Women's Voltaic EVO Cross Trainer Sneaker, Black-Magic Rose, 10</t>
        </is>
      </c>
      <c r="D326" t="n">
        <v>80</v>
      </c>
      <c r="E326" t="inlineStr"/>
      <c r="H326" t="n">
        <v>80</v>
      </c>
      <c r="I326" t="n">
        <v>80</v>
      </c>
      <c r="J326" t="n">
        <v>0.43</v>
      </c>
      <c r="K326" t="n">
        <v>0.43</v>
      </c>
      <c r="L326" t="n">
        <v>1</v>
      </c>
      <c r="M326" t="n">
        <v>1</v>
      </c>
      <c r="Q326" t="n">
        <v>-1</v>
      </c>
      <c r="R326" t="n">
        <v>-1</v>
      </c>
      <c r="S326" t="inlineStr">
        <is>
          <t>B0D2NRGT5S</t>
        </is>
      </c>
      <c r="U326" t="n">
        <v>1.9400656</v>
      </c>
      <c r="V326" t="n">
        <v>7.78</v>
      </c>
      <c r="W326" t="inlineStr"/>
      <c r="X326" t="inlineStr">
        <is>
          <t>197674365501</t>
        </is>
      </c>
      <c r="Y326" t="inlineStr">
        <is>
          <t>30972019</t>
        </is>
      </c>
      <c r="Z326" t="inlineStr">
        <is>
          <t>30972019</t>
        </is>
      </c>
      <c r="AA326" t="inlineStr">
        <is>
          <t>Puma Black-magic Rose</t>
        </is>
      </c>
      <c r="AB326" t="inlineStr">
        <is>
          <t>0197674365501</t>
        </is>
      </c>
      <c r="AC326" t="inlineStr">
        <is>
          <t>no Amazon offer exists</t>
        </is>
      </c>
      <c r="AD326" t="inlineStr">
        <is>
          <t>PUMA</t>
        </is>
      </c>
      <c r="AE326" t="inlineStr">
        <is>
          <t>10</t>
        </is>
      </c>
      <c r="AF326" t="inlineStr">
        <is>
          <t>https://m.media-amazon.com/images/I/51QhmzOTILL.jpg;https://m.media-amazon.com/images/I/61AXa1qyjgL.jpg;https://m.media-amazon.com/images/I/51mdrHlnxqL.jpg;https://m.media-amazon.com/images/I/61Awmz9CvQL.jpg;https://m.media-amazon.com/images/I/51VJWfq-8aL.jpg;https://m.media-amazon.com/images/I/61Fl8GlUdCL.jpg</t>
        </is>
      </c>
      <c r="AG326" t="inlineStr">
        <is>
          <t>Description
The all-new Voltaic Evo is a dynamic new model in PUMA’s Viz tech range. The Voltaic features our 10 Cell technology that provides the wearer with comfort, as well as a TPU shank that supplies stability. The outsole is designed with full length rubber coverage for ultimate traction. Moving to the upper you will find a TPU toe cap for supreme durability, and a cage overlay detail that supplies a unique lacing construction. The Voltaic Evo represents a fresh take on PUMA’s fast Viz Tech design language.</t>
        </is>
      </c>
    </row>
    <row r="327">
      <c r="A327" t="inlineStr">
        <is>
          <t>com</t>
        </is>
      </c>
      <c r="B327" t="inlineStr">
        <is>
          <t>B0DDTW8QY7</t>
        </is>
      </c>
      <c r="C327" t="inlineStr">
        <is>
          <t>PUMA Women's Voltaic EVO Cross Trainer Sneaker, Black-Magic Rose, 11</t>
        </is>
      </c>
      <c r="D327" t="inlineStr"/>
      <c r="E327" t="inlineStr"/>
      <c r="H327" t="inlineStr"/>
      <c r="I327" t="inlineStr"/>
      <c r="J327" t="n">
        <v>1</v>
      </c>
      <c r="K327" t="n">
        <v>1</v>
      </c>
      <c r="Q327" t="n">
        <v>-1</v>
      </c>
      <c r="R327" t="n">
        <v>-1</v>
      </c>
      <c r="S327" t="inlineStr">
        <is>
          <t>B0CLQ68V62</t>
        </is>
      </c>
      <c r="U327" t="n">
        <v>2.01061344</v>
      </c>
      <c r="V327" t="n">
        <v>7.7</v>
      </c>
      <c r="W327" t="inlineStr"/>
      <c r="X327" t="inlineStr">
        <is>
          <t>197674365518</t>
        </is>
      </c>
      <c r="Y327" t="inlineStr"/>
      <c r="Z327" t="inlineStr">
        <is>
          <t>30972019</t>
        </is>
      </c>
      <c r="AA327" t="inlineStr">
        <is>
          <t>Puma Black-magic Rose</t>
        </is>
      </c>
      <c r="AB327" t="inlineStr">
        <is>
          <t>0197674365518</t>
        </is>
      </c>
      <c r="AC327" t="inlineStr">
        <is>
          <t>no Amazon offer exists</t>
        </is>
      </c>
      <c r="AD327" t="inlineStr">
        <is>
          <t>PUMA</t>
        </is>
      </c>
      <c r="AE327" t="inlineStr">
        <is>
          <t>11</t>
        </is>
      </c>
      <c r="AF327" t="inlineStr">
        <is>
          <t>https://m.media-amazon.com/images/I/61TZ92LYQyL.jpg</t>
        </is>
      </c>
      <c r="AG327" t="inlineStr"/>
    </row>
    <row r="328">
      <c r="A328" t="inlineStr">
        <is>
          <t>com</t>
        </is>
      </c>
      <c r="B328" t="inlineStr">
        <is>
          <t>B0CS58NSKB</t>
        </is>
      </c>
      <c r="C328" t="inlineStr">
        <is>
          <t>Puma Womens Starla 2 Sneakers Shoes Casual - White - Size 5.5 M, 37925101</t>
        </is>
      </c>
      <c r="D328" t="n">
        <v>39.95</v>
      </c>
      <c r="E328" t="n">
        <v>39.95</v>
      </c>
      <c r="F328" t="n">
        <v>1685486</v>
      </c>
      <c r="G328" t="n">
        <v>1711693</v>
      </c>
      <c r="H328" t="n">
        <v>45.88</v>
      </c>
      <c r="I328" t="n">
        <v>45.88</v>
      </c>
      <c r="J328" t="n">
        <v>0.07000000000000001</v>
      </c>
      <c r="K328" t="n">
        <v>1</v>
      </c>
      <c r="L328" t="n">
        <v>2</v>
      </c>
      <c r="M328" t="n">
        <v>2</v>
      </c>
      <c r="O328" t="n">
        <v>0</v>
      </c>
      <c r="Q328" t="n">
        <v>4</v>
      </c>
      <c r="R328" t="n">
        <v>10</v>
      </c>
      <c r="S328" t="inlineStr">
        <is>
          <t>B0D8P6Y9GD</t>
        </is>
      </c>
      <c r="V328" t="inlineStr"/>
      <c r="W328" t="inlineStr"/>
      <c r="X328" t="inlineStr">
        <is>
          <t>196858049268</t>
        </is>
      </c>
      <c r="Y328" t="inlineStr">
        <is>
          <t>37925101</t>
        </is>
      </c>
      <c r="Z328" t="inlineStr">
        <is>
          <t>37925101</t>
        </is>
      </c>
      <c r="AA328" t="inlineStr">
        <is>
          <t>Alpine Snow-puma White-rose Gold-gum</t>
        </is>
      </c>
      <c r="AB328" t="inlineStr">
        <is>
          <t>0196858049268</t>
        </is>
      </c>
      <c r="AC328" t="inlineStr">
        <is>
          <t>no Amazon offer exists</t>
        </is>
      </c>
      <c r="AD328" t="inlineStr">
        <is>
          <t>PUMA</t>
        </is>
      </c>
      <c r="AE328" t="inlineStr">
        <is>
          <t>5.5</t>
        </is>
      </c>
      <c r="AF328" t="inlineStr">
        <is>
          <t>https://m.media-amazon.com/images/I/510SPKNIcyL.jpg;https://m.media-amazon.com/images/I/51YRwuzsc1L.jpg;https://m.media-amazon.com/images/I/51GRTdV1i-L.jpg;https://m.media-amazon.com/images/I/411g3JHs9RL.jpg;https://m.media-amazon.com/images/I/51ok1lqxxJL.jpg;https://m.media-amazon.com/images/I/61KtwlbHIQL.jpg</t>
        </is>
      </c>
      <c r="AG328" t="inlineStr">
        <is>
          <t>Description
The Starla 2 Brings Cool Style To Your Favorite Workout Fit, Perfect For Practicing For Your Personal Best. These Sneakers Sport An Embroidered Puma Cat Logo On The Toe For An Additional Pop Of Cool.</t>
        </is>
      </c>
    </row>
    <row r="329">
      <c r="A329" t="inlineStr">
        <is>
          <t>com</t>
        </is>
      </c>
      <c r="B329" t="inlineStr">
        <is>
          <t>B0CS92QNJC</t>
        </is>
      </c>
      <c r="C329" t="inlineStr">
        <is>
          <t>PUMA Womens Starla 2 Lace Up Sneakers Shoes Casual - Beige - Size 6 M</t>
        </is>
      </c>
      <c r="D329" t="n">
        <v>39.95</v>
      </c>
      <c r="E329" t="n">
        <v>39.95</v>
      </c>
      <c r="F329" t="n">
        <v>1685486</v>
      </c>
      <c r="G329" t="n">
        <v>1610823</v>
      </c>
      <c r="H329" t="n">
        <v>47.47</v>
      </c>
      <c r="I329" t="n">
        <v>48.75</v>
      </c>
      <c r="J329" t="n">
        <v>0</v>
      </c>
      <c r="K329" t="n">
        <v>1</v>
      </c>
      <c r="L329" t="n">
        <v>2</v>
      </c>
      <c r="M329" t="n">
        <v>2</v>
      </c>
      <c r="O329" t="n">
        <v>0</v>
      </c>
      <c r="Q329" t="n">
        <v>4</v>
      </c>
      <c r="R329" t="n">
        <v>7</v>
      </c>
      <c r="S329" t="inlineStr">
        <is>
          <t>B0D8P6Y9GD</t>
        </is>
      </c>
      <c r="V329" t="inlineStr"/>
      <c r="W329" t="inlineStr"/>
      <c r="X329" t="inlineStr">
        <is>
          <t>196858049275</t>
        </is>
      </c>
      <c r="Y329" t="inlineStr">
        <is>
          <t>37925101</t>
        </is>
      </c>
      <c r="Z329" t="inlineStr">
        <is>
          <t>37925101</t>
        </is>
      </c>
      <c r="AA329" t="inlineStr">
        <is>
          <t>Alpine Snow-puma White-rose Gold-gum</t>
        </is>
      </c>
      <c r="AB329" t="inlineStr">
        <is>
          <t>0196858049275</t>
        </is>
      </c>
      <c r="AC329" t="inlineStr">
        <is>
          <t>no Amazon offer exists</t>
        </is>
      </c>
      <c r="AD329" t="inlineStr">
        <is>
          <t>PUMA</t>
        </is>
      </c>
      <c r="AE329" t="inlineStr">
        <is>
          <t>6</t>
        </is>
      </c>
      <c r="AF329" t="inlineStr">
        <is>
          <t>https://m.media-amazon.com/images/I/510SPKNIcyL.jpg;https://m.media-amazon.com/images/I/51YRwuzsc1L.jpg;https://m.media-amazon.com/images/I/51GRTdV1i-L.jpg;https://m.media-amazon.com/images/I/411g3JHs9RL.jpg;https://m.media-amazon.com/images/I/51ok1lqxxJL.jpg;https://m.media-amazon.com/images/I/61KtwlbHIQL.jpg</t>
        </is>
      </c>
      <c r="AG329" t="inlineStr">
        <is>
          <t>Description
The Starla 2 Brings Cool Style To Your Favorite Workout Fit, Perfect For Practicing For Your Personal Best. These Sneakers Sport An Embroidered Puma Cat Logo On The Toe For An Additional Pop Of Cool.</t>
        </is>
      </c>
    </row>
    <row r="330">
      <c r="A330" t="inlineStr">
        <is>
          <t>com</t>
        </is>
      </c>
      <c r="B330" t="inlineStr">
        <is>
          <t>B0CR1X5B26</t>
        </is>
      </c>
      <c r="C330" t="inlineStr">
        <is>
          <t>PUMA Womens Starla 2 Lace Up Sneakers Shoes Casual - Beige - Size 6.5 M, 37925101</t>
        </is>
      </c>
      <c r="D330" t="n">
        <v>39.95</v>
      </c>
      <c r="E330" t="n">
        <v>39.95</v>
      </c>
      <c r="F330" t="n">
        <v>1685486</v>
      </c>
      <c r="G330" t="n">
        <v>1817492</v>
      </c>
      <c r="H330" t="n">
        <v>47.51</v>
      </c>
      <c r="I330" t="n">
        <v>48.77</v>
      </c>
      <c r="J330" t="n">
        <v>0</v>
      </c>
      <c r="K330" t="n">
        <v>1</v>
      </c>
      <c r="L330" t="n">
        <v>1</v>
      </c>
      <c r="M330" t="n">
        <v>2</v>
      </c>
      <c r="O330" t="n">
        <v>0</v>
      </c>
      <c r="Q330" t="n">
        <v>4</v>
      </c>
      <c r="R330" t="n">
        <v>10</v>
      </c>
      <c r="S330" t="inlineStr">
        <is>
          <t>B0D8P6Y9GD</t>
        </is>
      </c>
      <c r="V330" t="inlineStr"/>
      <c r="W330" t="inlineStr"/>
      <c r="X330" t="inlineStr">
        <is>
          <t>196858049282</t>
        </is>
      </c>
      <c r="Y330" t="inlineStr">
        <is>
          <t>37925101</t>
        </is>
      </c>
      <c r="Z330" t="inlineStr">
        <is>
          <t>37925101</t>
        </is>
      </c>
      <c r="AA330" t="inlineStr">
        <is>
          <t>Alpine Snow-puma White-rose Gold-gum</t>
        </is>
      </c>
      <c r="AB330" t="inlineStr">
        <is>
          <t>0196858049282</t>
        </is>
      </c>
      <c r="AC330" t="inlineStr">
        <is>
          <t>no Amazon offer exists</t>
        </is>
      </c>
      <c r="AD330" t="inlineStr">
        <is>
          <t>Puma</t>
        </is>
      </c>
      <c r="AE330" t="inlineStr">
        <is>
          <t>6.5</t>
        </is>
      </c>
      <c r="AF330" t="inlineStr">
        <is>
          <t>https://m.media-amazon.com/images/I/510SPKNIcyL.jpg;https://m.media-amazon.com/images/I/51YRwuzsc1L.jpg;https://m.media-amazon.com/images/I/51GRTdV1i-L.jpg;https://m.media-amazon.com/images/I/411g3JHs9RL.jpg;https://m.media-amazon.com/images/I/51ok1lqxxJL.jpg;https://m.media-amazon.com/images/I/61KtwlbHIQL.jpg</t>
        </is>
      </c>
      <c r="AG330" t="inlineStr">
        <is>
          <t>Description
The Starla 2 Brings Cool Style To Your Favorite Workout Fit, Perfect For Practicing For Your Personal Best. These Sneakers Sport An Embroidered Puma Cat Logo On The Toe For An Additional Pop Of Cool.</t>
        </is>
      </c>
    </row>
    <row r="331">
      <c r="A331" t="inlineStr">
        <is>
          <t>com</t>
        </is>
      </c>
      <c r="B331" t="inlineStr">
        <is>
          <t>B0CR1VWXYG</t>
        </is>
      </c>
      <c r="C331" t="inlineStr">
        <is>
          <t>PUMA Womens Starla 2 Lace Up Sneakers Shoes Casual - Beige - Size 7 M</t>
        </is>
      </c>
      <c r="D331" t="n">
        <v>39.95</v>
      </c>
      <c r="E331" t="n">
        <v>39.95</v>
      </c>
      <c r="F331" t="n">
        <v>1685486</v>
      </c>
      <c r="G331" t="n">
        <v>1740521</v>
      </c>
      <c r="H331" t="n">
        <v>47.5</v>
      </c>
      <c r="I331" t="n">
        <v>48.51</v>
      </c>
      <c r="J331" t="n">
        <v>0</v>
      </c>
      <c r="K331" t="n">
        <v>1</v>
      </c>
      <c r="L331" t="n">
        <v>1</v>
      </c>
      <c r="M331" t="n">
        <v>2</v>
      </c>
      <c r="O331" t="n">
        <v>0</v>
      </c>
      <c r="Q331" t="n">
        <v>4</v>
      </c>
      <c r="R331" t="n">
        <v>10</v>
      </c>
      <c r="S331" t="inlineStr">
        <is>
          <t>B0D8P6Y9GD</t>
        </is>
      </c>
      <c r="V331" t="inlineStr"/>
      <c r="W331" t="inlineStr"/>
      <c r="X331" t="inlineStr">
        <is>
          <t>196858049299</t>
        </is>
      </c>
      <c r="Y331" t="inlineStr">
        <is>
          <t>37925101</t>
        </is>
      </c>
      <c r="Z331" t="inlineStr">
        <is>
          <t>37925101</t>
        </is>
      </c>
      <c r="AA331" t="inlineStr">
        <is>
          <t>Alpine Snow-puma White-rose Gold-gum</t>
        </is>
      </c>
      <c r="AB331" t="inlineStr">
        <is>
          <t>0196858049299</t>
        </is>
      </c>
      <c r="AC331" t="inlineStr">
        <is>
          <t>no Amazon offer exists</t>
        </is>
      </c>
      <c r="AD331" t="inlineStr">
        <is>
          <t>Puma</t>
        </is>
      </c>
      <c r="AE331" t="inlineStr">
        <is>
          <t>7</t>
        </is>
      </c>
      <c r="AF331" t="inlineStr">
        <is>
          <t>https://m.media-amazon.com/images/I/510SPKNIcyL.jpg;https://m.media-amazon.com/images/I/51YRwuzsc1L.jpg;https://m.media-amazon.com/images/I/51GRTdV1i-L.jpg;https://m.media-amazon.com/images/I/411g3JHs9RL.jpg;https://m.media-amazon.com/images/I/51ok1lqxxJL.jpg;https://m.media-amazon.com/images/I/61KtwlbHIQL.jpg</t>
        </is>
      </c>
      <c r="AG331" t="inlineStr">
        <is>
          <t>Description
The Starla 2 Brings Cool Style To Your Favorite Workout Fit, Perfect For Practicing For Your Personal Best. These Sneakers Sport An Embroidered Puma Cat Logo On The Toe For An Additional Pop Of Cool.</t>
        </is>
      </c>
    </row>
    <row r="332">
      <c r="A332" t="inlineStr">
        <is>
          <t>com</t>
        </is>
      </c>
      <c r="B332" t="inlineStr">
        <is>
          <t>B0CR1XCGFD</t>
        </is>
      </c>
      <c r="C332" t="inlineStr">
        <is>
          <t>PUMA Womens Starla 2 Lace Up Sneakers Shoes Casual - Beige - Size 7.5 M, 37925101</t>
        </is>
      </c>
      <c r="D332" t="n">
        <v>39.95</v>
      </c>
      <c r="E332" t="n">
        <v>39.95</v>
      </c>
      <c r="F332" t="n">
        <v>1648017</v>
      </c>
      <c r="G332" t="n">
        <v>1716165</v>
      </c>
      <c r="H332" t="n">
        <v>44.96</v>
      </c>
      <c r="I332" t="n">
        <v>44.96</v>
      </c>
      <c r="J332" t="n">
        <v>0</v>
      </c>
      <c r="K332" t="n">
        <v>1</v>
      </c>
      <c r="L332" t="n">
        <v>1</v>
      </c>
      <c r="M332" t="n">
        <v>2</v>
      </c>
      <c r="O332" t="n">
        <v>0</v>
      </c>
      <c r="Q332" t="n">
        <v>4</v>
      </c>
      <c r="R332" t="n">
        <v>10</v>
      </c>
      <c r="S332" t="inlineStr">
        <is>
          <t>B0D8P6Y9GD</t>
        </is>
      </c>
      <c r="V332" t="inlineStr"/>
      <c r="W332" t="inlineStr"/>
      <c r="X332" t="inlineStr">
        <is>
          <t>196858049305</t>
        </is>
      </c>
      <c r="Y332" t="inlineStr">
        <is>
          <t>37925101</t>
        </is>
      </c>
      <c r="Z332" t="inlineStr">
        <is>
          <t>37925101</t>
        </is>
      </c>
      <c r="AA332" t="inlineStr">
        <is>
          <t>Alpine Snow-puma White-rose Gold-gum</t>
        </is>
      </c>
      <c r="AB332" t="inlineStr">
        <is>
          <t>0196858049305</t>
        </is>
      </c>
      <c r="AC332" t="inlineStr">
        <is>
          <t>no Amazon offer exists</t>
        </is>
      </c>
      <c r="AD332" t="inlineStr">
        <is>
          <t>Puma</t>
        </is>
      </c>
      <c r="AE332" t="inlineStr">
        <is>
          <t>7.5</t>
        </is>
      </c>
      <c r="AF332" t="inlineStr">
        <is>
          <t>https://m.media-amazon.com/images/I/510SPKNIcyL.jpg;https://m.media-amazon.com/images/I/51YRwuzsc1L.jpg;https://m.media-amazon.com/images/I/51GRTdV1i-L.jpg;https://m.media-amazon.com/images/I/411g3JHs9RL.jpg;https://m.media-amazon.com/images/I/51ok1lqxxJL.jpg;https://m.media-amazon.com/images/I/61KtwlbHIQL.jpg</t>
        </is>
      </c>
      <c r="AG332" t="inlineStr">
        <is>
          <t>Description
The Starla 2 Brings Cool Style To Your Favorite Workout Fit, Perfect For Practicing For Your Personal Best. These Sneakers Sport An Embroidered Puma Cat Logo On The Toe For An Additional Pop Of Cool.</t>
        </is>
      </c>
    </row>
    <row r="333">
      <c r="A333" t="inlineStr">
        <is>
          <t>com</t>
        </is>
      </c>
      <c r="B333" t="inlineStr">
        <is>
          <t>B0CR1XGSB2</t>
        </is>
      </c>
      <c r="C333" t="inlineStr">
        <is>
          <t>PUMA Womens Starla 2 Lace Up Sneakers Shoes Casual - Beige - Size 8 M, 37925101</t>
        </is>
      </c>
      <c r="D333" t="n">
        <v>39.95</v>
      </c>
      <c r="E333" t="n">
        <v>39.95</v>
      </c>
      <c r="F333" t="n">
        <v>1685486</v>
      </c>
      <c r="G333" t="n">
        <v>2122254</v>
      </c>
      <c r="H333" t="n">
        <v>47.47</v>
      </c>
      <c r="I333" t="n">
        <v>48.75</v>
      </c>
      <c r="J333" t="n">
        <v>0</v>
      </c>
      <c r="K333" t="n">
        <v>1</v>
      </c>
      <c r="L333" t="n">
        <v>1</v>
      </c>
      <c r="M333" t="n">
        <v>2</v>
      </c>
      <c r="O333" t="n">
        <v>0</v>
      </c>
      <c r="Q333" t="n">
        <v>4</v>
      </c>
      <c r="R333" t="n">
        <v>11</v>
      </c>
      <c r="S333" t="inlineStr">
        <is>
          <t>B0D8P6Y9GD</t>
        </is>
      </c>
      <c r="V333" t="inlineStr"/>
      <c r="W333" t="inlineStr"/>
      <c r="X333" t="inlineStr">
        <is>
          <t>196858049312</t>
        </is>
      </c>
      <c r="Y333" t="inlineStr">
        <is>
          <t>37925101</t>
        </is>
      </c>
      <c r="Z333" t="inlineStr">
        <is>
          <t>37925101</t>
        </is>
      </c>
      <c r="AA333" t="inlineStr">
        <is>
          <t>Alpine Snow-puma White-rose Gold-gum</t>
        </is>
      </c>
      <c r="AB333" t="inlineStr">
        <is>
          <t>0196858049312</t>
        </is>
      </c>
      <c r="AC333" t="inlineStr">
        <is>
          <t>no Amazon offer exists</t>
        </is>
      </c>
      <c r="AD333" t="inlineStr">
        <is>
          <t>Puma</t>
        </is>
      </c>
      <c r="AE333" t="inlineStr">
        <is>
          <t>8</t>
        </is>
      </c>
      <c r="AF333" t="inlineStr">
        <is>
          <t>https://m.media-amazon.com/images/I/510SPKNIcyL.jpg;https://m.media-amazon.com/images/I/51YRwuzsc1L.jpg;https://m.media-amazon.com/images/I/51GRTdV1i-L.jpg;https://m.media-amazon.com/images/I/411g3JHs9RL.jpg;https://m.media-amazon.com/images/I/51ok1lqxxJL.jpg;https://m.media-amazon.com/images/I/61KtwlbHIQL.jpg</t>
        </is>
      </c>
      <c r="AG333" t="inlineStr">
        <is>
          <t>Description
The Starla 2 Brings Cool Style To Your Favorite Workout Fit, Perfect For Practicing For Your Personal Best. These Sneakers Sport An Embroidered Puma Cat Logo On The Toe For An Additional Pop Of Cool.</t>
        </is>
      </c>
    </row>
    <row r="334">
      <c r="A334" t="inlineStr">
        <is>
          <t>com</t>
        </is>
      </c>
      <c r="B334" t="inlineStr">
        <is>
          <t>B0CR1YDLDR</t>
        </is>
      </c>
      <c r="C334" t="inlineStr">
        <is>
          <t>PUMA Womens Starla 2 Lace Up Sneakers Shoes Casual - Beige - Size 8.5 M, 37925101</t>
        </is>
      </c>
      <c r="D334" t="n">
        <v>39.95</v>
      </c>
      <c r="E334" t="n">
        <v>39.95</v>
      </c>
      <c r="F334" t="n">
        <v>1685486</v>
      </c>
      <c r="G334" t="n">
        <v>1737131</v>
      </c>
      <c r="H334" t="n">
        <v>47.5</v>
      </c>
      <c r="I334" t="n">
        <v>48.28</v>
      </c>
      <c r="J334" t="n">
        <v>0</v>
      </c>
      <c r="K334" t="n">
        <v>1</v>
      </c>
      <c r="L334" t="n">
        <v>1</v>
      </c>
      <c r="M334" t="n">
        <v>2</v>
      </c>
      <c r="O334" t="n">
        <v>0</v>
      </c>
      <c r="Q334" t="n">
        <v>4</v>
      </c>
      <c r="R334" t="n">
        <v>10</v>
      </c>
      <c r="S334" t="inlineStr">
        <is>
          <t>B0D8P6Y9GD</t>
        </is>
      </c>
      <c r="V334" t="inlineStr"/>
      <c r="W334" t="inlineStr"/>
      <c r="X334" t="inlineStr">
        <is>
          <t>196858049329</t>
        </is>
      </c>
      <c r="Y334" t="inlineStr">
        <is>
          <t>37925101</t>
        </is>
      </c>
      <c r="Z334" t="inlineStr">
        <is>
          <t>37925101</t>
        </is>
      </c>
      <c r="AA334" t="inlineStr">
        <is>
          <t>Alpine Snow-puma White-rose Gold-gum</t>
        </is>
      </c>
      <c r="AB334" t="inlineStr">
        <is>
          <t>0196858049329</t>
        </is>
      </c>
      <c r="AC334" t="inlineStr">
        <is>
          <t>no Amazon offer exists</t>
        </is>
      </c>
      <c r="AD334" t="inlineStr">
        <is>
          <t>PUMA</t>
        </is>
      </c>
      <c r="AE334" t="inlineStr">
        <is>
          <t>8.5</t>
        </is>
      </c>
      <c r="AF334" t="inlineStr">
        <is>
          <t>https://m.media-amazon.com/images/I/510SPKNIcyL.jpg;https://m.media-amazon.com/images/I/51YRwuzsc1L.jpg;https://m.media-amazon.com/images/I/51GRTdV1i-L.jpg;https://m.media-amazon.com/images/I/411g3JHs9RL.jpg;https://m.media-amazon.com/images/I/51ok1lqxxJL.jpg;https://m.media-amazon.com/images/I/61KtwlbHIQL.jpg</t>
        </is>
      </c>
      <c r="AG334" t="inlineStr">
        <is>
          <t>Description
The Starla 2 Brings Cool Style To Your Favorite Workout Fit, Perfect For Practicing For Your Personal Best. These Sneakers Sport An Embroidered Puma Cat Logo On The Toe For An Additional Pop Of Cool.</t>
        </is>
      </c>
    </row>
    <row r="335">
      <c r="A335" t="inlineStr">
        <is>
          <t>com</t>
        </is>
      </c>
      <c r="B335" t="inlineStr">
        <is>
          <t>B0CT9VZB54</t>
        </is>
      </c>
      <c r="C335" t="inlineStr">
        <is>
          <t>PUMA Womens Starla 2 Lace Up Sneakers Shoes Casual - Beige - Size 9 M, 37925101</t>
        </is>
      </c>
      <c r="D335" t="n">
        <v>39.95</v>
      </c>
      <c r="E335" t="n">
        <v>39.95</v>
      </c>
      <c r="F335" t="n">
        <v>1685486</v>
      </c>
      <c r="G335" t="n">
        <v>1813460</v>
      </c>
      <c r="H335" t="n">
        <v>47.51</v>
      </c>
      <c r="I335" t="n">
        <v>48.76</v>
      </c>
      <c r="J335" t="n">
        <v>0</v>
      </c>
      <c r="K335" t="n">
        <v>1</v>
      </c>
      <c r="L335" t="n">
        <v>1</v>
      </c>
      <c r="M335" t="n">
        <v>2</v>
      </c>
      <c r="O335" t="n">
        <v>0</v>
      </c>
      <c r="Q335" t="n">
        <v>4</v>
      </c>
      <c r="R335" t="n">
        <v>10</v>
      </c>
      <c r="S335" t="inlineStr">
        <is>
          <t>B0D8P6Y9GD</t>
        </is>
      </c>
      <c r="V335" t="inlineStr"/>
      <c r="W335" t="inlineStr"/>
      <c r="X335" t="inlineStr">
        <is>
          <t>196858049336</t>
        </is>
      </c>
      <c r="Y335" t="inlineStr">
        <is>
          <t>37925101</t>
        </is>
      </c>
      <c r="Z335" t="inlineStr">
        <is>
          <t>37925101</t>
        </is>
      </c>
      <c r="AA335" t="inlineStr">
        <is>
          <t>Alpine Snow-puma White-rose Gold-gum</t>
        </is>
      </c>
      <c r="AB335" t="inlineStr">
        <is>
          <t>0196858049336</t>
        </is>
      </c>
      <c r="AC335" t="inlineStr">
        <is>
          <t>no Amazon offer exists</t>
        </is>
      </c>
      <c r="AD335" t="inlineStr">
        <is>
          <t>Puma</t>
        </is>
      </c>
      <c r="AE335" t="inlineStr">
        <is>
          <t>9</t>
        </is>
      </c>
      <c r="AF335" t="inlineStr">
        <is>
          <t>https://m.media-amazon.com/images/I/510SPKNIcyL.jpg;https://m.media-amazon.com/images/I/51YRwuzsc1L.jpg;https://m.media-amazon.com/images/I/51GRTdV1i-L.jpg;https://m.media-amazon.com/images/I/411g3JHs9RL.jpg;https://m.media-amazon.com/images/I/51ok1lqxxJL.jpg;https://m.media-amazon.com/images/I/61KtwlbHIQL.jpg</t>
        </is>
      </c>
      <c r="AG335" t="inlineStr">
        <is>
          <t>Description
The Starla 2 Brings Cool Style To Your Favorite Workout Fit, Perfect For Practicing For Your Personal Best. These Sneakers Sport An Embroidered Puma Cat Logo On The Toe For An Additional Pop Of Cool.</t>
        </is>
      </c>
    </row>
    <row r="336">
      <c r="A336" t="inlineStr">
        <is>
          <t>com</t>
        </is>
      </c>
      <c r="B336" t="inlineStr">
        <is>
          <t>B0CSDYVHTZ</t>
        </is>
      </c>
      <c r="C336" t="inlineStr">
        <is>
          <t>PUMA Womens Starla 2 Lace Up Sneakers Shoes Casual - Beige - Size 9.5 M</t>
        </is>
      </c>
      <c r="D336" t="n">
        <v>39.95</v>
      </c>
      <c r="E336" t="n">
        <v>39.95</v>
      </c>
      <c r="F336" t="n">
        <v>1685486</v>
      </c>
      <c r="G336" t="n">
        <v>1737811</v>
      </c>
      <c r="H336" t="n">
        <v>47.53</v>
      </c>
      <c r="I336" t="n">
        <v>47.68</v>
      </c>
      <c r="J336" t="n">
        <v>0</v>
      </c>
      <c r="K336" t="n">
        <v>1</v>
      </c>
      <c r="L336" t="n">
        <v>1</v>
      </c>
      <c r="M336" t="n">
        <v>2</v>
      </c>
      <c r="O336" t="n">
        <v>0</v>
      </c>
      <c r="Q336" t="n">
        <v>4</v>
      </c>
      <c r="R336" t="n">
        <v>10</v>
      </c>
      <c r="S336" t="inlineStr">
        <is>
          <t>B0D8P6Y9GD</t>
        </is>
      </c>
      <c r="V336" t="inlineStr"/>
      <c r="W336" t="inlineStr"/>
      <c r="X336" t="inlineStr">
        <is>
          <t>196858049343</t>
        </is>
      </c>
      <c r="Y336" t="inlineStr">
        <is>
          <t>37925101</t>
        </is>
      </c>
      <c r="Z336" t="inlineStr">
        <is>
          <t>37925101</t>
        </is>
      </c>
      <c r="AA336" t="inlineStr">
        <is>
          <t>Alpine Snow-puma White-rose Gold-gum</t>
        </is>
      </c>
      <c r="AB336" t="inlineStr">
        <is>
          <t>0196858049343</t>
        </is>
      </c>
      <c r="AC336" t="inlineStr">
        <is>
          <t>no Amazon offer exists</t>
        </is>
      </c>
      <c r="AD336" t="inlineStr">
        <is>
          <t>Puma</t>
        </is>
      </c>
      <c r="AE336" t="inlineStr">
        <is>
          <t>9.5</t>
        </is>
      </c>
      <c r="AF336" t="inlineStr">
        <is>
          <t>https://m.media-amazon.com/images/I/510SPKNIcyL.jpg;https://m.media-amazon.com/images/I/51YRwuzsc1L.jpg;https://m.media-amazon.com/images/I/51GRTdV1i-L.jpg;https://m.media-amazon.com/images/I/411g3JHs9RL.jpg;https://m.media-amazon.com/images/I/51ok1lqxxJL.jpg;https://m.media-amazon.com/images/I/61KtwlbHIQL.jpg</t>
        </is>
      </c>
      <c r="AG336" t="inlineStr">
        <is>
          <t>Description
The Starla 2 Brings Cool Style To Your Favorite Workout Fit, Perfect For Practicing For Your Personal Best. These Sneakers Sport An Embroidered Puma Cat Logo On The Toe For An Additional Pop Of Cool.</t>
        </is>
      </c>
    </row>
    <row r="337">
      <c r="A337" t="inlineStr">
        <is>
          <t>com</t>
        </is>
      </c>
      <c r="B337" t="inlineStr">
        <is>
          <t>B0CR1XNGXW</t>
        </is>
      </c>
      <c r="C337" t="inlineStr">
        <is>
          <t>PUMA Womens Starla 2 Lace Up Sneakers Shoes Casual - Beige - Size 10 M, 37925101</t>
        </is>
      </c>
      <c r="D337" t="n">
        <v>39.95</v>
      </c>
      <c r="E337" t="n">
        <v>39.95</v>
      </c>
      <c r="F337" t="n">
        <v>1685486</v>
      </c>
      <c r="G337" t="n">
        <v>1659910</v>
      </c>
      <c r="H337" t="n">
        <v>47.39</v>
      </c>
      <c r="I337" t="n">
        <v>48.35</v>
      </c>
      <c r="J337" t="n">
        <v>0.07000000000000001</v>
      </c>
      <c r="K337" t="n">
        <v>1</v>
      </c>
      <c r="L337" t="n">
        <v>2</v>
      </c>
      <c r="M337" t="n">
        <v>2</v>
      </c>
      <c r="O337" t="n">
        <v>0</v>
      </c>
      <c r="Q337" t="n">
        <v>3</v>
      </c>
      <c r="R337" t="n">
        <v>9</v>
      </c>
      <c r="S337" t="inlineStr">
        <is>
          <t>B0D8P6Y9GD</t>
        </is>
      </c>
      <c r="V337" t="inlineStr"/>
      <c r="W337" t="inlineStr"/>
      <c r="X337" t="inlineStr">
        <is>
          <t>196858049350</t>
        </is>
      </c>
      <c r="Y337" t="inlineStr">
        <is>
          <t>37925101</t>
        </is>
      </c>
      <c r="Z337" t="inlineStr">
        <is>
          <t>37925101</t>
        </is>
      </c>
      <c r="AA337" t="inlineStr">
        <is>
          <t>Alpine Snow-puma White-rose Gold-gum</t>
        </is>
      </c>
      <c r="AB337" t="inlineStr">
        <is>
          <t>0196858049350</t>
        </is>
      </c>
      <c r="AC337" t="inlineStr">
        <is>
          <t>no Amazon offer exists</t>
        </is>
      </c>
      <c r="AD337" t="inlineStr">
        <is>
          <t>PUMA</t>
        </is>
      </c>
      <c r="AE337" t="inlineStr">
        <is>
          <t>10</t>
        </is>
      </c>
      <c r="AF337" t="inlineStr">
        <is>
          <t>https://m.media-amazon.com/images/I/510SPKNIcyL.jpg;https://m.media-amazon.com/images/I/51YRwuzsc1L.jpg;https://m.media-amazon.com/images/I/51GRTdV1i-L.jpg;https://m.media-amazon.com/images/I/411g3JHs9RL.jpg;https://m.media-amazon.com/images/I/51ok1lqxxJL.jpg;https://m.media-amazon.com/images/I/61KtwlbHIQL.jpg</t>
        </is>
      </c>
      <c r="AG337" t="inlineStr">
        <is>
          <t>Description
The Starla 2 Brings Cool Style To Your Favorite Workout Fit, Perfect For Practicing For Your Personal Best. These Sneakers Sport An Embroidered Puma Cat Logo On The Toe For An Additional Pop Of Cool.</t>
        </is>
      </c>
    </row>
    <row r="338">
      <c r="A338" t="inlineStr">
        <is>
          <t>com</t>
        </is>
      </c>
      <c r="B338" t="inlineStr">
        <is>
          <t>B0CR1X453N</t>
        </is>
      </c>
      <c r="C338" t="inlineStr">
        <is>
          <t>PUMA Womens Starla 2 Lace Up Sneakers Shoes Casual - Beige - Size 11 M</t>
        </is>
      </c>
      <c r="D338" t="n">
        <v>39.95</v>
      </c>
      <c r="E338" t="n">
        <v>39.95</v>
      </c>
      <c r="F338" t="n">
        <v>1685486</v>
      </c>
      <c r="G338" t="n">
        <v>1837452</v>
      </c>
      <c r="H338" t="n">
        <v>47.59</v>
      </c>
      <c r="I338" t="n">
        <v>48.8</v>
      </c>
      <c r="J338" t="n">
        <v>0</v>
      </c>
      <c r="K338" t="n">
        <v>1</v>
      </c>
      <c r="L338" t="n">
        <v>1</v>
      </c>
      <c r="M338" t="n">
        <v>2</v>
      </c>
      <c r="O338" t="n">
        <v>0</v>
      </c>
      <c r="Q338" t="n">
        <v>4</v>
      </c>
      <c r="R338" t="n">
        <v>10</v>
      </c>
      <c r="S338" t="inlineStr">
        <is>
          <t>B0D8P6Y9GD</t>
        </is>
      </c>
      <c r="V338" t="inlineStr"/>
      <c r="W338" t="inlineStr"/>
      <c r="X338" t="inlineStr">
        <is>
          <t>196858049374</t>
        </is>
      </c>
      <c r="Y338" t="inlineStr">
        <is>
          <t>37925101</t>
        </is>
      </c>
      <c r="Z338" t="inlineStr">
        <is>
          <t>37925101</t>
        </is>
      </c>
      <c r="AA338" t="inlineStr">
        <is>
          <t>Alpine Snow-puma White-rose Gold-gum</t>
        </is>
      </c>
      <c r="AB338" t="inlineStr">
        <is>
          <t>0196858049374</t>
        </is>
      </c>
      <c r="AC338" t="inlineStr">
        <is>
          <t>no Amazon offer exists</t>
        </is>
      </c>
      <c r="AD338" t="inlineStr">
        <is>
          <t>Puma</t>
        </is>
      </c>
      <c r="AE338" t="inlineStr">
        <is>
          <t>11</t>
        </is>
      </c>
      <c r="AF338" t="inlineStr">
        <is>
          <t>https://m.media-amazon.com/images/I/510SPKNIcyL.jpg;https://m.media-amazon.com/images/I/51YRwuzsc1L.jpg;https://m.media-amazon.com/images/I/51GRTdV1i-L.jpg;https://m.media-amazon.com/images/I/411g3JHs9RL.jpg;https://m.media-amazon.com/images/I/51ok1lqxxJL.jpg;https://m.media-amazon.com/images/I/61KtwlbHIQL.jpg</t>
        </is>
      </c>
      <c r="AG338" t="inlineStr">
        <is>
          <t>Description
The Starla 2 Brings Cool Style To Your Favorite Workout Fit, Perfect For Practicing For Your Personal Best. These Sneakers Sport An Embroidered Puma Cat Logo On The Toe For An Additional Pop Of Cool.</t>
        </is>
      </c>
    </row>
    <row r="339">
      <c r="A339" t="inlineStr">
        <is>
          <t>com</t>
        </is>
      </c>
      <c r="B339" t="inlineStr">
        <is>
          <t>B0C2JYHNCQ</t>
        </is>
      </c>
      <c r="C339" t="inlineStr">
        <is>
          <t>adidas Women's VL Court 3.0 Sneaker</t>
        </is>
      </c>
      <c r="D339" t="n">
        <v>74.95</v>
      </c>
      <c r="E339" t="n">
        <v>74.95</v>
      </c>
      <c r="F339" t="n">
        <v>815</v>
      </c>
      <c r="G339" t="n">
        <v>1680</v>
      </c>
      <c r="H339" t="n">
        <v>70.84999999999999</v>
      </c>
      <c r="I339" t="n">
        <v>70.09999999999999</v>
      </c>
      <c r="J339" t="n">
        <v>0.03</v>
      </c>
      <c r="K339" t="n">
        <v>0.38</v>
      </c>
      <c r="L339" t="n">
        <v>4</v>
      </c>
      <c r="M339" t="n">
        <v>5</v>
      </c>
      <c r="N339" t="n">
        <v>4.5</v>
      </c>
      <c r="O339" t="n">
        <v>15</v>
      </c>
      <c r="P339" t="n">
        <v>1570</v>
      </c>
      <c r="Q339" t="n">
        <v>97</v>
      </c>
      <c r="R339" t="n">
        <v>258</v>
      </c>
      <c r="S339" t="inlineStr">
        <is>
          <t>B0C2K2PHL8</t>
        </is>
      </c>
      <c r="T339" t="n">
        <v>100</v>
      </c>
      <c r="U339" t="n">
        <v>1.322772</v>
      </c>
      <c r="V339" t="n">
        <v>7.03</v>
      </c>
      <c r="W339" t="n">
        <v>11.24</v>
      </c>
      <c r="X339" t="inlineStr">
        <is>
          <t>196474626331</t>
        </is>
      </c>
      <c r="Y339" t="inlineStr">
        <is>
          <t>NLF97</t>
        </is>
      </c>
      <c r="Z339" t="inlineStr">
        <is>
          <t>NLF97</t>
        </is>
      </c>
      <c r="AA339" t="inlineStr">
        <is>
          <t>White/Black/Grey</t>
        </is>
      </c>
      <c r="AB339" t="inlineStr">
        <is>
          <t>0196474626331</t>
        </is>
      </c>
      <c r="AC339" t="inlineStr">
        <is>
          <t>Amazon offer is in stock and shippable</t>
        </is>
      </c>
      <c r="AD339" t="inlineStr">
        <is>
          <t>adidas</t>
        </is>
      </c>
      <c r="AE339" t="inlineStr">
        <is>
          <t>5</t>
        </is>
      </c>
      <c r="AF339"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39" t="inlineStr">
        <is>
          <t>Description
adidas womens VL Court 3.0</t>
        </is>
      </c>
    </row>
    <row r="340">
      <c r="A340" t="inlineStr">
        <is>
          <t>com</t>
        </is>
      </c>
      <c r="B340" t="inlineStr">
        <is>
          <t>B0C2JYNF9T</t>
        </is>
      </c>
      <c r="C340" t="inlineStr">
        <is>
          <t>adidas Women's VL Court 3.0 Sneaker</t>
        </is>
      </c>
      <c r="D340" t="n">
        <v>74.95999999999999</v>
      </c>
      <c r="E340" t="n">
        <v>74.95</v>
      </c>
      <c r="F340" t="n">
        <v>815</v>
      </c>
      <c r="G340" t="n">
        <v>1679</v>
      </c>
      <c r="H340" t="n">
        <v>72.12</v>
      </c>
      <c r="I340" t="n">
        <v>71.70999999999999</v>
      </c>
      <c r="J340" t="n">
        <v>0.08</v>
      </c>
      <c r="K340" t="n">
        <v>0.4</v>
      </c>
      <c r="L340" t="n">
        <v>4</v>
      </c>
      <c r="M340" t="n">
        <v>5</v>
      </c>
      <c r="N340" t="n">
        <v>4.5</v>
      </c>
      <c r="O340" t="n">
        <v>22</v>
      </c>
      <c r="P340" t="n">
        <v>1569</v>
      </c>
      <c r="Q340" t="n">
        <v>66</v>
      </c>
      <c r="R340" t="n">
        <v>184</v>
      </c>
      <c r="S340" t="inlineStr">
        <is>
          <t>B0C2K2PHL8</t>
        </is>
      </c>
      <c r="T340" t="n">
        <v>200</v>
      </c>
      <c r="U340" t="n">
        <v>1.80999302</v>
      </c>
      <c r="V340" t="n">
        <v>6.61</v>
      </c>
      <c r="W340" t="n">
        <v>11.24</v>
      </c>
      <c r="X340" t="inlineStr">
        <is>
          <t>196474626386</t>
        </is>
      </c>
      <c r="Y340" t="inlineStr">
        <is>
          <t>NLF97</t>
        </is>
      </c>
      <c r="Z340" t="inlineStr">
        <is>
          <t>NLF97</t>
        </is>
      </c>
      <c r="AA340" t="inlineStr">
        <is>
          <t>White/Black/Grey</t>
        </is>
      </c>
      <c r="AB340" t="inlineStr">
        <is>
          <t>0196474626386</t>
        </is>
      </c>
      <c r="AC340" t="inlineStr">
        <is>
          <t>Amazon offer is in stock and shippable</t>
        </is>
      </c>
      <c r="AD340" t="inlineStr">
        <is>
          <t>adidas</t>
        </is>
      </c>
      <c r="AE340" t="inlineStr">
        <is>
          <t>5.5</t>
        </is>
      </c>
      <c r="AF340"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0" t="inlineStr">
        <is>
          <t>Description
adidas womens VL Court 3.0</t>
        </is>
      </c>
    </row>
    <row r="341">
      <c r="A341" t="inlineStr">
        <is>
          <t>com</t>
        </is>
      </c>
      <c r="B341" t="inlineStr">
        <is>
          <t>B0C2JZ4K9V</t>
        </is>
      </c>
      <c r="C341" t="inlineStr">
        <is>
          <t>adidas Women's VL Court 3.0 Sneaker</t>
        </is>
      </c>
      <c r="D341" t="n">
        <v>74.95</v>
      </c>
      <c r="E341" t="n">
        <v>74.94</v>
      </c>
      <c r="F341" t="n">
        <v>815</v>
      </c>
      <c r="G341" t="n">
        <v>1682</v>
      </c>
      <c r="H341" t="n">
        <v>71.84</v>
      </c>
      <c r="I341" t="n">
        <v>72.25</v>
      </c>
      <c r="J341" t="n">
        <v>0</v>
      </c>
      <c r="K341" t="n">
        <v>0.49</v>
      </c>
      <c r="L341" t="n">
        <v>11</v>
      </c>
      <c r="M341" t="n">
        <v>12</v>
      </c>
      <c r="N341" t="n">
        <v>4.5</v>
      </c>
      <c r="O341" t="n">
        <v>33</v>
      </c>
      <c r="P341" t="n">
        <v>1569</v>
      </c>
      <c r="Q341" t="n">
        <v>92</v>
      </c>
      <c r="R341" t="n">
        <v>218</v>
      </c>
      <c r="S341" t="inlineStr">
        <is>
          <t>B0C2K2PHL8</t>
        </is>
      </c>
      <c r="T341" t="n">
        <v>600</v>
      </c>
      <c r="U341" t="n">
        <v>1.45945844</v>
      </c>
      <c r="V341" t="n">
        <v>6.61</v>
      </c>
      <c r="W341" t="n">
        <v>11.24</v>
      </c>
      <c r="X341" t="inlineStr">
        <is>
          <t>196474626348</t>
        </is>
      </c>
      <c r="Y341" t="inlineStr">
        <is>
          <t>NLF97</t>
        </is>
      </c>
      <c r="Z341" t="inlineStr">
        <is>
          <t>NLF97</t>
        </is>
      </c>
      <c r="AA341" t="inlineStr">
        <is>
          <t>White/Black/Grey</t>
        </is>
      </c>
      <c r="AB341" t="inlineStr">
        <is>
          <t>0196474626348</t>
        </is>
      </c>
      <c r="AC341" t="inlineStr">
        <is>
          <t>Amazon offer is in stock and shippable</t>
        </is>
      </c>
      <c r="AD341" t="inlineStr">
        <is>
          <t>adidas</t>
        </is>
      </c>
      <c r="AE341" t="inlineStr">
        <is>
          <t>6</t>
        </is>
      </c>
      <c r="AF341"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1" t="inlineStr">
        <is>
          <t>Description
adidas womens VL Court 3.0</t>
        </is>
      </c>
    </row>
    <row r="342">
      <c r="A342" t="inlineStr">
        <is>
          <t>com</t>
        </is>
      </c>
      <c r="B342" t="inlineStr">
        <is>
          <t>B0C2JZD9S5</t>
        </is>
      </c>
      <c r="C342" t="inlineStr">
        <is>
          <t>adidas Women's VL Court 3.0 Sneaker</t>
        </is>
      </c>
      <c r="D342" t="n">
        <v>74.95999999999999</v>
      </c>
      <c r="E342" t="n">
        <v>74.39</v>
      </c>
      <c r="F342" t="n">
        <v>755</v>
      </c>
      <c r="G342" t="n">
        <v>1673</v>
      </c>
      <c r="H342" t="n">
        <v>71.69</v>
      </c>
      <c r="I342" t="n">
        <v>72.45999999999999</v>
      </c>
      <c r="J342" t="n">
        <v>0</v>
      </c>
      <c r="K342" t="n">
        <v>0.58</v>
      </c>
      <c r="L342" t="n">
        <v>9</v>
      </c>
      <c r="M342" t="n">
        <v>10</v>
      </c>
      <c r="N342" t="n">
        <v>4.5</v>
      </c>
      <c r="O342" t="n">
        <v>55</v>
      </c>
      <c r="P342" t="n">
        <v>1569</v>
      </c>
      <c r="Q342" t="n">
        <v>116</v>
      </c>
      <c r="R342" t="n">
        <v>258</v>
      </c>
      <c r="S342" t="inlineStr">
        <is>
          <t>B0C2K2PHL8</t>
        </is>
      </c>
      <c r="T342" t="n">
        <v>1000</v>
      </c>
      <c r="U342" t="n">
        <v>1.4109568</v>
      </c>
      <c r="V342" t="n">
        <v>6.61</v>
      </c>
      <c r="W342" t="n">
        <v>11.24</v>
      </c>
      <c r="X342" t="inlineStr">
        <is>
          <t>196474626362</t>
        </is>
      </c>
      <c r="Y342" t="inlineStr">
        <is>
          <t>NLF97</t>
        </is>
      </c>
      <c r="Z342" t="inlineStr">
        <is>
          <t>NLF97</t>
        </is>
      </c>
      <c r="AA342" t="inlineStr">
        <is>
          <t>White/Black/Grey</t>
        </is>
      </c>
      <c r="AB342" t="inlineStr">
        <is>
          <t>0196474626362</t>
        </is>
      </c>
      <c r="AC342" t="inlineStr">
        <is>
          <t>Amazon offer is in stock and shippable</t>
        </is>
      </c>
      <c r="AD342" t="inlineStr">
        <is>
          <t>adidas</t>
        </is>
      </c>
      <c r="AE342" t="inlineStr">
        <is>
          <t>6.5</t>
        </is>
      </c>
      <c r="AF342"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2" t="inlineStr">
        <is>
          <t>Description
adidas womens VL Court 3.0</t>
        </is>
      </c>
    </row>
    <row r="343">
      <c r="A343" t="inlineStr">
        <is>
          <t>com</t>
        </is>
      </c>
      <c r="B343" t="inlineStr">
        <is>
          <t>B0C2JY169J</t>
        </is>
      </c>
      <c r="C343" t="inlineStr">
        <is>
          <t>adidas Women's VL Court 3.0 Sneaker</t>
        </is>
      </c>
      <c r="D343" t="n">
        <v>74.95999999999999</v>
      </c>
      <c r="E343" t="n">
        <v>74.95999999999999</v>
      </c>
      <c r="F343" t="n">
        <v>815</v>
      </c>
      <c r="G343" t="n">
        <v>1679</v>
      </c>
      <c r="H343" t="n">
        <v>73.59999999999999</v>
      </c>
      <c r="I343" t="n">
        <v>73.84</v>
      </c>
      <c r="J343" t="n">
        <v>0.01</v>
      </c>
      <c r="K343" t="n">
        <v>0.75</v>
      </c>
      <c r="L343" t="n">
        <v>5</v>
      </c>
      <c r="M343" t="n">
        <v>5</v>
      </c>
      <c r="N343" t="n">
        <v>4.5</v>
      </c>
      <c r="O343" t="n">
        <v>39</v>
      </c>
      <c r="P343" t="n">
        <v>1570</v>
      </c>
      <c r="Q343" t="n">
        <v>89</v>
      </c>
      <c r="R343" t="n">
        <v>193</v>
      </c>
      <c r="S343" t="inlineStr">
        <is>
          <t>B0C2K2PHL8</t>
        </is>
      </c>
      <c r="T343" t="n">
        <v>500</v>
      </c>
      <c r="U343" t="n">
        <v>1.58953102</v>
      </c>
      <c r="V343" t="n">
        <v>6.61</v>
      </c>
      <c r="W343" t="n">
        <v>11.24</v>
      </c>
      <c r="X343" t="inlineStr">
        <is>
          <t>196474626423</t>
        </is>
      </c>
      <c r="Y343" t="inlineStr">
        <is>
          <t>NLF97</t>
        </is>
      </c>
      <c r="Z343" t="inlineStr">
        <is>
          <t>NLF97</t>
        </is>
      </c>
      <c r="AA343" t="inlineStr">
        <is>
          <t>White/Black/Grey</t>
        </is>
      </c>
      <c r="AB343" t="inlineStr">
        <is>
          <t>0196474626423</t>
        </is>
      </c>
      <c r="AC343" t="inlineStr">
        <is>
          <t>Amazon offer is in stock and shippable</t>
        </is>
      </c>
      <c r="AD343" t="inlineStr">
        <is>
          <t>adidas</t>
        </is>
      </c>
      <c r="AE343" t="inlineStr">
        <is>
          <t>7</t>
        </is>
      </c>
      <c r="AF343"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3" t="inlineStr">
        <is>
          <t>Description
adidas womens VL Court 3.0</t>
        </is>
      </c>
    </row>
    <row r="344">
      <c r="A344" t="inlineStr">
        <is>
          <t>com</t>
        </is>
      </c>
      <c r="B344" t="inlineStr">
        <is>
          <t>B0C2JXSHSK</t>
        </is>
      </c>
      <c r="C344" t="inlineStr">
        <is>
          <t>adidas Women's VL Court 3.0 Sneaker</t>
        </is>
      </c>
      <c r="D344" t="n">
        <v>74.95999999999999</v>
      </c>
      <c r="E344" t="n">
        <v>74.95999999999999</v>
      </c>
      <c r="F344" t="n">
        <v>815</v>
      </c>
      <c r="G344" t="n">
        <v>1676</v>
      </c>
      <c r="H344" t="n">
        <v>71.88</v>
      </c>
      <c r="I344" t="n">
        <v>72.40000000000001</v>
      </c>
      <c r="J344" t="n">
        <v>0</v>
      </c>
      <c r="K344" t="n">
        <v>0.47</v>
      </c>
      <c r="L344" t="n">
        <v>9</v>
      </c>
      <c r="M344" t="n">
        <v>8</v>
      </c>
      <c r="N344" t="n">
        <v>4.5</v>
      </c>
      <c r="O344" t="n">
        <v>51</v>
      </c>
      <c r="P344" t="n">
        <v>1569</v>
      </c>
      <c r="Q344" t="n">
        <v>94</v>
      </c>
      <c r="R344" t="n">
        <v>255</v>
      </c>
      <c r="S344" t="inlineStr">
        <is>
          <t>B0C2K2PHL8</t>
        </is>
      </c>
      <c r="T344" t="n">
        <v>1000</v>
      </c>
      <c r="U344" t="n">
        <v>1.58953102</v>
      </c>
      <c r="V344" t="n">
        <v>7.7</v>
      </c>
      <c r="W344" t="n">
        <v>11.24</v>
      </c>
      <c r="X344" t="inlineStr">
        <is>
          <t>196474626430</t>
        </is>
      </c>
      <c r="Y344" t="inlineStr">
        <is>
          <t>NLF97</t>
        </is>
      </c>
      <c r="Z344" t="inlineStr">
        <is>
          <t>NLF97</t>
        </is>
      </c>
      <c r="AA344" t="inlineStr">
        <is>
          <t>White/Black/Grey</t>
        </is>
      </c>
      <c r="AB344" t="inlineStr">
        <is>
          <t>0196474626430</t>
        </is>
      </c>
      <c r="AC344" t="inlineStr">
        <is>
          <t>Amazon offer is back-ordered</t>
        </is>
      </c>
      <c r="AD344" t="inlineStr">
        <is>
          <t>adidas</t>
        </is>
      </c>
      <c r="AE344" t="inlineStr">
        <is>
          <t>7.5</t>
        </is>
      </c>
      <c r="AF344"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4" t="inlineStr">
        <is>
          <t>Description
adidas womens VL Court 3.0</t>
        </is>
      </c>
    </row>
    <row r="345">
      <c r="A345" t="inlineStr">
        <is>
          <t>com</t>
        </is>
      </c>
      <c r="B345" t="inlineStr">
        <is>
          <t>B0C2JYLPBW</t>
        </is>
      </c>
      <c r="C345" t="inlineStr">
        <is>
          <t>adidas Women's VL Court 3.0 Sneaker</t>
        </is>
      </c>
      <c r="D345" t="n">
        <v>74.95999999999999</v>
      </c>
      <c r="E345" t="n">
        <v>74.95</v>
      </c>
      <c r="F345" t="n">
        <v>815</v>
      </c>
      <c r="G345" t="n">
        <v>1684</v>
      </c>
      <c r="H345" t="n">
        <v>72.06</v>
      </c>
      <c r="I345" t="n">
        <v>72.33</v>
      </c>
      <c r="J345" t="n">
        <v>0</v>
      </c>
      <c r="K345" t="n">
        <v>0.46</v>
      </c>
      <c r="L345" t="n">
        <v>10</v>
      </c>
      <c r="M345" t="n">
        <v>11</v>
      </c>
      <c r="N345" t="n">
        <v>4.5</v>
      </c>
      <c r="O345" t="n">
        <v>49</v>
      </c>
      <c r="P345" t="n">
        <v>1569</v>
      </c>
      <c r="Q345" t="n">
        <v>172</v>
      </c>
      <c r="R345" t="n">
        <v>371</v>
      </c>
      <c r="S345" t="inlineStr">
        <is>
          <t>B0C2K2PHL8</t>
        </is>
      </c>
      <c r="T345" t="n">
        <v>1000</v>
      </c>
      <c r="U345" t="n">
        <v>1.653465</v>
      </c>
      <c r="V345" t="n">
        <v>7.78</v>
      </c>
      <c r="W345" t="n">
        <v>11.24</v>
      </c>
      <c r="X345" t="inlineStr">
        <is>
          <t>196474626416</t>
        </is>
      </c>
      <c r="Y345" t="inlineStr">
        <is>
          <t>NLF97</t>
        </is>
      </c>
      <c r="Z345" t="inlineStr">
        <is>
          <t>NLF97</t>
        </is>
      </c>
      <c r="AA345" t="inlineStr">
        <is>
          <t>White/Black/Grey</t>
        </is>
      </c>
      <c r="AB345" t="inlineStr">
        <is>
          <t>0196474626416</t>
        </is>
      </c>
      <c r="AC345" t="inlineStr">
        <is>
          <t>Amazon offer is back-ordered</t>
        </is>
      </c>
      <c r="AD345" t="inlineStr">
        <is>
          <t>adidas</t>
        </is>
      </c>
      <c r="AE345" t="inlineStr">
        <is>
          <t>8</t>
        </is>
      </c>
      <c r="AF345"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5" t="inlineStr">
        <is>
          <t>Description
adidas womens VL Court 3.0</t>
        </is>
      </c>
    </row>
    <row r="346">
      <c r="A346" t="inlineStr">
        <is>
          <t>com</t>
        </is>
      </c>
      <c r="B346" t="inlineStr">
        <is>
          <t>B0C2JZMCPC</t>
        </is>
      </c>
      <c r="C346" t="inlineStr">
        <is>
          <t>adidas Women's VL Court 3.0 Sneaker</t>
        </is>
      </c>
      <c r="D346" t="n">
        <v>74.95999999999999</v>
      </c>
      <c r="E346" t="n">
        <v>74.94</v>
      </c>
      <c r="F346" t="n">
        <v>815</v>
      </c>
      <c r="G346" t="n">
        <v>1672</v>
      </c>
      <c r="H346" t="n">
        <v>71.41</v>
      </c>
      <c r="I346" t="n">
        <v>72.34999999999999</v>
      </c>
      <c r="J346" t="n">
        <v>0</v>
      </c>
      <c r="K346" t="n">
        <v>0.39</v>
      </c>
      <c r="L346" t="n">
        <v>12</v>
      </c>
      <c r="M346" t="n">
        <v>13</v>
      </c>
      <c r="N346" t="n">
        <v>4.5</v>
      </c>
      <c r="O346" t="n">
        <v>52</v>
      </c>
      <c r="P346" t="n">
        <v>1569</v>
      </c>
      <c r="Q346" t="n">
        <v>95</v>
      </c>
      <c r="R346" t="n">
        <v>220</v>
      </c>
      <c r="S346" t="inlineStr">
        <is>
          <t>B0C2K2PHL8</t>
        </is>
      </c>
      <c r="T346" t="n">
        <v>1000</v>
      </c>
      <c r="U346" t="n">
        <v>1.92022402</v>
      </c>
      <c r="V346" t="n">
        <v>7.94</v>
      </c>
      <c r="W346" t="n">
        <v>11.24</v>
      </c>
      <c r="X346" t="inlineStr">
        <is>
          <t>196474626409</t>
        </is>
      </c>
      <c r="Y346" t="inlineStr">
        <is>
          <t>NLF97</t>
        </is>
      </c>
      <c r="Z346" t="inlineStr">
        <is>
          <t>NLF97</t>
        </is>
      </c>
      <c r="AA346" t="inlineStr">
        <is>
          <t>White/Black/Grey</t>
        </is>
      </c>
      <c r="AB346" t="inlineStr">
        <is>
          <t>0196474626409</t>
        </is>
      </c>
      <c r="AC346" t="inlineStr">
        <is>
          <t>Amazon offer is in stock and shippable</t>
        </is>
      </c>
      <c r="AD346" t="inlineStr">
        <is>
          <t>adidas</t>
        </is>
      </c>
      <c r="AE346" t="inlineStr">
        <is>
          <t>8.5</t>
        </is>
      </c>
      <c r="AF346"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6" t="inlineStr">
        <is>
          <t>Description
adidas womens VL Court 3.0</t>
        </is>
      </c>
    </row>
    <row r="347">
      <c r="A347" t="inlineStr">
        <is>
          <t>com</t>
        </is>
      </c>
      <c r="B347" t="inlineStr">
        <is>
          <t>B0C2JZDNLV</t>
        </is>
      </c>
      <c r="C347" t="inlineStr">
        <is>
          <t>adidas Women's VL Court 3.0 Sneaker</t>
        </is>
      </c>
      <c r="D347" t="n">
        <v>74.95999999999999</v>
      </c>
      <c r="E347" t="n">
        <v>74.95</v>
      </c>
      <c r="F347" t="n">
        <v>815</v>
      </c>
      <c r="G347" t="n">
        <v>1681</v>
      </c>
      <c r="H347" t="n">
        <v>70.98999999999999</v>
      </c>
      <c r="I347" t="n">
        <v>71.8</v>
      </c>
      <c r="J347" t="n">
        <v>0</v>
      </c>
      <c r="K347" t="n">
        <v>0.35</v>
      </c>
      <c r="L347" t="n">
        <v>11</v>
      </c>
      <c r="M347" t="n">
        <v>11</v>
      </c>
      <c r="N347" t="n">
        <v>4.5</v>
      </c>
      <c r="O347" t="n">
        <v>37</v>
      </c>
      <c r="P347" t="n">
        <v>1569</v>
      </c>
      <c r="Q347" t="n">
        <v>94</v>
      </c>
      <c r="R347" t="n">
        <v>210</v>
      </c>
      <c r="S347" t="inlineStr">
        <is>
          <t>B0C2K2PHL8</t>
        </is>
      </c>
      <c r="T347" t="n">
        <v>1000</v>
      </c>
      <c r="U347" t="n">
        <v>1.7196036</v>
      </c>
      <c r="V347" t="n">
        <v>7.7</v>
      </c>
      <c r="W347" t="n">
        <v>11.24</v>
      </c>
      <c r="X347" t="inlineStr">
        <is>
          <t>196474626355</t>
        </is>
      </c>
      <c r="Y347" t="inlineStr">
        <is>
          <t>NLF97</t>
        </is>
      </c>
      <c r="Z347" t="inlineStr">
        <is>
          <t>NLF97</t>
        </is>
      </c>
      <c r="AA347" t="inlineStr">
        <is>
          <t>White/Black/Grey</t>
        </is>
      </c>
      <c r="AB347" t="inlineStr">
        <is>
          <t>0196474626355</t>
        </is>
      </c>
      <c r="AC347" t="inlineStr">
        <is>
          <t>Amazon offer is in stock and shippable</t>
        </is>
      </c>
      <c r="AD347" t="inlineStr">
        <is>
          <t>adidas</t>
        </is>
      </c>
      <c r="AE347" t="inlineStr">
        <is>
          <t>9</t>
        </is>
      </c>
      <c r="AF347"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7" t="inlineStr">
        <is>
          <t>Description
adidas womens VL Court 3.0</t>
        </is>
      </c>
    </row>
    <row r="348">
      <c r="A348" t="inlineStr">
        <is>
          <t>com</t>
        </is>
      </c>
      <c r="B348" t="inlineStr">
        <is>
          <t>B0C2JXZB21</t>
        </is>
      </c>
      <c r="C348" t="inlineStr">
        <is>
          <t>adidas Women's VL Court 3.0 Sneaker</t>
        </is>
      </c>
      <c r="D348" t="n">
        <v>71.75</v>
      </c>
      <c r="E348" t="n">
        <v>71.75</v>
      </c>
      <c r="F348" t="n">
        <v>815</v>
      </c>
      <c r="G348" t="n">
        <v>1675</v>
      </c>
      <c r="H348" t="n">
        <v>71.04000000000001</v>
      </c>
      <c r="I348" t="n">
        <v>70.81</v>
      </c>
      <c r="J348" t="n">
        <v>0</v>
      </c>
      <c r="K348" t="n">
        <v>0.44</v>
      </c>
      <c r="L348" t="n">
        <v>9</v>
      </c>
      <c r="M348" t="n">
        <v>8</v>
      </c>
      <c r="N348" t="n">
        <v>4.5</v>
      </c>
      <c r="O348" t="n">
        <v>25</v>
      </c>
      <c r="P348" t="n">
        <v>1569</v>
      </c>
      <c r="Q348" t="n">
        <v>84</v>
      </c>
      <c r="R348" t="n">
        <v>188</v>
      </c>
      <c r="S348" t="inlineStr">
        <is>
          <t>B0C2K2PHL8</t>
        </is>
      </c>
      <c r="T348" t="n">
        <v>600</v>
      </c>
      <c r="U348" t="n">
        <v>1.8518808</v>
      </c>
      <c r="V348" t="n">
        <v>7.7</v>
      </c>
      <c r="W348" t="n">
        <v>10.76</v>
      </c>
      <c r="X348" t="inlineStr">
        <is>
          <t>196474626317</t>
        </is>
      </c>
      <c r="Y348" t="inlineStr">
        <is>
          <t>NLF97</t>
        </is>
      </c>
      <c r="Z348" t="inlineStr">
        <is>
          <t>NLF97</t>
        </is>
      </c>
      <c r="AA348" t="inlineStr">
        <is>
          <t>White/Black/Grey</t>
        </is>
      </c>
      <c r="AB348" t="inlineStr">
        <is>
          <t>0196474626317</t>
        </is>
      </c>
      <c r="AC348" t="inlineStr">
        <is>
          <t>Amazon offer is in stock and shippable</t>
        </is>
      </c>
      <c r="AD348" t="inlineStr">
        <is>
          <t>adidas</t>
        </is>
      </c>
      <c r="AE348" t="inlineStr">
        <is>
          <t>9.5</t>
        </is>
      </c>
      <c r="AF348"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8" t="inlineStr">
        <is>
          <t>Description
adidas womens VL Court 3.0</t>
        </is>
      </c>
    </row>
    <row r="349">
      <c r="A349" t="inlineStr">
        <is>
          <t>com</t>
        </is>
      </c>
      <c r="B349" t="inlineStr">
        <is>
          <t>B0C2JZJN6D</t>
        </is>
      </c>
      <c r="C349" t="inlineStr">
        <is>
          <t>adidas Women's VL Court 3.0 Sneaker</t>
        </is>
      </c>
      <c r="D349" t="n">
        <v>64.98999999999999</v>
      </c>
      <c r="E349" t="n">
        <v>64.98999999999999</v>
      </c>
      <c r="F349" t="n">
        <v>815</v>
      </c>
      <c r="G349" t="n">
        <v>1676</v>
      </c>
      <c r="H349" t="n">
        <v>68.88</v>
      </c>
      <c r="I349" t="n">
        <v>70.36</v>
      </c>
      <c r="J349" t="n">
        <v>0</v>
      </c>
      <c r="K349" t="n">
        <v>0.33</v>
      </c>
      <c r="L349" t="n">
        <v>13</v>
      </c>
      <c r="M349" t="n">
        <v>12</v>
      </c>
      <c r="N349" t="n">
        <v>4.5</v>
      </c>
      <c r="O349" t="n">
        <v>21</v>
      </c>
      <c r="P349" t="n">
        <v>1569</v>
      </c>
      <c r="Q349" t="n">
        <v>114</v>
      </c>
      <c r="R349" t="n">
        <v>301</v>
      </c>
      <c r="S349" t="inlineStr">
        <is>
          <t>B0C2K2PHL8</t>
        </is>
      </c>
      <c r="T349" t="n">
        <v>600</v>
      </c>
      <c r="U349" t="n">
        <v>1.8298346</v>
      </c>
      <c r="V349" t="n">
        <v>7.7</v>
      </c>
      <c r="W349" t="n">
        <v>9.75</v>
      </c>
      <c r="X349" t="inlineStr">
        <is>
          <t>196474626393</t>
        </is>
      </c>
      <c r="Y349" t="inlineStr">
        <is>
          <t>NLF97</t>
        </is>
      </c>
      <c r="Z349" t="inlineStr">
        <is>
          <t>NLF97</t>
        </is>
      </c>
      <c r="AA349" t="inlineStr">
        <is>
          <t>White/Black/Grey</t>
        </is>
      </c>
      <c r="AB349" t="inlineStr">
        <is>
          <t>0196474626393</t>
        </is>
      </c>
      <c r="AC349" t="inlineStr">
        <is>
          <t>Amazon offer is in stock and shippable</t>
        </is>
      </c>
      <c r="AD349" t="inlineStr">
        <is>
          <t>adidas</t>
        </is>
      </c>
      <c r="AE349" t="inlineStr">
        <is>
          <t>10</t>
        </is>
      </c>
      <c r="AF349"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49" t="inlineStr">
        <is>
          <t>Description
adidas womens VL Court 3.0</t>
        </is>
      </c>
    </row>
    <row r="350">
      <c r="A350" t="inlineStr">
        <is>
          <t>com</t>
        </is>
      </c>
      <c r="B350" t="inlineStr">
        <is>
          <t>B0C2JYJHDL</t>
        </is>
      </c>
      <c r="C350" t="inlineStr">
        <is>
          <t>adidas Women's VL Court 3.0 Sneaker</t>
        </is>
      </c>
      <c r="D350" t="n">
        <v>64.98999999999999</v>
      </c>
      <c r="E350" t="n">
        <v>64.98999999999999</v>
      </c>
      <c r="F350" t="n">
        <v>815</v>
      </c>
      <c r="G350" t="n">
        <v>1674</v>
      </c>
      <c r="H350" t="n">
        <v>69.31</v>
      </c>
      <c r="I350" t="n">
        <v>69.91</v>
      </c>
      <c r="J350" t="n">
        <v>0</v>
      </c>
      <c r="K350" t="n">
        <v>0.57</v>
      </c>
      <c r="L350" t="n">
        <v>7</v>
      </c>
      <c r="M350" t="n">
        <v>8</v>
      </c>
      <c r="N350" t="n">
        <v>4.5</v>
      </c>
      <c r="O350" t="n">
        <v>9</v>
      </c>
      <c r="P350" t="n">
        <v>1569</v>
      </c>
      <c r="Q350" t="n">
        <v>103</v>
      </c>
      <c r="R350" t="n">
        <v>274</v>
      </c>
      <c r="S350" t="inlineStr">
        <is>
          <t>B0C2K2PHL8</t>
        </is>
      </c>
      <c r="T350" t="n">
        <v>200</v>
      </c>
      <c r="U350" t="n">
        <v>2.07013818</v>
      </c>
      <c r="V350" t="n">
        <v>7.86</v>
      </c>
      <c r="W350" t="n">
        <v>9.75</v>
      </c>
      <c r="X350" t="inlineStr">
        <is>
          <t>196474626324</t>
        </is>
      </c>
      <c r="Y350" t="inlineStr">
        <is>
          <t>NLF97</t>
        </is>
      </c>
      <c r="Z350" t="inlineStr">
        <is>
          <t>NLF97</t>
        </is>
      </c>
      <c r="AA350" t="inlineStr">
        <is>
          <t>White/Black/Grey</t>
        </is>
      </c>
      <c r="AB350" t="inlineStr">
        <is>
          <t>0196474626324</t>
        </is>
      </c>
      <c r="AC350" t="inlineStr">
        <is>
          <t>Amazon offer is in stock and shippable</t>
        </is>
      </c>
      <c r="AD350" t="inlineStr">
        <is>
          <t>adidas</t>
        </is>
      </c>
      <c r="AE350" t="inlineStr">
        <is>
          <t>11</t>
        </is>
      </c>
      <c r="AF350" t="inlineStr">
        <is>
          <t>https://m.media-amazon.com/images/I/613wTu5YLOL.jpg;https://m.media-amazon.com/images/I/71Fvu5qVlvL.jpg;https://m.media-amazon.com/images/I/61lsGXecdWL.jpg;https://m.media-amazon.com/images/I/513ciLQ-gLL.jpg;https://m.media-amazon.com/images/I/712zPNUId+L.jpg;https://m.media-amazon.com/images/I/714NTzAvK5L.jpg;https://m.media-amazon.com/images/I/71iO1n3AW9L.jpg</t>
        </is>
      </c>
      <c r="AG350" t="inlineStr">
        <is>
          <t>Description
adidas womens VL Court 3.0</t>
        </is>
      </c>
    </row>
    <row r="351">
      <c r="A351" t="inlineStr">
        <is>
          <t>com</t>
        </is>
      </c>
      <c r="B351" t="inlineStr">
        <is>
          <t>B0CKD5B83R</t>
        </is>
      </c>
      <c r="C351" t="inlineStr">
        <is>
          <t>adidas Women's VL Court 3.0 Sneaker, Black/Black/Gold Metallic, 5</t>
        </is>
      </c>
      <c r="D351" t="n">
        <v>106.99</v>
      </c>
      <c r="E351" t="n">
        <v>106.99</v>
      </c>
      <c r="F351" t="n">
        <v>815</v>
      </c>
      <c r="G351" t="n">
        <v>1700</v>
      </c>
      <c r="H351" t="inlineStr"/>
      <c r="I351" t="n">
        <v>58.79</v>
      </c>
      <c r="J351" t="n">
        <v>0.01</v>
      </c>
      <c r="K351" t="n">
        <v>1</v>
      </c>
      <c r="L351" t="n">
        <v>3</v>
      </c>
      <c r="M351" t="n">
        <v>3</v>
      </c>
      <c r="N351" t="n">
        <v>4.5</v>
      </c>
      <c r="O351" t="n">
        <v>0</v>
      </c>
      <c r="P351" t="n">
        <v>1566</v>
      </c>
      <c r="Q351" t="n">
        <v>59</v>
      </c>
      <c r="R351" t="n">
        <v>172</v>
      </c>
      <c r="S351" t="inlineStr">
        <is>
          <t>B0C2K2PHL8</t>
        </is>
      </c>
      <c r="U351" t="n">
        <v>1.3889106</v>
      </c>
      <c r="V351" t="n">
        <v>6.61</v>
      </c>
      <c r="W351" t="inlineStr"/>
      <c r="X351" t="inlineStr">
        <is>
          <t>197609901859</t>
        </is>
      </c>
      <c r="Y351" t="inlineStr">
        <is>
          <t>ID9071</t>
        </is>
      </c>
      <c r="Z351" t="inlineStr">
        <is>
          <t>NLF97</t>
        </is>
      </c>
      <c r="AA351" t="inlineStr">
        <is>
          <t>Black/Black/Gold Metallic</t>
        </is>
      </c>
      <c r="AB351" t="inlineStr">
        <is>
          <t>0197609901859</t>
        </is>
      </c>
      <c r="AC351" t="inlineStr">
        <is>
          <t>no Amazon offer exists</t>
        </is>
      </c>
      <c r="AD351" t="inlineStr">
        <is>
          <t>adidas</t>
        </is>
      </c>
      <c r="AE351" t="inlineStr">
        <is>
          <t>5</t>
        </is>
      </c>
      <c r="AF351"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1" t="inlineStr">
        <is>
          <t>Description
adidas womens VL Court 3.0</t>
        </is>
      </c>
    </row>
    <row r="352">
      <c r="A352" t="inlineStr">
        <is>
          <t>com</t>
        </is>
      </c>
      <c r="B352" t="inlineStr">
        <is>
          <t>B0CKD279B3</t>
        </is>
      </c>
      <c r="C352" t="inlineStr">
        <is>
          <t>adidas Women's VL Court 3.0 Sneaker, Black/Black/Gold Metallic, 5.5</t>
        </is>
      </c>
      <c r="D352" t="n">
        <v>123</v>
      </c>
      <c r="E352" t="n">
        <v>123</v>
      </c>
      <c r="F352" t="n">
        <v>815</v>
      </c>
      <c r="G352" t="n">
        <v>1688</v>
      </c>
      <c r="H352" t="inlineStr"/>
      <c r="I352" t="n">
        <v>75</v>
      </c>
      <c r="J352" t="n">
        <v>0.02</v>
      </c>
      <c r="K352" t="n">
        <v>1</v>
      </c>
      <c r="L352" t="n">
        <v>2</v>
      </c>
      <c r="M352" t="n">
        <v>2</v>
      </c>
      <c r="N352" t="n">
        <v>4.5</v>
      </c>
      <c r="O352" t="n">
        <v>0</v>
      </c>
      <c r="P352" t="n">
        <v>1562</v>
      </c>
      <c r="Q352" t="n">
        <v>61</v>
      </c>
      <c r="R352" t="n">
        <v>169</v>
      </c>
      <c r="S352" t="inlineStr">
        <is>
          <t>B0C2K2PHL8</t>
        </is>
      </c>
      <c r="U352" t="n">
        <v>1.4109568</v>
      </c>
      <c r="V352" t="n">
        <v>6.61</v>
      </c>
      <c r="W352" t="inlineStr"/>
      <c r="X352" t="inlineStr">
        <is>
          <t>197609901873</t>
        </is>
      </c>
      <c r="Y352" t="inlineStr">
        <is>
          <t>ID9071</t>
        </is>
      </c>
      <c r="Z352" t="inlineStr">
        <is>
          <t>NLF97</t>
        </is>
      </c>
      <c r="AA352" t="inlineStr">
        <is>
          <t>Black/Black/Gold Metallic</t>
        </is>
      </c>
      <c r="AB352" t="inlineStr">
        <is>
          <t>0197609901873</t>
        </is>
      </c>
      <c r="AC352" t="inlineStr">
        <is>
          <t>no Amazon offer exists</t>
        </is>
      </c>
      <c r="AD352" t="inlineStr">
        <is>
          <t>adidas</t>
        </is>
      </c>
      <c r="AE352" t="inlineStr">
        <is>
          <t>5.5</t>
        </is>
      </c>
      <c r="AF352"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2" t="inlineStr">
        <is>
          <t>Description
adidas womens VL Court 3.0</t>
        </is>
      </c>
    </row>
    <row r="353">
      <c r="A353" t="inlineStr">
        <is>
          <t>com</t>
        </is>
      </c>
      <c r="B353" t="inlineStr">
        <is>
          <t>B0CKCTFYQF</t>
        </is>
      </c>
      <c r="C353" t="inlineStr">
        <is>
          <t>adidas Women's VL Court 3.0 Sneaker, Black/Black/Gold Metallic, 6</t>
        </is>
      </c>
      <c r="D353" t="n">
        <v>97.16</v>
      </c>
      <c r="E353" t="n">
        <v>97.16</v>
      </c>
      <c r="F353" t="n">
        <v>815</v>
      </c>
      <c r="G353" t="n">
        <v>1693</v>
      </c>
      <c r="H353" t="n">
        <v>67.98</v>
      </c>
      <c r="I353" t="n">
        <v>82.48</v>
      </c>
      <c r="J353" t="n">
        <v>0.1</v>
      </c>
      <c r="K353" t="n">
        <v>0.76</v>
      </c>
      <c r="L353" t="n">
        <v>3</v>
      </c>
      <c r="M353" t="n">
        <v>3</v>
      </c>
      <c r="N353" t="n">
        <v>4.5</v>
      </c>
      <c r="O353" t="n">
        <v>1</v>
      </c>
      <c r="P353" t="n">
        <v>1562</v>
      </c>
      <c r="Q353" t="n">
        <v>66</v>
      </c>
      <c r="R353" t="n">
        <v>193</v>
      </c>
      <c r="S353" t="inlineStr">
        <is>
          <t>B0C2K2PHL8</t>
        </is>
      </c>
      <c r="U353" t="n">
        <v>1.43079838</v>
      </c>
      <c r="V353" t="n">
        <v>7.03</v>
      </c>
      <c r="W353" t="inlineStr"/>
      <c r="X353" t="inlineStr">
        <is>
          <t>197609899583</t>
        </is>
      </c>
      <c r="Y353" t="inlineStr">
        <is>
          <t>ID9071</t>
        </is>
      </c>
      <c r="Z353" t="inlineStr">
        <is>
          <t>NLF97</t>
        </is>
      </c>
      <c r="AA353" t="inlineStr">
        <is>
          <t>Black/Black/Gold Metallic</t>
        </is>
      </c>
      <c r="AB353" t="inlineStr">
        <is>
          <t>0197609899583</t>
        </is>
      </c>
      <c r="AC353" t="inlineStr">
        <is>
          <t>no Amazon offer exists</t>
        </is>
      </c>
      <c r="AD353" t="inlineStr">
        <is>
          <t>adidas</t>
        </is>
      </c>
      <c r="AE353" t="inlineStr">
        <is>
          <t>6</t>
        </is>
      </c>
      <c r="AF353"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3" t="inlineStr">
        <is>
          <t>Description
adidas womens VL Court 3.0</t>
        </is>
      </c>
    </row>
    <row r="354">
      <c r="A354" t="inlineStr">
        <is>
          <t>com</t>
        </is>
      </c>
      <c r="B354" t="inlineStr">
        <is>
          <t>B0CKCW494J</t>
        </is>
      </c>
      <c r="C354" t="inlineStr">
        <is>
          <t>adidas Women's VL Court 3.0 Sneaker, Black/Black/Gold Metallic, 6.5</t>
        </is>
      </c>
      <c r="D354" t="n">
        <v>95.98</v>
      </c>
      <c r="E354" t="n">
        <v>95.98</v>
      </c>
      <c r="F354" t="n">
        <v>815</v>
      </c>
      <c r="G354" t="n">
        <v>1687</v>
      </c>
      <c r="H354" t="n">
        <v>71.31</v>
      </c>
      <c r="I354" t="n">
        <v>81.58</v>
      </c>
      <c r="J354" t="n">
        <v>0.1</v>
      </c>
      <c r="K354" t="n">
        <v>0.84</v>
      </c>
      <c r="L354" t="n">
        <v>3</v>
      </c>
      <c r="M354" t="n">
        <v>2</v>
      </c>
      <c r="N354" t="n">
        <v>4.5</v>
      </c>
      <c r="O354" t="n">
        <v>1</v>
      </c>
      <c r="P354" t="n">
        <v>1566</v>
      </c>
      <c r="Q354" t="n">
        <v>70</v>
      </c>
      <c r="R354" t="n">
        <v>185</v>
      </c>
      <c r="S354" t="inlineStr">
        <is>
          <t>B0C2K2PHL8</t>
        </is>
      </c>
      <c r="U354" t="n">
        <v>1.51898318</v>
      </c>
      <c r="V354" t="n">
        <v>6.61</v>
      </c>
      <c r="W354" t="inlineStr"/>
      <c r="X354" t="inlineStr">
        <is>
          <t>197609899651</t>
        </is>
      </c>
      <c r="Y354" t="inlineStr">
        <is>
          <t>ID9071</t>
        </is>
      </c>
      <c r="Z354" t="inlineStr">
        <is>
          <t>NLF97</t>
        </is>
      </c>
      <c r="AA354" t="inlineStr">
        <is>
          <t>Black/Black/Gold Metallic</t>
        </is>
      </c>
      <c r="AB354" t="inlineStr">
        <is>
          <t>0197609899651</t>
        </is>
      </c>
      <c r="AC354" t="inlineStr">
        <is>
          <t>no Amazon offer exists</t>
        </is>
      </c>
      <c r="AD354" t="inlineStr">
        <is>
          <t>adidas</t>
        </is>
      </c>
      <c r="AE354" t="inlineStr">
        <is>
          <t>6.5</t>
        </is>
      </c>
      <c r="AF354"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4" t="inlineStr">
        <is>
          <t>Description
adidas womens VL Court 3.0</t>
        </is>
      </c>
    </row>
    <row r="355">
      <c r="A355" t="inlineStr">
        <is>
          <t>com</t>
        </is>
      </c>
      <c r="B355" t="inlineStr">
        <is>
          <t>B0CKDBCNCG</t>
        </is>
      </c>
      <c r="C355" t="inlineStr">
        <is>
          <t>adidas Women's VL Court 3.0 Sneaker, Black/Black/Gold Metallic, 7</t>
        </is>
      </c>
      <c r="D355" t="n">
        <v>97.16</v>
      </c>
      <c r="E355" t="n">
        <v>97.16</v>
      </c>
      <c r="F355" t="n">
        <v>815</v>
      </c>
      <c r="G355" t="n">
        <v>1686</v>
      </c>
      <c r="H355" t="n">
        <v>69.93000000000001</v>
      </c>
      <c r="I355" t="n">
        <v>85.89</v>
      </c>
      <c r="J355" t="n">
        <v>0.08</v>
      </c>
      <c r="K355" t="n">
        <v>0.95</v>
      </c>
      <c r="L355" t="n">
        <v>3</v>
      </c>
      <c r="M355" t="n">
        <v>2</v>
      </c>
      <c r="N355" t="n">
        <v>4.5</v>
      </c>
      <c r="O355" t="n">
        <v>1</v>
      </c>
      <c r="P355" t="n">
        <v>1570</v>
      </c>
      <c r="Q355" t="n">
        <v>67</v>
      </c>
      <c r="R355" t="n">
        <v>182</v>
      </c>
      <c r="S355" t="inlineStr">
        <is>
          <t>B0C2K2PHL8</t>
        </is>
      </c>
      <c r="U355" t="n">
        <v>1.54102938</v>
      </c>
      <c r="V355" t="n">
        <v>7.03</v>
      </c>
      <c r="W355" t="inlineStr"/>
      <c r="X355" t="inlineStr">
        <is>
          <t>197609899675</t>
        </is>
      </c>
      <c r="Y355" t="inlineStr">
        <is>
          <t>ID9071</t>
        </is>
      </c>
      <c r="Z355" t="inlineStr">
        <is>
          <t>NLF97</t>
        </is>
      </c>
      <c r="AA355" t="inlineStr">
        <is>
          <t>Black/Black/Gold Metallic</t>
        </is>
      </c>
      <c r="AB355" t="inlineStr">
        <is>
          <t>0197609899675</t>
        </is>
      </c>
      <c r="AC355" t="inlineStr">
        <is>
          <t>no Amazon offer exists</t>
        </is>
      </c>
      <c r="AD355" t="inlineStr">
        <is>
          <t>adidas</t>
        </is>
      </c>
      <c r="AE355" t="inlineStr">
        <is>
          <t>7</t>
        </is>
      </c>
      <c r="AF355"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5" t="inlineStr">
        <is>
          <t>Description
adidas womens VL Court 3.0</t>
        </is>
      </c>
    </row>
    <row r="356">
      <c r="A356" t="inlineStr">
        <is>
          <t>com</t>
        </is>
      </c>
      <c r="B356" t="inlineStr">
        <is>
          <t>B0CKCW6XY5</t>
        </is>
      </c>
      <c r="C356" t="inlineStr">
        <is>
          <t>adidas Women's VL Court 3.0 Sneaker, Black/Black/Gold Metallic, 7.5</t>
        </is>
      </c>
      <c r="D356" t="n">
        <v>95.98</v>
      </c>
      <c r="E356" t="n">
        <v>95.98</v>
      </c>
      <c r="F356" t="n">
        <v>815</v>
      </c>
      <c r="G356" t="n">
        <v>1680</v>
      </c>
      <c r="H356" t="n">
        <v>69.04000000000001</v>
      </c>
      <c r="I356" t="n">
        <v>85.22</v>
      </c>
      <c r="J356" t="n">
        <v>0.11</v>
      </c>
      <c r="K356" t="n">
        <v>0.91</v>
      </c>
      <c r="L356" t="n">
        <v>3</v>
      </c>
      <c r="M356" t="n">
        <v>3</v>
      </c>
      <c r="N356" t="n">
        <v>4.5</v>
      </c>
      <c r="O356" t="n">
        <v>0</v>
      </c>
      <c r="P356" t="n">
        <v>1562</v>
      </c>
      <c r="Q356" t="n">
        <v>60</v>
      </c>
      <c r="R356" t="n">
        <v>167</v>
      </c>
      <c r="S356" t="inlineStr">
        <is>
          <t>B0C2K2PHL8</t>
        </is>
      </c>
      <c r="U356" t="n">
        <v>1.67992044</v>
      </c>
      <c r="V356" t="n">
        <v>7.7</v>
      </c>
      <c r="W356" t="inlineStr"/>
      <c r="X356" t="inlineStr">
        <is>
          <t>197609899620</t>
        </is>
      </c>
      <c r="Y356" t="inlineStr">
        <is>
          <t>ID9071</t>
        </is>
      </c>
      <c r="Z356" t="inlineStr">
        <is>
          <t>NLF97</t>
        </is>
      </c>
      <c r="AA356" t="inlineStr">
        <is>
          <t>Black/Black/Gold Metallic</t>
        </is>
      </c>
      <c r="AB356" t="inlineStr">
        <is>
          <t>0197609899620</t>
        </is>
      </c>
      <c r="AC356" t="inlineStr">
        <is>
          <t>no Amazon offer exists</t>
        </is>
      </c>
      <c r="AD356" t="inlineStr">
        <is>
          <t>adidas</t>
        </is>
      </c>
      <c r="AE356" t="inlineStr">
        <is>
          <t>7.5</t>
        </is>
      </c>
      <c r="AF356"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6" t="inlineStr">
        <is>
          <t>Description
adidas womens VL Court 3.0</t>
        </is>
      </c>
    </row>
    <row r="357">
      <c r="A357" t="inlineStr">
        <is>
          <t>com</t>
        </is>
      </c>
      <c r="B357" t="inlineStr">
        <is>
          <t>B0CKCQWRWD</t>
        </is>
      </c>
      <c r="C357" t="inlineStr">
        <is>
          <t>adidas Women's VL Court 3.0 Sneaker, Black/Black/Gold Metallic, 8</t>
        </is>
      </c>
      <c r="D357" t="n">
        <v>99.51000000000001</v>
      </c>
      <c r="E357" t="n">
        <v>99.51000000000001</v>
      </c>
      <c r="F357" t="n">
        <v>815</v>
      </c>
      <c r="G357" t="n">
        <v>1684</v>
      </c>
      <c r="H357" t="n">
        <v>71.70999999999999</v>
      </c>
      <c r="I357" t="n">
        <v>81.3</v>
      </c>
      <c r="J357" t="n">
        <v>0</v>
      </c>
      <c r="K357" t="n">
        <v>0.86</v>
      </c>
      <c r="L357" t="n">
        <v>3</v>
      </c>
      <c r="M357" t="n">
        <v>2</v>
      </c>
      <c r="N357" t="n">
        <v>4.5</v>
      </c>
      <c r="O357" t="n">
        <v>2</v>
      </c>
      <c r="P357" t="n">
        <v>1570</v>
      </c>
      <c r="Q357" t="n">
        <v>61</v>
      </c>
      <c r="R357" t="n">
        <v>215</v>
      </c>
      <c r="S357" t="inlineStr">
        <is>
          <t>B0C2K2PHL8</t>
        </is>
      </c>
      <c r="U357" t="n">
        <v>1.64905576</v>
      </c>
      <c r="V357" t="n">
        <v>7.7</v>
      </c>
      <c r="W357" t="inlineStr"/>
      <c r="X357" t="inlineStr">
        <is>
          <t>197609899606</t>
        </is>
      </c>
      <c r="Y357" t="inlineStr">
        <is>
          <t>ID9071</t>
        </is>
      </c>
      <c r="Z357" t="inlineStr">
        <is>
          <t>NLF97</t>
        </is>
      </c>
      <c r="AA357" t="inlineStr">
        <is>
          <t>Black/Black/Gold Metallic</t>
        </is>
      </c>
      <c r="AB357" t="inlineStr">
        <is>
          <t>0197609899606</t>
        </is>
      </c>
      <c r="AC357" t="inlineStr">
        <is>
          <t>no Amazon offer exists</t>
        </is>
      </c>
      <c r="AD357" t="inlineStr">
        <is>
          <t>adidas</t>
        </is>
      </c>
      <c r="AE357" t="inlineStr">
        <is>
          <t>8</t>
        </is>
      </c>
      <c r="AF357"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7" t="inlineStr">
        <is>
          <t>Description
adidas womens VL Court 3.0</t>
        </is>
      </c>
    </row>
    <row r="358">
      <c r="A358" t="inlineStr">
        <is>
          <t>com</t>
        </is>
      </c>
      <c r="B358" t="inlineStr">
        <is>
          <t>B0CKCZ7Q5M</t>
        </is>
      </c>
      <c r="C358" t="inlineStr">
        <is>
          <t>adidas Women's VL Court 3.0 Sneaker, Black/Black/Gold Metallic, 8.5</t>
        </is>
      </c>
      <c r="D358" t="n">
        <v>83.66</v>
      </c>
      <c r="E358" t="n">
        <v>83.66</v>
      </c>
      <c r="F358" t="n">
        <v>815</v>
      </c>
      <c r="G358" t="n">
        <v>1685</v>
      </c>
      <c r="H358" t="n">
        <v>63.75</v>
      </c>
      <c r="I358" t="n">
        <v>74.78</v>
      </c>
      <c r="J358" t="n">
        <v>0</v>
      </c>
      <c r="K358" t="n">
        <v>0.68</v>
      </c>
      <c r="L358" t="n">
        <v>3</v>
      </c>
      <c r="M358" t="n">
        <v>2</v>
      </c>
      <c r="N358" t="n">
        <v>4.5</v>
      </c>
      <c r="O358" t="n">
        <v>3</v>
      </c>
      <c r="P358" t="n">
        <v>1567</v>
      </c>
      <c r="Q358" t="n">
        <v>67</v>
      </c>
      <c r="R358" t="n">
        <v>192</v>
      </c>
      <c r="S358" t="inlineStr">
        <is>
          <t>B0C2K2PHL8</t>
        </is>
      </c>
      <c r="U358" t="n">
        <v>1.73944518</v>
      </c>
      <c r="V358" t="n">
        <v>7.78</v>
      </c>
      <c r="W358" t="inlineStr"/>
      <c r="X358" t="inlineStr">
        <is>
          <t>197609899668</t>
        </is>
      </c>
      <c r="Y358" t="inlineStr">
        <is>
          <t>ID9071</t>
        </is>
      </c>
      <c r="Z358" t="inlineStr">
        <is>
          <t>NLF97</t>
        </is>
      </c>
      <c r="AA358" t="inlineStr">
        <is>
          <t>Black/Black/Gold Metallic</t>
        </is>
      </c>
      <c r="AB358" t="inlineStr">
        <is>
          <t>0197609899668</t>
        </is>
      </c>
      <c r="AC358" t="inlineStr">
        <is>
          <t>no Amazon offer exists</t>
        </is>
      </c>
      <c r="AD358" t="inlineStr">
        <is>
          <t>adidas</t>
        </is>
      </c>
      <c r="AE358" t="inlineStr">
        <is>
          <t>8.5</t>
        </is>
      </c>
      <c r="AF358"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8" t="inlineStr">
        <is>
          <t>Description
adidas womens VL Court 3.0</t>
        </is>
      </c>
    </row>
    <row r="359">
      <c r="A359" t="inlineStr">
        <is>
          <t>com</t>
        </is>
      </c>
      <c r="B359" t="inlineStr">
        <is>
          <t>B0CKCNRXQM</t>
        </is>
      </c>
      <c r="C359" t="inlineStr">
        <is>
          <t>adidas Women's VL Court 3.0 Sneaker, Black/Black/Gold Metallic, 9</t>
        </is>
      </c>
      <c r="D359" t="n">
        <v>95.98</v>
      </c>
      <c r="E359" t="n">
        <v>95.98</v>
      </c>
      <c r="F359" t="n">
        <v>815</v>
      </c>
      <c r="G359" t="n">
        <v>1682</v>
      </c>
      <c r="H359" t="n">
        <v>65.08</v>
      </c>
      <c r="I359" t="n">
        <v>76.28</v>
      </c>
      <c r="J359" t="n">
        <v>0</v>
      </c>
      <c r="K359" t="n">
        <v>0.62</v>
      </c>
      <c r="L359" t="n">
        <v>3</v>
      </c>
      <c r="M359" t="n">
        <v>4</v>
      </c>
      <c r="N359" t="n">
        <v>4.5</v>
      </c>
      <c r="O359" t="n">
        <v>4</v>
      </c>
      <c r="P359" t="n">
        <v>1569</v>
      </c>
      <c r="Q359" t="n">
        <v>70</v>
      </c>
      <c r="R359" t="n">
        <v>194</v>
      </c>
      <c r="S359" t="inlineStr">
        <is>
          <t>B0C2K2PHL8</t>
        </is>
      </c>
      <c r="U359" t="n">
        <v>1.79015144</v>
      </c>
      <c r="V359" t="n">
        <v>7.7</v>
      </c>
      <c r="W359" t="inlineStr"/>
      <c r="X359" t="inlineStr">
        <is>
          <t>197609899590</t>
        </is>
      </c>
      <c r="Y359" t="inlineStr">
        <is>
          <t>ID9071</t>
        </is>
      </c>
      <c r="Z359" t="inlineStr">
        <is>
          <t>NLF97</t>
        </is>
      </c>
      <c r="AA359" t="inlineStr">
        <is>
          <t>Black/Black/Gold Metallic</t>
        </is>
      </c>
      <c r="AB359" t="inlineStr">
        <is>
          <t>0197609899590</t>
        </is>
      </c>
      <c r="AC359" t="inlineStr">
        <is>
          <t>no Amazon offer exists</t>
        </is>
      </c>
      <c r="AD359" t="inlineStr">
        <is>
          <t>adidas</t>
        </is>
      </c>
      <c r="AE359" t="inlineStr">
        <is>
          <t>9</t>
        </is>
      </c>
      <c r="AF359"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59" t="inlineStr">
        <is>
          <t>Description
adidas womens VL Court 3.0</t>
        </is>
      </c>
    </row>
    <row r="360">
      <c r="A360" t="inlineStr">
        <is>
          <t>com</t>
        </is>
      </c>
      <c r="B360" t="inlineStr">
        <is>
          <t>B0CKCZ9VG5</t>
        </is>
      </c>
      <c r="C360" t="inlineStr">
        <is>
          <t>adidas Women's VL Court 3.0 Sneaker, Black/Black/Gold Metallic, 9.5</t>
        </is>
      </c>
      <c r="D360" t="n">
        <v>84.69</v>
      </c>
      <c r="E360" t="n">
        <v>84.69</v>
      </c>
      <c r="F360" t="n">
        <v>815</v>
      </c>
      <c r="G360" t="n">
        <v>1689</v>
      </c>
      <c r="H360" t="n">
        <v>65.8</v>
      </c>
      <c r="I360" t="n">
        <v>80.70999999999999</v>
      </c>
      <c r="J360" t="n">
        <v>0.01</v>
      </c>
      <c r="K360" t="n">
        <v>0.82</v>
      </c>
      <c r="L360" t="n">
        <v>4</v>
      </c>
      <c r="M360" t="n">
        <v>6</v>
      </c>
      <c r="N360" t="n">
        <v>4.5</v>
      </c>
      <c r="O360" t="n">
        <v>0</v>
      </c>
      <c r="P360" t="n">
        <v>1562</v>
      </c>
      <c r="Q360" t="n">
        <v>60</v>
      </c>
      <c r="R360" t="n">
        <v>191</v>
      </c>
      <c r="S360" t="inlineStr">
        <is>
          <t>B0C2K2PHL8</t>
        </is>
      </c>
      <c r="U360" t="n">
        <v>1.73944518</v>
      </c>
      <c r="V360" t="n">
        <v>7.7</v>
      </c>
      <c r="W360" t="inlineStr"/>
      <c r="X360" t="inlineStr">
        <is>
          <t>197609899644</t>
        </is>
      </c>
      <c r="Y360" t="inlineStr">
        <is>
          <t>ID9071</t>
        </is>
      </c>
      <c r="Z360" t="inlineStr">
        <is>
          <t>NLF97</t>
        </is>
      </c>
      <c r="AA360" t="inlineStr">
        <is>
          <t>Black/Black/Gold Metallic</t>
        </is>
      </c>
      <c r="AB360" t="inlineStr">
        <is>
          <t>0197609899644</t>
        </is>
      </c>
      <c r="AC360" t="inlineStr">
        <is>
          <t>no Amazon offer exists</t>
        </is>
      </c>
      <c r="AD360" t="inlineStr">
        <is>
          <t>adidas</t>
        </is>
      </c>
      <c r="AE360" t="inlineStr">
        <is>
          <t>9.5</t>
        </is>
      </c>
      <c r="AF360"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60" t="inlineStr">
        <is>
          <t>Description
adidas womens VL Court 3.0</t>
        </is>
      </c>
    </row>
    <row r="361">
      <c r="A361" t="inlineStr">
        <is>
          <t>com</t>
        </is>
      </c>
      <c r="B361" t="inlineStr">
        <is>
          <t>B0CKCQ7GQ9</t>
        </is>
      </c>
      <c r="C361" t="inlineStr">
        <is>
          <t>adidas Women's VL Court 3.0 Sneaker, Black/Black/Gold Metallic, 10</t>
        </is>
      </c>
      <c r="D361" t="n">
        <v>90</v>
      </c>
      <c r="E361" t="n">
        <v>90</v>
      </c>
      <c r="F361" t="n">
        <v>815</v>
      </c>
      <c r="G361" t="n">
        <v>1698</v>
      </c>
      <c r="H361" t="n">
        <v>70.45</v>
      </c>
      <c r="I361" t="n">
        <v>84.09</v>
      </c>
      <c r="J361" t="n">
        <v>0</v>
      </c>
      <c r="K361" t="n">
        <v>0.91</v>
      </c>
      <c r="L361" t="n">
        <v>4</v>
      </c>
      <c r="M361" t="n">
        <v>3</v>
      </c>
      <c r="N361" t="n">
        <v>4.5</v>
      </c>
      <c r="O361" t="n">
        <v>0</v>
      </c>
      <c r="P361" t="n">
        <v>1562</v>
      </c>
      <c r="Q361" t="n">
        <v>63</v>
      </c>
      <c r="R361" t="n">
        <v>174</v>
      </c>
      <c r="S361" t="inlineStr">
        <is>
          <t>B0C2K2PHL8</t>
        </is>
      </c>
      <c r="U361" t="n">
        <v>1.9400656</v>
      </c>
      <c r="V361" t="n">
        <v>7.7</v>
      </c>
      <c r="W361" t="inlineStr"/>
      <c r="X361" t="inlineStr">
        <is>
          <t>197609901842</t>
        </is>
      </c>
      <c r="Y361" t="inlineStr">
        <is>
          <t>ID9071</t>
        </is>
      </c>
      <c r="Z361" t="inlineStr">
        <is>
          <t>NLF97</t>
        </is>
      </c>
      <c r="AA361" t="inlineStr">
        <is>
          <t>Black/Black/Gold Metallic</t>
        </is>
      </c>
      <c r="AB361" t="inlineStr">
        <is>
          <t>0197609901842</t>
        </is>
      </c>
      <c r="AC361" t="inlineStr">
        <is>
          <t>no Amazon offer exists</t>
        </is>
      </c>
      <c r="AD361" t="inlineStr">
        <is>
          <t>adidas</t>
        </is>
      </c>
      <c r="AE361" t="inlineStr">
        <is>
          <t>10</t>
        </is>
      </c>
      <c r="AF361"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61" t="inlineStr">
        <is>
          <t>Description
adidas womens VL Court 3.0</t>
        </is>
      </c>
    </row>
    <row r="362">
      <c r="A362" t="inlineStr">
        <is>
          <t>com</t>
        </is>
      </c>
      <c r="B362" t="inlineStr">
        <is>
          <t>B0CKCXH9D1</t>
        </is>
      </c>
      <c r="C362" t="inlineStr">
        <is>
          <t>adidas Women's VL Court 3.0 Sneaker, Black/Black/Gold Metallic, 11</t>
        </is>
      </c>
      <c r="D362" t="n">
        <v>83.66</v>
      </c>
      <c r="E362" t="n">
        <v>83.66</v>
      </c>
      <c r="F362" t="n">
        <v>815</v>
      </c>
      <c r="G362" t="n">
        <v>1681</v>
      </c>
      <c r="H362" t="n">
        <v>64.02</v>
      </c>
      <c r="I362" t="n">
        <v>74.29000000000001</v>
      </c>
      <c r="J362" t="n">
        <v>0</v>
      </c>
      <c r="K362" t="n">
        <v>0.4</v>
      </c>
      <c r="L362" t="n">
        <v>3</v>
      </c>
      <c r="M362" t="n">
        <v>2</v>
      </c>
      <c r="N362" t="n">
        <v>4.5</v>
      </c>
      <c r="O362" t="n">
        <v>2</v>
      </c>
      <c r="P362" t="n">
        <v>1566</v>
      </c>
      <c r="Q362" t="n">
        <v>65</v>
      </c>
      <c r="R362" t="n">
        <v>187</v>
      </c>
      <c r="S362" t="inlineStr">
        <is>
          <t>B0C2K2PHL8</t>
        </is>
      </c>
      <c r="U362" t="n">
        <v>2.01061344</v>
      </c>
      <c r="V362" t="n">
        <v>7.86</v>
      </c>
      <c r="W362" t="inlineStr"/>
      <c r="X362" t="inlineStr">
        <is>
          <t>197609899613</t>
        </is>
      </c>
      <c r="Y362" t="inlineStr">
        <is>
          <t>ID9071</t>
        </is>
      </c>
      <c r="Z362" t="inlineStr">
        <is>
          <t>NLF97</t>
        </is>
      </c>
      <c r="AA362" t="inlineStr">
        <is>
          <t>Black/Black/Gold Metallic</t>
        </is>
      </c>
      <c r="AB362" t="inlineStr">
        <is>
          <t>0197609899613</t>
        </is>
      </c>
      <c r="AC362" t="inlineStr">
        <is>
          <t>no Amazon offer exists</t>
        </is>
      </c>
      <c r="AD362" t="inlineStr">
        <is>
          <t>adidas</t>
        </is>
      </c>
      <c r="AE362" t="inlineStr">
        <is>
          <t>11</t>
        </is>
      </c>
      <c r="AF362" t="inlineStr">
        <is>
          <t>https://m.media-amazon.com/images/I/619OpNRe9qL.jpg;https://m.media-amazon.com/images/I/71NtviTRVGL.jpg;https://m.media-amazon.com/images/I/71LFzgE1BML.jpg;https://m.media-amazon.com/images/I/61zaEa59lOL.jpg;https://m.media-amazon.com/images/I/618TqbvXsLL.jpg;https://m.media-amazon.com/images/I/71aekd254vL.jpg;https://m.media-amazon.com/images/I/71-8TOz-1AL.jpg</t>
        </is>
      </c>
      <c r="AG362" t="inlineStr">
        <is>
          <t>Description
adidas womens VL Court 3.0</t>
        </is>
      </c>
    </row>
    <row r="363">
      <c r="A363" t="inlineStr">
        <is>
          <t>com</t>
        </is>
      </c>
      <c r="B363" t="inlineStr">
        <is>
          <t>B091MHYDVF</t>
        </is>
      </c>
      <c r="C363" t="inlineStr">
        <is>
          <t>adidas Women's Lite Racer 3.0 Running Shoe, Core Black/Core Black/Iron Metallic, 6</t>
        </is>
      </c>
      <c r="D363" t="n">
        <v>38.11</v>
      </c>
      <c r="E363" t="n">
        <v>38.03</v>
      </c>
      <c r="F363" t="n">
        <v>92085</v>
      </c>
      <c r="G363" t="n">
        <v>93721</v>
      </c>
      <c r="H363" t="n">
        <v>38.53</v>
      </c>
      <c r="I363" t="n">
        <v>40.83</v>
      </c>
      <c r="J363" t="n">
        <v>0</v>
      </c>
      <c r="K363" t="n">
        <v>0.96</v>
      </c>
      <c r="L363" t="n">
        <v>7</v>
      </c>
      <c r="M363" t="n">
        <v>8</v>
      </c>
      <c r="N363" t="n">
        <v>4.4</v>
      </c>
      <c r="O363" t="n">
        <v>8</v>
      </c>
      <c r="P363" t="n">
        <v>111</v>
      </c>
      <c r="Q363" t="n">
        <v>36</v>
      </c>
      <c r="R363" t="n">
        <v>109</v>
      </c>
      <c r="S363" t="inlineStr">
        <is>
          <t>B0DCZS8ZP9</t>
        </is>
      </c>
      <c r="U363" t="n">
        <v>1.0802638</v>
      </c>
      <c r="V363" t="n">
        <v>6.44</v>
      </c>
      <c r="W363" t="n">
        <v>5.71</v>
      </c>
      <c r="X363" t="inlineStr">
        <is>
          <t>194830675931</t>
        </is>
      </c>
      <c r="Y363" t="inlineStr">
        <is>
          <t>LWO23</t>
        </is>
      </c>
      <c r="Z363" t="inlineStr">
        <is>
          <t>LWO23</t>
        </is>
      </c>
      <c r="AA363" t="inlineStr">
        <is>
          <t>Core Black/Core Black/Iron Metallic</t>
        </is>
      </c>
      <c r="AB363" t="inlineStr">
        <is>
          <t>0194830675931</t>
        </is>
      </c>
      <c r="AC363" t="inlineStr">
        <is>
          <t>no Amazon offer exists</t>
        </is>
      </c>
      <c r="AD363" t="inlineStr">
        <is>
          <t>adidas</t>
        </is>
      </c>
      <c r="AE363" t="inlineStr">
        <is>
          <t>6</t>
        </is>
      </c>
      <c r="AF363"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3" t="inlineStr">
        <is>
          <t>Description
adidas Adult Lite Racer 3.0</t>
        </is>
      </c>
    </row>
    <row r="364">
      <c r="A364" t="inlineStr">
        <is>
          <t>com</t>
        </is>
      </c>
      <c r="B364" t="inlineStr">
        <is>
          <t>B091MSLKWG</t>
        </is>
      </c>
      <c r="C364" t="inlineStr">
        <is>
          <t>adidas Women's Lite Racer 3.0 Running Shoe, Core Black/Core Black/Iron Metallic, 6.5</t>
        </is>
      </c>
      <c r="D364" t="n">
        <v>38.1</v>
      </c>
      <c r="E364" t="n">
        <v>38.1</v>
      </c>
      <c r="F364" t="n">
        <v>91517</v>
      </c>
      <c r="G364" t="n">
        <v>94956</v>
      </c>
      <c r="H364" t="n">
        <v>40.13</v>
      </c>
      <c r="I364" t="n">
        <v>41.84</v>
      </c>
      <c r="J364" t="n">
        <v>0</v>
      </c>
      <c r="K364" t="n">
        <v>1</v>
      </c>
      <c r="L364" t="n">
        <v>13</v>
      </c>
      <c r="M364" t="n">
        <v>17</v>
      </c>
      <c r="N364" t="n">
        <v>4.4</v>
      </c>
      <c r="O364" t="n">
        <v>10</v>
      </c>
      <c r="P364" t="n">
        <v>111</v>
      </c>
      <c r="Q364" t="n">
        <v>43</v>
      </c>
      <c r="R364" t="n">
        <v>123</v>
      </c>
      <c r="S364" t="inlineStr">
        <is>
          <t>B0DCZS8ZP9</t>
        </is>
      </c>
      <c r="U364" t="n">
        <v>1.0361714</v>
      </c>
      <c r="V364" t="n">
        <v>6.61</v>
      </c>
      <c r="W364" t="n">
        <v>5.72</v>
      </c>
      <c r="X364" t="inlineStr">
        <is>
          <t>194830675979</t>
        </is>
      </c>
      <c r="Y364" t="inlineStr">
        <is>
          <t>LWO23</t>
        </is>
      </c>
      <c r="Z364" t="inlineStr">
        <is>
          <t>LWO23</t>
        </is>
      </c>
      <c r="AA364" t="inlineStr">
        <is>
          <t>Core Black/Core Black/Iron Metallic</t>
        </is>
      </c>
      <c r="AB364" t="inlineStr">
        <is>
          <t>0194830675979</t>
        </is>
      </c>
      <c r="AC364" t="inlineStr">
        <is>
          <t>no Amazon offer exists</t>
        </is>
      </c>
      <c r="AD364" t="inlineStr">
        <is>
          <t>adidas</t>
        </is>
      </c>
      <c r="AE364" t="inlineStr">
        <is>
          <t>6.5</t>
        </is>
      </c>
      <c r="AF364"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4" t="inlineStr">
        <is>
          <t>Description
adidas Adult Lite Racer 3.0</t>
        </is>
      </c>
    </row>
    <row r="365">
      <c r="A365" t="inlineStr">
        <is>
          <t>com</t>
        </is>
      </c>
      <c r="B365" t="inlineStr">
        <is>
          <t>B091MLW5FJ</t>
        </is>
      </c>
      <c r="C365" t="inlineStr">
        <is>
          <t>adidas Women's Lite Racer 3.0 Running Shoe, Core Black/Core Black/Iron Metallic, 7</t>
        </is>
      </c>
      <c r="D365" t="n">
        <v>37.77</v>
      </c>
      <c r="E365" t="n">
        <v>37.79</v>
      </c>
      <c r="F365" t="n">
        <v>29143</v>
      </c>
      <c r="G365" t="n">
        <v>42416</v>
      </c>
      <c r="H365" t="n">
        <v>39.17</v>
      </c>
      <c r="I365" t="n">
        <v>39</v>
      </c>
      <c r="J365" t="n">
        <v>0</v>
      </c>
      <c r="K365" t="n">
        <v>1</v>
      </c>
      <c r="L365" t="n">
        <v>10</v>
      </c>
      <c r="M365" t="n">
        <v>11</v>
      </c>
      <c r="N365" t="n">
        <v>4.5</v>
      </c>
      <c r="O365" t="n">
        <v>22</v>
      </c>
      <c r="P365" t="n">
        <v>193</v>
      </c>
      <c r="Q365" t="n">
        <v>34</v>
      </c>
      <c r="R365" t="n">
        <v>116</v>
      </c>
      <c r="S365" t="inlineStr">
        <is>
          <t>B0BLZSC5LL</t>
        </is>
      </c>
      <c r="T365" t="n">
        <v>50</v>
      </c>
      <c r="U365" t="n">
        <v>1.1684486</v>
      </c>
      <c r="V365" t="n">
        <v>7.54</v>
      </c>
      <c r="W365" t="n">
        <v>5.67</v>
      </c>
      <c r="X365" t="inlineStr">
        <is>
          <t>194830675924</t>
        </is>
      </c>
      <c r="Y365" t="inlineStr">
        <is>
          <t>LWO23</t>
        </is>
      </c>
      <c r="Z365" t="inlineStr">
        <is>
          <t>LWO23</t>
        </is>
      </c>
      <c r="AA365" t="inlineStr">
        <is>
          <t>Core Black/Core Black/Iron Metallic</t>
        </is>
      </c>
      <c r="AB365" t="inlineStr">
        <is>
          <t>0194830675924</t>
        </is>
      </c>
      <c r="AC365" t="inlineStr">
        <is>
          <t>no Amazon offer exists</t>
        </is>
      </c>
      <c r="AD365" t="inlineStr">
        <is>
          <t>adidas</t>
        </is>
      </c>
      <c r="AE365" t="inlineStr">
        <is>
          <t>7</t>
        </is>
      </c>
      <c r="AF365"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5" t="inlineStr">
        <is>
          <t>Description
adidas Adult Lite Racer 3.0</t>
        </is>
      </c>
    </row>
    <row r="366">
      <c r="A366" t="inlineStr">
        <is>
          <t>com</t>
        </is>
      </c>
      <c r="B366" t="inlineStr">
        <is>
          <t>B091MNT47W</t>
        </is>
      </c>
      <c r="C366" t="inlineStr">
        <is>
          <t>adidas Women's Lite Racer 3.0 Running Shoe, Core Black/Core Black/Iron Metallic, 7.5</t>
        </is>
      </c>
      <c r="D366" t="n">
        <v>37.77</v>
      </c>
      <c r="E366" t="n">
        <v>37.77</v>
      </c>
      <c r="F366" t="n">
        <v>29143</v>
      </c>
      <c r="G366" t="n">
        <v>42402</v>
      </c>
      <c r="H366" t="n">
        <v>41.11</v>
      </c>
      <c r="I366" t="n">
        <v>42.58</v>
      </c>
      <c r="J366" t="n">
        <v>0</v>
      </c>
      <c r="K366" t="n">
        <v>1</v>
      </c>
      <c r="L366" t="n">
        <v>14</v>
      </c>
      <c r="M366" t="n">
        <v>15</v>
      </c>
      <c r="N366" t="n">
        <v>4.5</v>
      </c>
      <c r="O366" t="n">
        <v>17</v>
      </c>
      <c r="P366" t="n">
        <v>193</v>
      </c>
      <c r="Q366" t="n">
        <v>36</v>
      </c>
      <c r="R366" t="n">
        <v>112</v>
      </c>
      <c r="S366" t="inlineStr">
        <is>
          <t>B0BLZSC5LL</t>
        </is>
      </c>
      <c r="U366" t="n">
        <v>1.0141252</v>
      </c>
      <c r="V366" t="n">
        <v>7.54</v>
      </c>
      <c r="W366" t="n">
        <v>5.67</v>
      </c>
      <c r="X366" t="inlineStr">
        <is>
          <t>194830676013</t>
        </is>
      </c>
      <c r="Y366" t="inlineStr">
        <is>
          <t>LWO23</t>
        </is>
      </c>
      <c r="Z366" t="inlineStr">
        <is>
          <t>LWO23</t>
        </is>
      </c>
      <c r="AA366" t="inlineStr">
        <is>
          <t>Core Black/Core Black/Iron Metallic</t>
        </is>
      </c>
      <c r="AB366" t="inlineStr">
        <is>
          <t>0194830676013</t>
        </is>
      </c>
      <c r="AC366" t="inlineStr">
        <is>
          <t>no Amazon offer exists</t>
        </is>
      </c>
      <c r="AD366" t="inlineStr">
        <is>
          <t>adidas</t>
        </is>
      </c>
      <c r="AE366" t="inlineStr">
        <is>
          <t>7.5</t>
        </is>
      </c>
      <c r="AF366"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6" t="inlineStr">
        <is>
          <t>Description
adidas Adult Lite Racer 3.0</t>
        </is>
      </c>
    </row>
    <row r="367">
      <c r="A367" t="inlineStr">
        <is>
          <t>com</t>
        </is>
      </c>
      <c r="B367" t="inlineStr">
        <is>
          <t>B091M81CXK</t>
        </is>
      </c>
      <c r="C367" t="inlineStr">
        <is>
          <t>adidas Women's Lite Racer 3.0 Running Shoe, Core Black/Core Black/Iron Metallic, 8</t>
        </is>
      </c>
      <c r="D367" t="n">
        <v>32.89</v>
      </c>
      <c r="E367" t="n">
        <v>32.88</v>
      </c>
      <c r="F367" t="n">
        <v>92085</v>
      </c>
      <c r="G367" t="n">
        <v>93214</v>
      </c>
      <c r="H367" t="n">
        <v>37.21</v>
      </c>
      <c r="I367" t="n">
        <v>40.9</v>
      </c>
      <c r="J367" t="n">
        <v>0</v>
      </c>
      <c r="K367" t="n">
        <v>1</v>
      </c>
      <c r="L367" t="n">
        <v>26</v>
      </c>
      <c r="M367" t="n">
        <v>29</v>
      </c>
      <c r="N367" t="n">
        <v>4.4</v>
      </c>
      <c r="O367" t="n">
        <v>29</v>
      </c>
      <c r="P367" t="n">
        <v>111</v>
      </c>
      <c r="Q367" t="n">
        <v>74</v>
      </c>
      <c r="R367" t="n">
        <v>180</v>
      </c>
      <c r="S367" t="inlineStr">
        <is>
          <t>B0DCZS8ZP9</t>
        </is>
      </c>
      <c r="T367" t="n">
        <v>50</v>
      </c>
      <c r="U367" t="n">
        <v>1.25883802</v>
      </c>
      <c r="V367" t="n">
        <v>7.54</v>
      </c>
      <c r="W367" t="n">
        <v>4.93</v>
      </c>
      <c r="X367" t="inlineStr">
        <is>
          <t>194830675993</t>
        </is>
      </c>
      <c r="Y367" t="inlineStr">
        <is>
          <t>LWO23</t>
        </is>
      </c>
      <c r="Z367" t="inlineStr">
        <is>
          <t>LWO23</t>
        </is>
      </c>
      <c r="AA367" t="inlineStr">
        <is>
          <t>Core Black/Core Black/Iron Metallic</t>
        </is>
      </c>
      <c r="AB367" t="inlineStr">
        <is>
          <t>0194830675993</t>
        </is>
      </c>
      <c r="AC367" t="inlineStr">
        <is>
          <t>no Amazon offer exists</t>
        </is>
      </c>
      <c r="AD367" t="inlineStr">
        <is>
          <t>adidas</t>
        </is>
      </c>
      <c r="AE367" t="inlineStr">
        <is>
          <t>8</t>
        </is>
      </c>
      <c r="AF367"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7" t="inlineStr">
        <is>
          <t>Description
adidas Adult Lite Racer 3.0</t>
        </is>
      </c>
    </row>
    <row r="368">
      <c r="A368" t="inlineStr">
        <is>
          <t>com</t>
        </is>
      </c>
      <c r="B368" t="inlineStr">
        <is>
          <t>B091MPCYQ2</t>
        </is>
      </c>
      <c r="C368" t="inlineStr">
        <is>
          <t>adidas Women's Lite Racer 3.0 Running Shoe, Core Black/Core Black/Iron Metallic, 8.5</t>
        </is>
      </c>
      <c r="D368" t="n">
        <v>38</v>
      </c>
      <c r="E368" t="n">
        <v>36.7</v>
      </c>
      <c r="F368" t="n">
        <v>91517</v>
      </c>
      <c r="G368" t="n">
        <v>92642</v>
      </c>
      <c r="H368" t="n">
        <v>36.61</v>
      </c>
      <c r="I368" t="n">
        <v>40.31</v>
      </c>
      <c r="J368" t="n">
        <v>0</v>
      </c>
      <c r="K368" t="n">
        <v>1</v>
      </c>
      <c r="L368" t="n">
        <v>25</v>
      </c>
      <c r="M368" t="n">
        <v>26</v>
      </c>
      <c r="N368" t="n">
        <v>4.4</v>
      </c>
      <c r="O368" t="n">
        <v>16</v>
      </c>
      <c r="P368" t="n">
        <v>111</v>
      </c>
      <c r="Q368" t="n">
        <v>57</v>
      </c>
      <c r="R368" t="n">
        <v>158</v>
      </c>
      <c r="S368" t="inlineStr">
        <is>
          <t>B0DCZS8ZP9</t>
        </is>
      </c>
      <c r="T368" t="n">
        <v>50</v>
      </c>
      <c r="U368" t="n">
        <v>1.10231</v>
      </c>
      <c r="V368" t="n">
        <v>7.62</v>
      </c>
      <c r="W368" t="n">
        <v>5.7</v>
      </c>
      <c r="X368" t="inlineStr">
        <is>
          <t>194830675948</t>
        </is>
      </c>
      <c r="Y368" t="inlineStr">
        <is>
          <t>LWO23</t>
        </is>
      </c>
      <c r="Z368" t="inlineStr">
        <is>
          <t>LWO23</t>
        </is>
      </c>
      <c r="AA368" t="inlineStr">
        <is>
          <t>Core Black/Core Black/Iron Metallic</t>
        </is>
      </c>
      <c r="AB368" t="inlineStr">
        <is>
          <t>0194830675948</t>
        </is>
      </c>
      <c r="AC368" t="inlineStr">
        <is>
          <t>no Amazon offer exists</t>
        </is>
      </c>
      <c r="AD368" t="inlineStr">
        <is>
          <t>adidas</t>
        </is>
      </c>
      <c r="AE368" t="inlineStr">
        <is>
          <t>8.5</t>
        </is>
      </c>
      <c r="AF368" t="inlineStr">
        <is>
          <t>https://m.media-amazon.com/images/I/31umWHZkb5L.jpg;https://m.media-amazon.com/images/I/31WetGd8dxL.jpg;https://m.media-amazon.com/images/I/31reiHwMX6L.jpg;https://m.media-amazon.com/images/I/31lDzXzAxfL.jpg;https://m.media-amazon.com/images/I/31i++EJFv-L.jpg;https://m.media-amazon.com/images/I/31iYg2lnqcL.jpg;https://m.media-amazon.com/images/I/31ayIrU5i6L.jpg;https://m.media-amazon.com/images/I/31HSgulNDHL.jpg;https://m.media-amazon.com/images/I/31oqo4E6TcL.jpg;https://m.media-amazon.com/images/I/41jqz68gplL.jpg</t>
        </is>
      </c>
      <c r="AG368" t="inlineStr">
        <is>
          <t>Description
adidas Adult Lite Racer 3.0</t>
        </is>
      </c>
    </row>
    <row r="369">
      <c r="A369" t="inlineStr">
        <is>
          <t>com</t>
        </is>
      </c>
      <c r="B369" t="inlineStr">
        <is>
          <t>B091MR1XTL</t>
        </is>
      </c>
      <c r="C369" t="inlineStr">
        <is>
          <t>adidas Women's Lite Racer 3.0 Running Shoe, Core Black/Core Black/Iron Metallic, 9</t>
        </is>
      </c>
      <c r="D369" t="n">
        <v>38.73</v>
      </c>
      <c r="E369" t="n">
        <v>38.73</v>
      </c>
      <c r="F369" t="n">
        <v>29143</v>
      </c>
      <c r="G369" t="n">
        <v>42277</v>
      </c>
      <c r="H369" t="n">
        <v>38.19</v>
      </c>
      <c r="I369" t="n">
        <v>40.46</v>
      </c>
      <c r="J369" t="n">
        <v>0</v>
      </c>
      <c r="K369" t="n">
        <v>1</v>
      </c>
      <c r="L369" t="n">
        <v>14</v>
      </c>
      <c r="M369" t="n">
        <v>16</v>
      </c>
      <c r="N369" t="n">
        <v>4.5</v>
      </c>
      <c r="O369" t="n">
        <v>20</v>
      </c>
      <c r="P369" t="n">
        <v>193</v>
      </c>
      <c r="Q369" t="n">
        <v>41</v>
      </c>
      <c r="R369" t="n">
        <v>113</v>
      </c>
      <c r="S369" t="inlineStr">
        <is>
          <t>B0BLZSC5LL</t>
        </is>
      </c>
      <c r="T369" t="n">
        <v>50</v>
      </c>
      <c r="U369" t="n">
        <v>1.3117489</v>
      </c>
      <c r="V369" t="n">
        <v>7.62</v>
      </c>
      <c r="W369" t="n">
        <v>5.81</v>
      </c>
      <c r="X369" t="inlineStr">
        <is>
          <t>194830675917</t>
        </is>
      </c>
      <c r="Y369" t="inlineStr">
        <is>
          <t>LWO23</t>
        </is>
      </c>
      <c r="Z369" t="inlineStr">
        <is>
          <t>LWO23</t>
        </is>
      </c>
      <c r="AA369" t="inlineStr">
        <is>
          <t>Core Black/Core Black/Iron Metallic</t>
        </is>
      </c>
      <c r="AB369" t="inlineStr">
        <is>
          <t>0194830675917</t>
        </is>
      </c>
      <c r="AC369" t="inlineStr">
        <is>
          <t>no Amazon offer exists</t>
        </is>
      </c>
      <c r="AD369" t="inlineStr">
        <is>
          <t>adidas</t>
        </is>
      </c>
      <c r="AE369" t="inlineStr">
        <is>
          <t>9</t>
        </is>
      </c>
      <c r="AF369"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69" t="inlineStr">
        <is>
          <t>Description
adidas Adult Lite Racer 3.0</t>
        </is>
      </c>
    </row>
    <row r="370">
      <c r="A370" t="inlineStr">
        <is>
          <t>com</t>
        </is>
      </c>
      <c r="B370" t="inlineStr">
        <is>
          <t>B091MHZFHX</t>
        </is>
      </c>
      <c r="C370" t="inlineStr">
        <is>
          <t>adidas Women's Lite Racer 3.0 Running Shoe, Core Black/Core Black/Iron Metallic, 9.5</t>
        </is>
      </c>
      <c r="D370" t="n">
        <v>37.86</v>
      </c>
      <c r="E370" t="n">
        <v>37.86</v>
      </c>
      <c r="F370" t="n">
        <v>29143</v>
      </c>
      <c r="G370" t="n">
        <v>42241</v>
      </c>
      <c r="H370" t="n">
        <v>39.74</v>
      </c>
      <c r="I370" t="n">
        <v>42.08</v>
      </c>
      <c r="J370" t="n">
        <v>0</v>
      </c>
      <c r="K370" t="n">
        <v>1</v>
      </c>
      <c r="L370" t="n">
        <v>11</v>
      </c>
      <c r="M370" t="n">
        <v>11</v>
      </c>
      <c r="N370" t="n">
        <v>4.5</v>
      </c>
      <c r="O370" t="n">
        <v>5</v>
      </c>
      <c r="P370" t="n">
        <v>193</v>
      </c>
      <c r="Q370" t="n">
        <v>43</v>
      </c>
      <c r="R370" t="n">
        <v>114</v>
      </c>
      <c r="S370" t="inlineStr">
        <is>
          <t>B0BLZSC5LL</t>
        </is>
      </c>
      <c r="U370" t="n">
        <v>1.33599972</v>
      </c>
      <c r="V370" t="n">
        <v>7.54</v>
      </c>
      <c r="W370" t="n">
        <v>5.68</v>
      </c>
      <c r="X370" t="inlineStr">
        <is>
          <t>194830675962</t>
        </is>
      </c>
      <c r="Y370" t="inlineStr">
        <is>
          <t>LWO23</t>
        </is>
      </c>
      <c r="Z370" t="inlineStr">
        <is>
          <t>LWO23</t>
        </is>
      </c>
      <c r="AA370" t="inlineStr">
        <is>
          <t>Core Black/Core Black/Iron Metallic</t>
        </is>
      </c>
      <c r="AB370" t="inlineStr">
        <is>
          <t>0194830675962</t>
        </is>
      </c>
      <c r="AC370" t="inlineStr">
        <is>
          <t>no Amazon offer exists</t>
        </is>
      </c>
      <c r="AD370" t="inlineStr">
        <is>
          <t>adidas</t>
        </is>
      </c>
      <c r="AE370" t="inlineStr">
        <is>
          <t>9.5</t>
        </is>
      </c>
      <c r="AF370"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70" t="inlineStr">
        <is>
          <t>Description
adidas Adult Lite Racer 3.0</t>
        </is>
      </c>
    </row>
    <row r="371">
      <c r="A371" t="inlineStr">
        <is>
          <t>com</t>
        </is>
      </c>
      <c r="B371" t="inlineStr">
        <is>
          <t>B091MMMFD8</t>
        </is>
      </c>
      <c r="C371" t="inlineStr">
        <is>
          <t>adidas Women's Lite Racer 3.0 Running Shoe, Core Black/Core Black/Iron Metallic, 10</t>
        </is>
      </c>
      <c r="D371" t="n">
        <v>37.47</v>
      </c>
      <c r="E371" t="n">
        <v>37.47</v>
      </c>
      <c r="F371" t="n">
        <v>29143</v>
      </c>
      <c r="G371" t="n">
        <v>42169</v>
      </c>
      <c r="H371" t="n">
        <v>42.33</v>
      </c>
      <c r="I371" t="n">
        <v>45.96</v>
      </c>
      <c r="J371" t="n">
        <v>0</v>
      </c>
      <c r="K371" t="n">
        <v>1</v>
      </c>
      <c r="L371" t="n">
        <v>17</v>
      </c>
      <c r="M371" t="n">
        <v>18</v>
      </c>
      <c r="N371" t="n">
        <v>4.5</v>
      </c>
      <c r="O371" t="n">
        <v>3</v>
      </c>
      <c r="P371" t="n">
        <v>193</v>
      </c>
      <c r="Q371" t="n">
        <v>37</v>
      </c>
      <c r="R371" t="n">
        <v>119</v>
      </c>
      <c r="S371" t="inlineStr">
        <is>
          <t>B0BLZSC5LL</t>
        </is>
      </c>
      <c r="U371" t="n">
        <v>1.4550492</v>
      </c>
      <c r="V371" t="n">
        <v>7.86</v>
      </c>
      <c r="W371" t="n">
        <v>5.62</v>
      </c>
      <c r="X371" t="inlineStr">
        <is>
          <t>194830675986</t>
        </is>
      </c>
      <c r="Y371" t="inlineStr">
        <is>
          <t>LWO23</t>
        </is>
      </c>
      <c r="Z371" t="inlineStr">
        <is>
          <t>LWO23</t>
        </is>
      </c>
      <c r="AA371" t="inlineStr">
        <is>
          <t>Core Black/Core Black/Iron Metallic</t>
        </is>
      </c>
      <c r="AB371" t="inlineStr">
        <is>
          <t>0194830675986</t>
        </is>
      </c>
      <c r="AC371" t="inlineStr">
        <is>
          <t>no Amazon offer exists</t>
        </is>
      </c>
      <c r="AD371" t="inlineStr">
        <is>
          <t>adidas</t>
        </is>
      </c>
      <c r="AE371" t="inlineStr">
        <is>
          <t>10</t>
        </is>
      </c>
      <c r="AF371" t="inlineStr">
        <is>
          <t>https://m.media-amazon.com/images/I/71P+IgsLD0L.jpg;https://m.media-amazon.com/images/I/51ltNzHCNOL.jpg;https://m.media-amazon.com/images/I/511WYUmQoHL.jpg;https://m.media-amazon.com/images/I/51CmbERjCHL.jpg;https://m.media-amazon.com/images/I/41ZD-pwsZqL.jpg;https://m.media-amazon.com/images/I/514zpJtsOYL.jpg;https://m.media-amazon.com/images/I/51PI9dYfvYL.jpg;https://m.media-amazon.com/images/I/51DuTC7PVOL.jpg;https://m.media-amazon.com/images/I/51ICJaWcrbL.jpg;https://m.media-amazon.com/images/I/41jqz68gplL.jpg</t>
        </is>
      </c>
      <c r="AG371" t="inlineStr">
        <is>
          <t>Description
adidas Adult Lite Racer 3.0</t>
        </is>
      </c>
    </row>
    <row r="372">
      <c r="A372" t="inlineStr">
        <is>
          <t>com</t>
        </is>
      </c>
      <c r="B372" t="inlineStr">
        <is>
          <t>B09DXW2SYG</t>
        </is>
      </c>
      <c r="C372" t="inlineStr">
        <is>
          <t>adidas Women's Grand Court 2.0 Tennis Shoe</t>
        </is>
      </c>
      <c r="D372" t="n">
        <v>69.98999999999999</v>
      </c>
      <c r="E372" t="n">
        <v>69.95</v>
      </c>
      <c r="F372" t="n">
        <v>3965</v>
      </c>
      <c r="G372" t="n">
        <v>1954</v>
      </c>
      <c r="H372" t="n">
        <v>68.37</v>
      </c>
      <c r="I372" t="n">
        <v>68.48</v>
      </c>
      <c r="J372" t="n">
        <v>0</v>
      </c>
      <c r="K372" t="n">
        <v>0.87</v>
      </c>
      <c r="L372" t="n">
        <v>5</v>
      </c>
      <c r="M372" t="n">
        <v>3</v>
      </c>
      <c r="N372" t="n">
        <v>4.6</v>
      </c>
      <c r="O372" t="n">
        <v>15</v>
      </c>
      <c r="P372" t="n">
        <v>2740</v>
      </c>
      <c r="Q372" t="n">
        <v>50</v>
      </c>
      <c r="R372" t="n">
        <v>144</v>
      </c>
      <c r="S372" t="inlineStr">
        <is>
          <t>B09KMY3ZLD</t>
        </is>
      </c>
      <c r="U372" t="n">
        <v>1.69535278</v>
      </c>
      <c r="V372" t="n">
        <v>7.7</v>
      </c>
      <c r="W372" t="n">
        <v>10.5</v>
      </c>
      <c r="X372" t="inlineStr">
        <is>
          <t>195739844800</t>
        </is>
      </c>
      <c r="Y372" t="inlineStr">
        <is>
          <t>GW9214</t>
        </is>
      </c>
      <c r="Z372" t="inlineStr">
        <is>
          <t>GW9214</t>
        </is>
      </c>
      <c r="AA372" t="inlineStr">
        <is>
          <t>Black</t>
        </is>
      </c>
      <c r="AB372" t="inlineStr">
        <is>
          <t>0195739844800</t>
        </is>
      </c>
      <c r="AC372" t="inlineStr">
        <is>
          <t>Amazon offer is in stock and shippable</t>
        </is>
      </c>
      <c r="AD372" t="inlineStr">
        <is>
          <t>adidas</t>
        </is>
      </c>
      <c r="AE372" t="inlineStr">
        <is>
          <t>5</t>
        </is>
      </c>
      <c r="AF372"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2"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73">
      <c r="A373" t="inlineStr">
        <is>
          <t>com</t>
        </is>
      </c>
      <c r="B373" t="inlineStr">
        <is>
          <t>B09DXTRN2Z</t>
        </is>
      </c>
      <c r="C373" t="inlineStr">
        <is>
          <t>adidas Women's Grand Court 2.0 Tennis Shoe</t>
        </is>
      </c>
      <c r="D373" t="n">
        <v>70</v>
      </c>
      <c r="E373" t="n">
        <v>70</v>
      </c>
      <c r="F373" t="n">
        <v>8133</v>
      </c>
      <c r="G373" t="n">
        <v>2646</v>
      </c>
      <c r="H373" t="n">
        <v>65.33</v>
      </c>
      <c r="I373" t="n">
        <v>66.48999999999999</v>
      </c>
      <c r="J373" t="n">
        <v>0</v>
      </c>
      <c r="K373" t="n">
        <v>1</v>
      </c>
      <c r="L373" t="n">
        <v>8</v>
      </c>
      <c r="M373" t="n">
        <v>3</v>
      </c>
      <c r="N373" t="n">
        <v>4.6</v>
      </c>
      <c r="O373" t="n">
        <v>52</v>
      </c>
      <c r="P373" t="n">
        <v>3633</v>
      </c>
      <c r="Q373" t="n">
        <v>64</v>
      </c>
      <c r="R373" t="n">
        <v>180</v>
      </c>
      <c r="S373" t="inlineStr">
        <is>
          <t>B08145HXGL</t>
        </is>
      </c>
      <c r="T373" t="n">
        <v>50</v>
      </c>
      <c r="U373" t="n">
        <v>1.58953102</v>
      </c>
      <c r="V373" t="n">
        <v>6.61</v>
      </c>
      <c r="W373" t="inlineStr"/>
      <c r="X373" t="inlineStr">
        <is>
          <t>195739844862</t>
        </is>
      </c>
      <c r="Y373" t="inlineStr">
        <is>
          <t>LIT87</t>
        </is>
      </c>
      <c r="Z373" t="inlineStr">
        <is>
          <t>GW9214</t>
        </is>
      </c>
      <c r="AA373" t="inlineStr">
        <is>
          <t>Black</t>
        </is>
      </c>
      <c r="AB373" t="inlineStr">
        <is>
          <t>0195739844862</t>
        </is>
      </c>
      <c r="AC373" t="inlineStr">
        <is>
          <t>no Amazon offer exists</t>
        </is>
      </c>
      <c r="AD373" t="inlineStr">
        <is>
          <t>adidas</t>
        </is>
      </c>
      <c r="AE373" t="inlineStr">
        <is>
          <t>5.5</t>
        </is>
      </c>
      <c r="AF373"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3" t="inlineStr">
        <is>
          <t>Description
adidas branding on tab; Regular fit</t>
        </is>
      </c>
      <c r="AJ373" t="inlineStr">
        <is>
          <t>Exported on 2024-10-28 09:54 (UTC) by ✜ Keepa.com</t>
        </is>
      </c>
    </row>
    <row r="374">
      <c r="A374" t="inlineStr">
        <is>
          <t>com</t>
        </is>
      </c>
      <c r="B374" t="inlineStr">
        <is>
          <t>B09DXVN1NB</t>
        </is>
      </c>
      <c r="C374" t="inlineStr">
        <is>
          <t>adidas Women's Grand Court 2.0 Tennis Shoe</t>
        </is>
      </c>
      <c r="D374" t="n">
        <v>69.95</v>
      </c>
      <c r="E374" t="n">
        <v>69.95</v>
      </c>
      <c r="F374" t="n">
        <v>8133</v>
      </c>
      <c r="G374" t="n">
        <v>2660</v>
      </c>
      <c r="H374" t="n">
        <v>56.66</v>
      </c>
      <c r="I374" t="n">
        <v>57.33</v>
      </c>
      <c r="J374" t="n">
        <v>0</v>
      </c>
      <c r="K374" t="n">
        <v>0</v>
      </c>
      <c r="L374" t="n">
        <v>11</v>
      </c>
      <c r="M374" t="n">
        <v>7</v>
      </c>
      <c r="N374" t="n">
        <v>4.6</v>
      </c>
      <c r="O374" t="n">
        <v>241</v>
      </c>
      <c r="P374" t="n">
        <v>3635</v>
      </c>
      <c r="Q374" t="n">
        <v>106</v>
      </c>
      <c r="R374" t="n">
        <v>285</v>
      </c>
      <c r="S374" t="inlineStr">
        <is>
          <t>B08145HXGL</t>
        </is>
      </c>
      <c r="T374" t="n">
        <v>200</v>
      </c>
      <c r="U374" t="n">
        <v>1.67992044</v>
      </c>
      <c r="V374" t="n">
        <v>7.03</v>
      </c>
      <c r="W374" t="n">
        <v>10.49</v>
      </c>
      <c r="X374" t="inlineStr">
        <is>
          <t>195739844824</t>
        </is>
      </c>
      <c r="Y374" t="inlineStr">
        <is>
          <t>LIT87</t>
        </is>
      </c>
      <c r="Z374" t="inlineStr">
        <is>
          <t>LIT87</t>
        </is>
      </c>
      <c r="AA374" t="inlineStr">
        <is>
          <t>Black</t>
        </is>
      </c>
      <c r="AB374" t="inlineStr">
        <is>
          <t>0195739844824</t>
        </is>
      </c>
      <c r="AC374" t="inlineStr">
        <is>
          <t>Amazon offer is in stock and shippable</t>
        </is>
      </c>
      <c r="AD374" t="inlineStr">
        <is>
          <t>adidas</t>
        </is>
      </c>
      <c r="AE374" t="inlineStr">
        <is>
          <t>6</t>
        </is>
      </c>
      <c r="AF374"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4" t="inlineStr">
        <is>
          <t>Description
adidas branding on tab; Regular fit</t>
        </is>
      </c>
    </row>
    <row r="375">
      <c r="A375" t="inlineStr">
        <is>
          <t>com</t>
        </is>
      </c>
      <c r="B375" t="inlineStr">
        <is>
          <t>B09DXW115R</t>
        </is>
      </c>
      <c r="C375" t="inlineStr">
        <is>
          <t>adidas Women's Grand Court 2.0 Tennis Shoe</t>
        </is>
      </c>
      <c r="D375" t="n">
        <v>54.99</v>
      </c>
      <c r="E375" t="n">
        <v>54.99</v>
      </c>
      <c r="F375" t="n">
        <v>3965</v>
      </c>
      <c r="G375" t="n">
        <v>1963</v>
      </c>
      <c r="H375" t="n">
        <v>55.93</v>
      </c>
      <c r="I375" t="n">
        <v>58.42</v>
      </c>
      <c r="J375" t="n">
        <v>0</v>
      </c>
      <c r="K375" t="n">
        <v>0</v>
      </c>
      <c r="L375" t="n">
        <v>12</v>
      </c>
      <c r="M375" t="n">
        <v>11</v>
      </c>
      <c r="N375" t="n">
        <v>4.6</v>
      </c>
      <c r="O375" t="n">
        <v>270</v>
      </c>
      <c r="P375" t="n">
        <v>2740</v>
      </c>
      <c r="Q375" t="n">
        <v>131</v>
      </c>
      <c r="R375" t="n">
        <v>316</v>
      </c>
      <c r="S375" t="inlineStr">
        <is>
          <t>B09KMY3ZLD</t>
        </is>
      </c>
      <c r="T375" t="n">
        <v>300</v>
      </c>
      <c r="U375" t="n">
        <v>1.80999302</v>
      </c>
      <c r="V375" t="n">
        <v>7.7</v>
      </c>
      <c r="W375" t="n">
        <v>8.25</v>
      </c>
      <c r="X375" t="inlineStr">
        <is>
          <t>195739844855</t>
        </is>
      </c>
      <c r="Y375" t="inlineStr">
        <is>
          <t>LIT87</t>
        </is>
      </c>
      <c r="Z375" t="inlineStr">
        <is>
          <t>LIT87</t>
        </is>
      </c>
      <c r="AA375" t="inlineStr">
        <is>
          <t>White/Black/Black</t>
        </is>
      </c>
      <c r="AB375" t="inlineStr">
        <is>
          <t>0195739844855</t>
        </is>
      </c>
      <c r="AC375" t="inlineStr">
        <is>
          <t>Amazon offer is in stock and shippable</t>
        </is>
      </c>
      <c r="AD375" t="inlineStr">
        <is>
          <t>adidas</t>
        </is>
      </c>
      <c r="AE375" t="inlineStr">
        <is>
          <t>6.5</t>
        </is>
      </c>
      <c r="AF375" t="inlineStr">
        <is>
          <t>https://m.media-amazon.com/images/I/61AQ64ZjfRL.jpg;https://m.media-amazon.com/images/I/41b+Ahj-z8L.jpg;https://m.media-amazon.com/images/I/41ZiT71HB3L.jpg;https://m.media-amazon.com/images/I/41rIegNPm3L.jpg;https://m.media-amazon.com/images/I/51E8dczAyYL.jpg;https://m.media-amazon.com/images/I/41YoldgUZ5L.jpg;https://m.media-amazon.com/images/I/41qXZCD1cIL.jpg;https://m.media-amazon.com/images/I/41pos7OYRRL.jpg;https://m.media-amazon.com/images/I/51ieSMDfw3L.jpg;https://m.media-amazon.com/images/I/41M26SiVtkL.jpg</t>
        </is>
      </c>
      <c r="AG375"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76">
      <c r="A376" t="inlineStr">
        <is>
          <t>com</t>
        </is>
      </c>
      <c r="B376" t="inlineStr">
        <is>
          <t>B09DXS73PP</t>
        </is>
      </c>
      <c r="C376" t="inlineStr">
        <is>
          <t>adidas Women's Grand Court 2.0 Tennis Shoe</t>
        </is>
      </c>
      <c r="D376" t="n">
        <v>59.45</v>
      </c>
      <c r="E376" t="n">
        <v>59.45</v>
      </c>
      <c r="F376" t="n">
        <v>8133</v>
      </c>
      <c r="G376" t="n">
        <v>2655</v>
      </c>
      <c r="H376" t="n">
        <v>56.15</v>
      </c>
      <c r="I376" t="n">
        <v>57</v>
      </c>
      <c r="J376" t="n">
        <v>0</v>
      </c>
      <c r="K376" t="n">
        <v>0</v>
      </c>
      <c r="L376" t="n">
        <v>13</v>
      </c>
      <c r="M376" t="n">
        <v>8</v>
      </c>
      <c r="N376" t="n">
        <v>4.6</v>
      </c>
      <c r="O376" t="n">
        <v>474</v>
      </c>
      <c r="P376" t="n">
        <v>3635</v>
      </c>
      <c r="Q376" t="n">
        <v>128</v>
      </c>
      <c r="R376" t="n">
        <v>363</v>
      </c>
      <c r="S376" t="inlineStr">
        <is>
          <t>B08145HXGL</t>
        </is>
      </c>
      <c r="T376" t="n">
        <v>500</v>
      </c>
      <c r="U376" t="n">
        <v>1.8298346</v>
      </c>
      <c r="V376" t="n">
        <v>7.7</v>
      </c>
      <c r="W376" t="n">
        <v>8.92</v>
      </c>
      <c r="X376" t="inlineStr">
        <is>
          <t>195739844879</t>
        </is>
      </c>
      <c r="Y376" t="inlineStr">
        <is>
          <t>LIT87</t>
        </is>
      </c>
      <c r="Z376" t="inlineStr">
        <is>
          <t>LIT87</t>
        </is>
      </c>
      <c r="AA376" t="inlineStr">
        <is>
          <t>Black</t>
        </is>
      </c>
      <c r="AB376" t="inlineStr">
        <is>
          <t>0195739844879</t>
        </is>
      </c>
      <c r="AC376" t="inlineStr">
        <is>
          <t>Amazon offer is in stock and shippable</t>
        </is>
      </c>
      <c r="AD376" t="inlineStr">
        <is>
          <t>adidas</t>
        </is>
      </c>
      <c r="AE376" t="inlineStr">
        <is>
          <t>7</t>
        </is>
      </c>
      <c r="AF376"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6" t="inlineStr">
        <is>
          <t>Description
adidas branding on tab; Regular fit</t>
        </is>
      </c>
    </row>
    <row r="377">
      <c r="A377" t="inlineStr">
        <is>
          <t>com</t>
        </is>
      </c>
      <c r="B377" t="inlineStr">
        <is>
          <t>B09DXVKGTW</t>
        </is>
      </c>
      <c r="C377" t="inlineStr">
        <is>
          <t>adidas Women's Grand Court 2.0 Tennis Shoe</t>
        </is>
      </c>
      <c r="D377" t="n">
        <v>63.45</v>
      </c>
      <c r="E377" t="n">
        <v>63.45</v>
      </c>
      <c r="F377" t="n">
        <v>8133</v>
      </c>
      <c r="G377" t="n">
        <v>2650</v>
      </c>
      <c r="H377" t="n">
        <v>56.5</v>
      </c>
      <c r="I377" t="n">
        <v>56.63</v>
      </c>
      <c r="J377" t="n">
        <v>0</v>
      </c>
      <c r="K377" t="n">
        <v>0</v>
      </c>
      <c r="L377" t="n">
        <v>11</v>
      </c>
      <c r="M377" t="n">
        <v>9</v>
      </c>
      <c r="N377" t="n">
        <v>4.6</v>
      </c>
      <c r="O377" t="n">
        <v>468</v>
      </c>
      <c r="P377" t="n">
        <v>3634</v>
      </c>
      <c r="Q377" t="n">
        <v>81</v>
      </c>
      <c r="R377" t="n">
        <v>332</v>
      </c>
      <c r="S377" t="inlineStr">
        <is>
          <t>B08145HXGL</t>
        </is>
      </c>
      <c r="T377" t="n">
        <v>600</v>
      </c>
      <c r="U377" t="n">
        <v>1.95990718</v>
      </c>
      <c r="V377" t="n">
        <v>7.7</v>
      </c>
      <c r="W377" t="n">
        <v>9.52</v>
      </c>
      <c r="X377" t="inlineStr">
        <is>
          <t>195739844916</t>
        </is>
      </c>
      <c r="Y377" t="inlineStr">
        <is>
          <t>LIT87</t>
        </is>
      </c>
      <c r="Z377" t="inlineStr">
        <is>
          <t>LIT87</t>
        </is>
      </c>
      <c r="AA377" t="inlineStr">
        <is>
          <t>Black</t>
        </is>
      </c>
      <c r="AB377" t="inlineStr">
        <is>
          <t>0195739844916</t>
        </is>
      </c>
      <c r="AC377" t="inlineStr">
        <is>
          <t>Amazon offer is in stock and shippable</t>
        </is>
      </c>
      <c r="AD377" t="inlineStr">
        <is>
          <t>adidas</t>
        </is>
      </c>
      <c r="AE377" t="inlineStr">
        <is>
          <t>7.5</t>
        </is>
      </c>
      <c r="AF377"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7" t="inlineStr">
        <is>
          <t>Description
adidas branding on tab; Regular fit</t>
        </is>
      </c>
    </row>
    <row r="378">
      <c r="A378" t="inlineStr">
        <is>
          <t>com</t>
        </is>
      </c>
      <c r="B378" t="inlineStr">
        <is>
          <t>B09DXW5CSS</t>
        </is>
      </c>
      <c r="C378" t="inlineStr">
        <is>
          <t>adidas Women's Grand Court 2.0 Tennis Shoe</t>
        </is>
      </c>
      <c r="D378" t="n">
        <v>69.95</v>
      </c>
      <c r="E378" t="n">
        <v>66.93000000000001</v>
      </c>
      <c r="F378" t="n">
        <v>8133</v>
      </c>
      <c r="G378" t="n">
        <v>2639</v>
      </c>
      <c r="H378" t="n">
        <v>59.22</v>
      </c>
      <c r="I378" t="n">
        <v>59.7</v>
      </c>
      <c r="J378" t="n">
        <v>0</v>
      </c>
      <c r="K378" t="n">
        <v>0</v>
      </c>
      <c r="L378" t="n">
        <v>15</v>
      </c>
      <c r="M378" t="n">
        <v>14</v>
      </c>
      <c r="N378" t="n">
        <v>4.6</v>
      </c>
      <c r="O378" t="n">
        <v>510</v>
      </c>
      <c r="P378" t="n">
        <v>3635</v>
      </c>
      <c r="Q378" t="n">
        <v>91</v>
      </c>
      <c r="R378" t="n">
        <v>276</v>
      </c>
      <c r="S378" t="inlineStr">
        <is>
          <t>B08145HXGL</t>
        </is>
      </c>
      <c r="T378" t="n">
        <v>400</v>
      </c>
      <c r="U378" t="n">
        <v>1.95990718</v>
      </c>
      <c r="V378" t="n">
        <v>7.78</v>
      </c>
      <c r="W378" t="n">
        <v>10.49</v>
      </c>
      <c r="X378" t="inlineStr">
        <is>
          <t>195739844893</t>
        </is>
      </c>
      <c r="Y378" t="inlineStr">
        <is>
          <t>LIT87</t>
        </is>
      </c>
      <c r="Z378" t="inlineStr">
        <is>
          <t>LIT87</t>
        </is>
      </c>
      <c r="AA378" t="inlineStr">
        <is>
          <t>White/Black/Black</t>
        </is>
      </c>
      <c r="AB378" t="inlineStr">
        <is>
          <t>0195739844893</t>
        </is>
      </c>
      <c r="AC378" t="inlineStr">
        <is>
          <t>Amazon offer is in stock and shippable</t>
        </is>
      </c>
      <c r="AD378" t="inlineStr">
        <is>
          <t>adidas</t>
        </is>
      </c>
      <c r="AE378" t="inlineStr">
        <is>
          <t>8</t>
        </is>
      </c>
      <c r="AF378" t="inlineStr">
        <is>
          <t>https://m.media-amazon.com/images/I/61AQ64ZjfRL.jpg;https://m.media-amazon.com/images/I/41b+Ahj-z8L.jpg;https://m.media-amazon.com/images/I/41ZiT71HB3L.jpg;https://m.media-amazon.com/images/I/41rIegNPm3L.jpg;https://m.media-amazon.com/images/I/51E8dczAyYL.jpg;https://m.media-amazon.com/images/I/41YoldgUZ5L.jpg;https://m.media-amazon.com/images/I/41qXZCD1cIL.jpg;https://m.media-amazon.com/images/I/41pos7OYRRL.jpg;https://m.media-amazon.com/images/I/51ieSMDfw3L.jpg;https://m.media-amazon.com/images/I/41M26SiVtkL.jpg</t>
        </is>
      </c>
      <c r="AG378" t="inlineStr">
        <is>
          <t>Description
adidas branding on tab; Regular fit</t>
        </is>
      </c>
    </row>
    <row r="379">
      <c r="A379" t="inlineStr">
        <is>
          <t>com</t>
        </is>
      </c>
      <c r="B379" t="inlineStr">
        <is>
          <t>B09DXTJ1QR</t>
        </is>
      </c>
      <c r="C379" t="inlineStr">
        <is>
          <t>adidas Women's Grand Court 2.0 Tennis Shoe</t>
        </is>
      </c>
      <c r="D379" t="n">
        <v>69.98999999999999</v>
      </c>
      <c r="E379" t="n">
        <v>69.93000000000001</v>
      </c>
      <c r="F379" t="n">
        <v>8133</v>
      </c>
      <c r="G379" t="n">
        <v>2650</v>
      </c>
      <c r="H379" t="n">
        <v>56.74</v>
      </c>
      <c r="I379" t="n">
        <v>57.4</v>
      </c>
      <c r="J379" t="n">
        <v>0</v>
      </c>
      <c r="K379" t="n">
        <v>0</v>
      </c>
      <c r="L379" t="n">
        <v>12</v>
      </c>
      <c r="M379" t="n">
        <v>11</v>
      </c>
      <c r="N379" t="n">
        <v>4.6</v>
      </c>
      <c r="O379" t="n">
        <v>536</v>
      </c>
      <c r="P379" t="n">
        <v>3635</v>
      </c>
      <c r="Q379" t="n">
        <v>142</v>
      </c>
      <c r="R379" t="n">
        <v>375</v>
      </c>
      <c r="S379" t="inlineStr">
        <is>
          <t>B08145HXGL</t>
        </is>
      </c>
      <c r="T379" t="n">
        <v>500</v>
      </c>
      <c r="U379" t="n">
        <v>2.03045502</v>
      </c>
      <c r="V379" t="n">
        <v>7.7</v>
      </c>
      <c r="W379" t="n">
        <v>10.5</v>
      </c>
      <c r="X379" t="inlineStr">
        <is>
          <t>195739844817</t>
        </is>
      </c>
      <c r="Y379" t="inlineStr">
        <is>
          <t>LIT87</t>
        </is>
      </c>
      <c r="Z379" t="inlineStr">
        <is>
          <t>LIT87</t>
        </is>
      </c>
      <c r="AA379" t="inlineStr">
        <is>
          <t>Black</t>
        </is>
      </c>
      <c r="AB379" t="inlineStr">
        <is>
          <t>0195739844817</t>
        </is>
      </c>
      <c r="AC379" t="inlineStr">
        <is>
          <t>Amazon offer is in stock and shippable</t>
        </is>
      </c>
      <c r="AD379" t="inlineStr">
        <is>
          <t>adidas</t>
        </is>
      </c>
      <c r="AE379" t="inlineStr">
        <is>
          <t>8.5</t>
        </is>
      </c>
      <c r="AF379"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79" t="inlineStr">
        <is>
          <t>Description
adidas branding on tab; Regular fit</t>
        </is>
      </c>
    </row>
    <row r="380">
      <c r="A380" t="inlineStr">
        <is>
          <t>com</t>
        </is>
      </c>
      <c r="B380" t="inlineStr">
        <is>
          <t>B09DXV3M4W</t>
        </is>
      </c>
      <c r="C380" t="inlineStr">
        <is>
          <t>adidas Women's Grand Court 2.0 Tennis Shoe</t>
        </is>
      </c>
      <c r="D380" t="n">
        <v>54.99</v>
      </c>
      <c r="E380" t="n">
        <v>54.99</v>
      </c>
      <c r="F380" t="n">
        <v>3965</v>
      </c>
      <c r="G380" t="n">
        <v>1952</v>
      </c>
      <c r="H380" t="n">
        <v>55.68</v>
      </c>
      <c r="I380" t="n">
        <v>57.71</v>
      </c>
      <c r="J380" t="n">
        <v>0</v>
      </c>
      <c r="K380" t="n">
        <v>0</v>
      </c>
      <c r="L380" t="n">
        <v>17</v>
      </c>
      <c r="M380" t="n">
        <v>16</v>
      </c>
      <c r="N380" t="n">
        <v>4.6</v>
      </c>
      <c r="O380" t="n">
        <v>367</v>
      </c>
      <c r="P380" t="n">
        <v>2740</v>
      </c>
      <c r="Q380" t="n">
        <v>122</v>
      </c>
      <c r="R380" t="n">
        <v>301</v>
      </c>
      <c r="S380" t="inlineStr">
        <is>
          <t>B09KMY3ZLD</t>
        </is>
      </c>
      <c r="T380" t="n">
        <v>600</v>
      </c>
      <c r="U380" t="n">
        <v>2.2707586</v>
      </c>
      <c r="V380" t="n">
        <v>7.86</v>
      </c>
      <c r="W380" t="n">
        <v>8.25</v>
      </c>
      <c r="X380" t="inlineStr">
        <is>
          <t>195739844886</t>
        </is>
      </c>
      <c r="Y380" t="inlineStr">
        <is>
          <t>LIT87</t>
        </is>
      </c>
      <c r="Z380" t="inlineStr">
        <is>
          <t>LIT87</t>
        </is>
      </c>
      <c r="AA380" t="inlineStr">
        <is>
          <t>White/Black/Black</t>
        </is>
      </c>
      <c r="AB380" t="inlineStr">
        <is>
          <t>0195739844886</t>
        </is>
      </c>
      <c r="AC380" t="inlineStr">
        <is>
          <t>Amazon offer is in stock and shippable</t>
        </is>
      </c>
      <c r="AD380" t="inlineStr">
        <is>
          <t>adidas</t>
        </is>
      </c>
      <c r="AE380" t="inlineStr">
        <is>
          <t>9</t>
        </is>
      </c>
      <c r="AF380" t="inlineStr">
        <is>
          <t>https://m.media-amazon.com/images/I/61AQ64ZjfRL.jpg;https://m.media-amazon.com/images/I/41b+Ahj-z8L.jpg;https://m.media-amazon.com/images/I/41ZiT71HB3L.jpg;https://m.media-amazon.com/images/I/41rIegNPm3L.jpg;https://m.media-amazon.com/images/I/51E8dczAyYL.jpg;https://m.media-amazon.com/images/I/41YoldgUZ5L.jpg;https://m.media-amazon.com/images/I/41qXZCD1cIL.jpg;https://m.media-amazon.com/images/I/41pos7OYRRL.jpg;https://m.media-amazon.com/images/I/51ieSMDfw3L.jpg;https://m.media-amazon.com/images/I/41M26SiVtkL.jpg</t>
        </is>
      </c>
      <c r="AG380"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1">
      <c r="A381" t="inlineStr">
        <is>
          <t>com</t>
        </is>
      </c>
      <c r="B381" t="inlineStr">
        <is>
          <t>B09DXT1BZH</t>
        </is>
      </c>
      <c r="C381" t="inlineStr">
        <is>
          <t>adidas Women's Grand Court 2.0 Tennis Shoe</t>
        </is>
      </c>
      <c r="D381" t="n">
        <v>55.03</v>
      </c>
      <c r="E381" t="n">
        <v>54.89</v>
      </c>
      <c r="F381" t="n">
        <v>3965</v>
      </c>
      <c r="G381" t="n">
        <v>1954</v>
      </c>
      <c r="H381" t="n">
        <v>55.59</v>
      </c>
      <c r="I381" t="n">
        <v>57.23</v>
      </c>
      <c r="J381" t="n">
        <v>0</v>
      </c>
      <c r="K381" t="n">
        <v>0</v>
      </c>
      <c r="L381" t="n">
        <v>15</v>
      </c>
      <c r="M381" t="n">
        <v>14</v>
      </c>
      <c r="N381" t="n">
        <v>4.6</v>
      </c>
      <c r="O381" t="n">
        <v>183</v>
      </c>
      <c r="P381" t="n">
        <v>2740</v>
      </c>
      <c r="Q381" t="n">
        <v>105</v>
      </c>
      <c r="R381" t="n">
        <v>271</v>
      </c>
      <c r="S381" t="inlineStr">
        <is>
          <t>B09KMY3ZLD</t>
        </is>
      </c>
      <c r="T381" t="n">
        <v>300</v>
      </c>
      <c r="U381" t="n">
        <v>2.25091702</v>
      </c>
      <c r="V381" t="n">
        <v>7.86</v>
      </c>
      <c r="W381" t="n">
        <v>8.25</v>
      </c>
      <c r="X381" t="inlineStr">
        <is>
          <t>195739844909</t>
        </is>
      </c>
      <c r="Y381" t="inlineStr">
        <is>
          <t>LIT87</t>
        </is>
      </c>
      <c r="Z381" t="inlineStr">
        <is>
          <t>LIT87</t>
        </is>
      </c>
      <c r="AA381" t="inlineStr">
        <is>
          <t>White/Black/Black</t>
        </is>
      </c>
      <c r="AB381" t="inlineStr">
        <is>
          <t>0195739844909</t>
        </is>
      </c>
      <c r="AC381" t="inlineStr">
        <is>
          <t>Amazon offer is in stock and shippable</t>
        </is>
      </c>
      <c r="AD381" t="inlineStr">
        <is>
          <t>adidas</t>
        </is>
      </c>
      <c r="AE381" t="inlineStr">
        <is>
          <t>9.5</t>
        </is>
      </c>
      <c r="AF381" t="inlineStr">
        <is>
          <t>https://m.media-amazon.com/images/I/31XPWwUPFAL.jpg;https://m.media-amazon.com/images/I/31KoZcEZ5WL.jpg;https://m.media-amazon.com/images/I/218knqLfeVL.jpg;https://m.media-amazon.com/images/I/31t-BQN8-BL.jpg;https://m.media-amazon.com/images/I/31pqcEaYXzL.jpg;https://m.media-amazon.com/images/I/311zwClNr3L.jpg;https://m.media-amazon.com/images/I/31MX1hC7IGL.jpg;https://m.media-amazon.com/images/I/21M1HXg80BL.jpg;https://m.media-amazon.com/images/I/31+L6JyrTUL.jpg;https://m.media-amazon.com/images/I/41M26SiVtkL.jpg</t>
        </is>
      </c>
      <c r="AG381"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2">
      <c r="A382" t="inlineStr">
        <is>
          <t>com</t>
        </is>
      </c>
      <c r="B382" t="inlineStr">
        <is>
          <t>B09DXTH118</t>
        </is>
      </c>
      <c r="C382" t="inlineStr">
        <is>
          <t>adidas Women's Grand Court 2.0 Tennis Shoe</t>
        </is>
      </c>
      <c r="D382" t="n">
        <v>69.95</v>
      </c>
      <c r="E382" t="n">
        <v>69.94</v>
      </c>
      <c r="F382" t="n">
        <v>3965</v>
      </c>
      <c r="G382" t="n">
        <v>1949</v>
      </c>
      <c r="H382" t="n">
        <v>56.12</v>
      </c>
      <c r="I382" t="n">
        <v>56.26</v>
      </c>
      <c r="J382" t="n">
        <v>0</v>
      </c>
      <c r="K382" t="n">
        <v>0</v>
      </c>
      <c r="L382" t="n">
        <v>12</v>
      </c>
      <c r="M382" t="n">
        <v>11</v>
      </c>
      <c r="N382" t="n">
        <v>4.6</v>
      </c>
      <c r="O382" t="n">
        <v>264</v>
      </c>
      <c r="P382" t="n">
        <v>2740</v>
      </c>
      <c r="Q382" t="n">
        <v>112</v>
      </c>
      <c r="R382" t="n">
        <v>251</v>
      </c>
      <c r="S382" t="inlineStr">
        <is>
          <t>B09KMY3ZLD</t>
        </is>
      </c>
      <c r="T382" t="n">
        <v>100</v>
      </c>
      <c r="U382" t="n">
        <v>2.25091702</v>
      </c>
      <c r="V382" t="n">
        <v>7.86</v>
      </c>
      <c r="W382" t="n">
        <v>10.49</v>
      </c>
      <c r="X382" t="inlineStr">
        <is>
          <t>195739844831</t>
        </is>
      </c>
      <c r="Y382" t="inlineStr">
        <is>
          <t>LIT87</t>
        </is>
      </c>
      <c r="Z382" t="inlineStr">
        <is>
          <t>LIT87</t>
        </is>
      </c>
      <c r="AA382" t="inlineStr">
        <is>
          <t>Black</t>
        </is>
      </c>
      <c r="AB382" t="inlineStr">
        <is>
          <t>0195739844831</t>
        </is>
      </c>
      <c r="AC382" t="inlineStr">
        <is>
          <t>Amazon offer is in stock and shippable</t>
        </is>
      </c>
      <c r="AD382" t="inlineStr">
        <is>
          <t>adidas</t>
        </is>
      </c>
      <c r="AE382" t="inlineStr">
        <is>
          <t>10</t>
        </is>
      </c>
      <c r="AF382"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82"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3">
      <c r="A383" t="inlineStr">
        <is>
          <t>com</t>
        </is>
      </c>
      <c r="B383" t="inlineStr">
        <is>
          <t>B09VCK8FW8</t>
        </is>
      </c>
      <c r="C383" t="inlineStr">
        <is>
          <t>adidas Women's Grand Court 2.0 Tennis Shoe</t>
        </is>
      </c>
      <c r="D383" t="n">
        <v>69.98999999999999</v>
      </c>
      <c r="E383" t="n">
        <v>69.42</v>
      </c>
      <c r="F383" t="n">
        <v>3965</v>
      </c>
      <c r="G383" t="n">
        <v>1954</v>
      </c>
      <c r="H383" t="n">
        <v>63.19</v>
      </c>
      <c r="I383" t="n">
        <v>63.56</v>
      </c>
      <c r="J383" t="n">
        <v>0</v>
      </c>
      <c r="K383" t="n">
        <v>0.47</v>
      </c>
      <c r="L383" t="n">
        <v>4</v>
      </c>
      <c r="M383" t="n">
        <v>5</v>
      </c>
      <c r="N383" t="n">
        <v>4.6</v>
      </c>
      <c r="O383" t="n">
        <v>29</v>
      </c>
      <c r="P383" t="n">
        <v>2738</v>
      </c>
      <c r="Q383" t="n">
        <v>68</v>
      </c>
      <c r="R383" t="n">
        <v>148</v>
      </c>
      <c r="S383" t="inlineStr">
        <is>
          <t>B09KMY3ZLD</t>
        </is>
      </c>
      <c r="T383" t="n">
        <v>50</v>
      </c>
      <c r="U383" t="n">
        <v>2.1825738</v>
      </c>
      <c r="V383" t="n">
        <v>8.02</v>
      </c>
      <c r="W383" t="n">
        <v>10.5</v>
      </c>
      <c r="X383" t="inlineStr">
        <is>
          <t>195746015439</t>
        </is>
      </c>
      <c r="Y383" t="inlineStr">
        <is>
          <t>GW9214</t>
        </is>
      </c>
      <c r="Z383" t="inlineStr">
        <is>
          <t>LIT87</t>
        </is>
      </c>
      <c r="AA383" t="inlineStr">
        <is>
          <t>Black</t>
        </is>
      </c>
      <c r="AB383" t="inlineStr">
        <is>
          <t>0195746015439</t>
        </is>
      </c>
      <c r="AC383" t="inlineStr">
        <is>
          <t>Amazon offer is in stock and shippable</t>
        </is>
      </c>
      <c r="AD383" t="inlineStr">
        <is>
          <t>adidas</t>
        </is>
      </c>
      <c r="AE383" t="inlineStr">
        <is>
          <t>11</t>
        </is>
      </c>
      <c r="AF383" t="inlineStr">
        <is>
          <t>https://m.media-amazon.com/images/I/41Jhn7-62eL.jpg;https://m.media-amazon.com/images/I/61q2Ftb2zjL.jpg;https://m.media-amazon.com/images/I/71MuSEaDRgL.jpg;https://m.media-amazon.com/images/I/81pMswZ9JoL.jpg;https://m.media-amazon.com/images/I/71OSADZQDCL.jpg;https://m.media-amazon.com/images/I/71Jz6-NTHXL.jpg;https://m.media-amazon.com/images/I/81zBwlqLSUL.jpg;https://m.media-amazon.com/images/I/71D5dbUxHfL.jpg</t>
        </is>
      </c>
      <c r="AG383"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4">
      <c r="A384" t="inlineStr">
        <is>
          <t>com</t>
        </is>
      </c>
      <c r="B384" t="inlineStr">
        <is>
          <t>B09DXTKDP7</t>
        </is>
      </c>
      <c r="C384" t="inlineStr">
        <is>
          <t>adidas Women's Grand Court 2.0 Tennis Shoe</t>
        </is>
      </c>
      <c r="D384" t="n">
        <v>68.52</v>
      </c>
      <c r="E384" t="n">
        <v>66.94</v>
      </c>
      <c r="F384" t="n">
        <v>3965</v>
      </c>
      <c r="G384" t="n">
        <v>1953</v>
      </c>
      <c r="H384" t="n">
        <v>65.95999999999999</v>
      </c>
      <c r="I384" t="n">
        <v>67.29000000000001</v>
      </c>
      <c r="J384" t="n">
        <v>0.06</v>
      </c>
      <c r="K384" t="n">
        <v>0.61</v>
      </c>
      <c r="L384" t="n">
        <v>2</v>
      </c>
      <c r="M384" t="n">
        <v>3</v>
      </c>
      <c r="N384" t="n">
        <v>4.6</v>
      </c>
      <c r="O384" t="n">
        <v>8</v>
      </c>
      <c r="P384" t="n">
        <v>2738</v>
      </c>
      <c r="Q384" t="n">
        <v>96</v>
      </c>
      <c r="R384" t="n">
        <v>206</v>
      </c>
      <c r="S384" t="inlineStr">
        <is>
          <t>B09KMY3ZLD</t>
        </is>
      </c>
      <c r="U384" t="n">
        <v>1.6093726</v>
      </c>
      <c r="V384" t="n">
        <v>7.03</v>
      </c>
      <c r="W384" t="n">
        <v>10.28</v>
      </c>
      <c r="X384" t="inlineStr">
        <is>
          <t>195740024611</t>
        </is>
      </c>
      <c r="Y384" t="inlineStr">
        <is>
          <t>LIT87</t>
        </is>
      </c>
      <c r="Z384" t="inlineStr">
        <is>
          <t>LIT87</t>
        </is>
      </c>
      <c r="AA384" t="inlineStr">
        <is>
          <t>White/Platin Metallic/Platin Metallic</t>
        </is>
      </c>
      <c r="AB384" t="inlineStr">
        <is>
          <t>0195740024611</t>
        </is>
      </c>
      <c r="AC384" t="inlineStr">
        <is>
          <t>Amazon offer is in stock and shippable</t>
        </is>
      </c>
      <c r="AD384" t="inlineStr">
        <is>
          <t>adidas</t>
        </is>
      </c>
      <c r="AE384" t="inlineStr">
        <is>
          <t>5</t>
        </is>
      </c>
      <c r="AF384"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4"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5">
      <c r="A385" t="inlineStr">
        <is>
          <t>com</t>
        </is>
      </c>
      <c r="B385" t="inlineStr">
        <is>
          <t>B09DXVMWMN</t>
        </is>
      </c>
      <c r="C385" t="inlineStr">
        <is>
          <t>adidas Women's Grand Court 2.0 Tennis Shoe</t>
        </is>
      </c>
      <c r="D385" t="n">
        <v>65.73999999999999</v>
      </c>
      <c r="E385" t="n">
        <v>65</v>
      </c>
      <c r="F385" t="n">
        <v>3965</v>
      </c>
      <c r="G385" t="n">
        <v>1963</v>
      </c>
      <c r="H385" t="n">
        <v>61.3</v>
      </c>
      <c r="I385" t="n">
        <v>68.18000000000001</v>
      </c>
      <c r="J385" t="n">
        <v>0</v>
      </c>
      <c r="K385" t="n">
        <v>0</v>
      </c>
      <c r="L385" t="n">
        <v>6</v>
      </c>
      <c r="M385" t="n">
        <v>5</v>
      </c>
      <c r="N385" t="n">
        <v>4.6</v>
      </c>
      <c r="O385" t="n">
        <v>14</v>
      </c>
      <c r="P385" t="n">
        <v>2738</v>
      </c>
      <c r="Q385" t="n">
        <v>96</v>
      </c>
      <c r="R385" t="n">
        <v>246</v>
      </c>
      <c r="S385" t="inlineStr">
        <is>
          <t>B09KMY3ZLD</t>
        </is>
      </c>
      <c r="U385" t="n">
        <v>1.6865343</v>
      </c>
      <c r="V385" t="n">
        <v>6.61</v>
      </c>
      <c r="W385" t="n">
        <v>9.859999999999999</v>
      </c>
      <c r="X385" t="inlineStr">
        <is>
          <t>195740020941</t>
        </is>
      </c>
      <c r="Y385" t="inlineStr">
        <is>
          <t>LIT87</t>
        </is>
      </c>
      <c r="Z385" t="inlineStr">
        <is>
          <t>LIT87</t>
        </is>
      </c>
      <c r="AA385" t="inlineStr">
        <is>
          <t>White/Platin Metallic/Platin Metallic</t>
        </is>
      </c>
      <c r="AB385" t="inlineStr">
        <is>
          <t>0195740020941</t>
        </is>
      </c>
      <c r="AC385" t="inlineStr">
        <is>
          <t>Amazon offer is in stock and shippable</t>
        </is>
      </c>
      <c r="AD385" t="inlineStr">
        <is>
          <t>adidas</t>
        </is>
      </c>
      <c r="AE385" t="inlineStr">
        <is>
          <t>5.5</t>
        </is>
      </c>
      <c r="AF385"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5"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6">
      <c r="A386" t="inlineStr">
        <is>
          <t>com</t>
        </is>
      </c>
      <c r="B386" t="inlineStr">
        <is>
          <t>B09DXVFPHS</t>
        </is>
      </c>
      <c r="C386" t="inlineStr">
        <is>
          <t>adidas Women's Grand Court 2.0 Tennis Shoe</t>
        </is>
      </c>
      <c r="D386" t="n">
        <v>69.95</v>
      </c>
      <c r="E386" t="n">
        <v>69.95</v>
      </c>
      <c r="F386" t="n">
        <v>3965</v>
      </c>
      <c r="G386" t="n">
        <v>1960</v>
      </c>
      <c r="H386" t="n">
        <v>62.58</v>
      </c>
      <c r="I386" t="n">
        <v>66.59999999999999</v>
      </c>
      <c r="J386" t="n">
        <v>0</v>
      </c>
      <c r="K386" t="n">
        <v>0.02</v>
      </c>
      <c r="L386" t="n">
        <v>6</v>
      </c>
      <c r="M386" t="n">
        <v>3</v>
      </c>
      <c r="N386" t="n">
        <v>4.6</v>
      </c>
      <c r="O386" t="n">
        <v>34</v>
      </c>
      <c r="P386" t="n">
        <v>2739</v>
      </c>
      <c r="Q386" t="n">
        <v>99</v>
      </c>
      <c r="R386" t="n">
        <v>263</v>
      </c>
      <c r="S386" t="inlineStr">
        <is>
          <t>B09KMY3ZLD</t>
        </is>
      </c>
      <c r="T386" t="n">
        <v>100</v>
      </c>
      <c r="U386" t="n">
        <v>1.763696</v>
      </c>
      <c r="V386" t="n">
        <v>6.61</v>
      </c>
      <c r="W386" t="n">
        <v>10.49</v>
      </c>
      <c r="X386" t="inlineStr">
        <is>
          <t>195740020989</t>
        </is>
      </c>
      <c r="Y386" t="inlineStr">
        <is>
          <t>LIT87</t>
        </is>
      </c>
      <c r="Z386" t="inlineStr">
        <is>
          <t>LIT87</t>
        </is>
      </c>
      <c r="AA386" t="inlineStr">
        <is>
          <t>White/Platin Metallic/Platin Metallic</t>
        </is>
      </c>
      <c r="AB386" t="inlineStr">
        <is>
          <t>0195740020989</t>
        </is>
      </c>
      <c r="AC386" t="inlineStr">
        <is>
          <t>Amazon offer is in stock and shippable</t>
        </is>
      </c>
      <c r="AD386" t="inlineStr">
        <is>
          <t>adidas</t>
        </is>
      </c>
      <c r="AE386" t="inlineStr">
        <is>
          <t>6</t>
        </is>
      </c>
      <c r="AF386"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6"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7">
      <c r="A387" t="inlineStr">
        <is>
          <t>com</t>
        </is>
      </c>
      <c r="B387" t="inlineStr">
        <is>
          <t>B09DXWL1XZ</t>
        </is>
      </c>
      <c r="C387" t="inlineStr">
        <is>
          <t>adidas Women's Grand Court 2.0 Tennis Shoe</t>
        </is>
      </c>
      <c r="D387" t="n">
        <v>66.34</v>
      </c>
      <c r="E387" t="n">
        <v>66</v>
      </c>
      <c r="F387" t="n">
        <v>8133</v>
      </c>
      <c r="G387" t="n">
        <v>2664</v>
      </c>
      <c r="H387" t="n">
        <v>65.26000000000001</v>
      </c>
      <c r="I387" t="n">
        <v>69.3</v>
      </c>
      <c r="J387" t="n">
        <v>0</v>
      </c>
      <c r="K387" t="n">
        <v>0</v>
      </c>
      <c r="L387" t="n">
        <v>7</v>
      </c>
      <c r="M387" t="n">
        <v>5</v>
      </c>
      <c r="N387" t="n">
        <v>4.6</v>
      </c>
      <c r="O387" t="n">
        <v>35</v>
      </c>
      <c r="P387" t="n">
        <v>3635</v>
      </c>
      <c r="Q387" t="n">
        <v>121</v>
      </c>
      <c r="R387" t="n">
        <v>282</v>
      </c>
      <c r="S387" t="inlineStr">
        <is>
          <t>B08145HXGL</t>
        </is>
      </c>
      <c r="T387" t="n">
        <v>100</v>
      </c>
      <c r="U387" t="n">
        <v>1.83203922</v>
      </c>
      <c r="V387" t="n">
        <v>7.7</v>
      </c>
      <c r="W387" t="n">
        <v>9.949999999999999</v>
      </c>
      <c r="X387" t="inlineStr">
        <is>
          <t>195740020958</t>
        </is>
      </c>
      <c r="Y387" t="inlineStr">
        <is>
          <t>LIT87</t>
        </is>
      </c>
      <c r="Z387" t="inlineStr">
        <is>
          <t>LIT87</t>
        </is>
      </c>
      <c r="AA387" t="inlineStr">
        <is>
          <t>White/Platin Metallic/Platin Metallic</t>
        </is>
      </c>
      <c r="AB387" t="inlineStr">
        <is>
          <t>0195740020958</t>
        </is>
      </c>
      <c r="AC387" t="inlineStr">
        <is>
          <t>Amazon offer is in stock and shippable</t>
        </is>
      </c>
      <c r="AD387" t="inlineStr">
        <is>
          <t>adidas</t>
        </is>
      </c>
      <c r="AE387" t="inlineStr">
        <is>
          <t>6.5</t>
        </is>
      </c>
      <c r="AF387"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7" t="inlineStr">
        <is>
          <t>Description
adidas branding on tab; Regular fit</t>
        </is>
      </c>
    </row>
    <row r="388">
      <c r="A388" t="inlineStr">
        <is>
          <t>com</t>
        </is>
      </c>
      <c r="B388" t="inlineStr">
        <is>
          <t>B09DXWJPHY</t>
        </is>
      </c>
      <c r="C388" t="inlineStr">
        <is>
          <t>adidas Women's Grand Court 2.0 Tennis Shoe</t>
        </is>
      </c>
      <c r="D388" t="n">
        <v>70</v>
      </c>
      <c r="E388" t="n">
        <v>69.95</v>
      </c>
      <c r="F388" t="n">
        <v>3860</v>
      </c>
      <c r="G388" t="n">
        <v>1962</v>
      </c>
      <c r="H388" t="n">
        <v>60.98</v>
      </c>
      <c r="I388" t="n">
        <v>61.8</v>
      </c>
      <c r="J388" t="n">
        <v>0</v>
      </c>
      <c r="K388" t="n">
        <v>0</v>
      </c>
      <c r="L388" t="n">
        <v>6</v>
      </c>
      <c r="M388" t="n">
        <v>4</v>
      </c>
      <c r="N388" t="n">
        <v>4.6</v>
      </c>
      <c r="O388" t="n">
        <v>98</v>
      </c>
      <c r="P388" t="n">
        <v>2740</v>
      </c>
      <c r="Q388" t="n">
        <v>76</v>
      </c>
      <c r="R388" t="n">
        <v>206</v>
      </c>
      <c r="S388" t="inlineStr">
        <is>
          <t>B09KMY3ZLD</t>
        </is>
      </c>
      <c r="T388" t="n">
        <v>200</v>
      </c>
      <c r="U388" t="n">
        <v>1.84967618</v>
      </c>
      <c r="V388" t="n">
        <v>7.7</v>
      </c>
      <c r="W388" t="n">
        <v>10.5</v>
      </c>
      <c r="X388" t="inlineStr">
        <is>
          <t>195740024635</t>
        </is>
      </c>
      <c r="Y388" t="inlineStr">
        <is>
          <t>LIT87</t>
        </is>
      </c>
      <c r="Z388" t="inlineStr">
        <is>
          <t>LIT87</t>
        </is>
      </c>
      <c r="AA388" t="inlineStr">
        <is>
          <t>White/Platin Metallic/Platin Metallic</t>
        </is>
      </c>
      <c r="AB388" t="inlineStr">
        <is>
          <t>0195740024635</t>
        </is>
      </c>
      <c r="AC388" t="inlineStr">
        <is>
          <t>Amazon offer is in stock and shippable</t>
        </is>
      </c>
      <c r="AD388" t="inlineStr">
        <is>
          <t>adidas</t>
        </is>
      </c>
      <c r="AE388" t="inlineStr">
        <is>
          <t>7</t>
        </is>
      </c>
      <c r="AF388"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8"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89">
      <c r="A389" t="inlineStr">
        <is>
          <t>com</t>
        </is>
      </c>
      <c r="B389" t="inlineStr">
        <is>
          <t>B09DXWPXQC</t>
        </is>
      </c>
      <c r="C389" t="inlineStr">
        <is>
          <t>adidas Women's Grand Court 2.0 Tennis Shoe</t>
        </is>
      </c>
      <c r="D389" t="n">
        <v>69.95</v>
      </c>
      <c r="E389" t="n">
        <v>69.95</v>
      </c>
      <c r="F389" t="n">
        <v>7312</v>
      </c>
      <c r="G389" t="n">
        <v>2636</v>
      </c>
      <c r="H389" t="n">
        <v>63.13</v>
      </c>
      <c r="I389" t="n">
        <v>67.87</v>
      </c>
      <c r="J389" t="n">
        <v>0</v>
      </c>
      <c r="K389" t="n">
        <v>0</v>
      </c>
      <c r="L389" t="n">
        <v>6</v>
      </c>
      <c r="M389" t="n">
        <v>2</v>
      </c>
      <c r="N389" t="n">
        <v>4.6</v>
      </c>
      <c r="O389" t="n">
        <v>84</v>
      </c>
      <c r="P389" t="n">
        <v>3635</v>
      </c>
      <c r="Q389" t="n">
        <v>53</v>
      </c>
      <c r="R389" t="n">
        <v>150</v>
      </c>
      <c r="S389" t="inlineStr">
        <is>
          <t>B08145HXGL</t>
        </is>
      </c>
      <c r="T389" t="n">
        <v>200</v>
      </c>
      <c r="U389" t="n">
        <v>1.8298346</v>
      </c>
      <c r="V389" t="n">
        <v>7.78</v>
      </c>
      <c r="W389" t="n">
        <v>10.49</v>
      </c>
      <c r="X389" t="inlineStr">
        <is>
          <t>195740024642</t>
        </is>
      </c>
      <c r="Y389" t="inlineStr">
        <is>
          <t>LIT87</t>
        </is>
      </c>
      <c r="Z389" t="inlineStr">
        <is>
          <t>LIT87</t>
        </is>
      </c>
      <c r="AA389" t="inlineStr">
        <is>
          <t>White/Platin Metallic/Platin Metallic</t>
        </is>
      </c>
      <c r="AB389" t="inlineStr">
        <is>
          <t>0195740024642</t>
        </is>
      </c>
      <c r="AC389" t="inlineStr">
        <is>
          <t>Amazon offer is in stock and shippable</t>
        </is>
      </c>
      <c r="AD389" t="inlineStr">
        <is>
          <t>adidas</t>
        </is>
      </c>
      <c r="AE389" t="inlineStr">
        <is>
          <t>7.5</t>
        </is>
      </c>
      <c r="AF389"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89" t="inlineStr">
        <is>
          <t>Description
adidas branding on tab; Regular fit</t>
        </is>
      </c>
    </row>
    <row r="390">
      <c r="A390" t="inlineStr">
        <is>
          <t>com</t>
        </is>
      </c>
      <c r="B390" t="inlineStr">
        <is>
          <t>B09DXT914J</t>
        </is>
      </c>
      <c r="C390" t="inlineStr">
        <is>
          <t>adidas Women's Grand Court 2.0 Tennis Shoe</t>
        </is>
      </c>
      <c r="D390" t="n">
        <v>66.90000000000001</v>
      </c>
      <c r="E390" t="n">
        <v>66.90000000000001</v>
      </c>
      <c r="F390" t="n">
        <v>3965</v>
      </c>
      <c r="G390" t="n">
        <v>1958</v>
      </c>
      <c r="H390" t="n">
        <v>66.12</v>
      </c>
      <c r="I390" t="n">
        <v>65.90000000000001</v>
      </c>
      <c r="J390" t="n">
        <v>0</v>
      </c>
      <c r="K390" t="n">
        <v>0.06</v>
      </c>
      <c r="L390" t="n">
        <v>9</v>
      </c>
      <c r="M390" t="n">
        <v>9</v>
      </c>
      <c r="N390" t="n">
        <v>4.6</v>
      </c>
      <c r="O390" t="n">
        <v>105</v>
      </c>
      <c r="P390" t="n">
        <v>2740</v>
      </c>
      <c r="Q390" t="n">
        <v>102</v>
      </c>
      <c r="R390" t="n">
        <v>271</v>
      </c>
      <c r="S390" t="inlineStr">
        <is>
          <t>B09KMY3ZLD</t>
        </is>
      </c>
      <c r="T390" t="n">
        <v>200</v>
      </c>
      <c r="U390" t="n">
        <v>1.8959732</v>
      </c>
      <c r="V390" t="n">
        <v>7.7</v>
      </c>
      <c r="W390" t="n">
        <v>10.04</v>
      </c>
      <c r="X390" t="inlineStr">
        <is>
          <t>195740024604</t>
        </is>
      </c>
      <c r="Y390" t="inlineStr">
        <is>
          <t>LIT87</t>
        </is>
      </c>
      <c r="Z390" t="inlineStr">
        <is>
          <t>LIT87</t>
        </is>
      </c>
      <c r="AA390" t="inlineStr">
        <is>
          <t>White/Platin Metallic/Platin Metallic</t>
        </is>
      </c>
      <c r="AB390" t="inlineStr">
        <is>
          <t>0195740024604</t>
        </is>
      </c>
      <c r="AC390" t="inlineStr">
        <is>
          <t>Amazon offer is back-ordered</t>
        </is>
      </c>
      <c r="AD390" t="inlineStr">
        <is>
          <t>adidas</t>
        </is>
      </c>
      <c r="AE390" t="inlineStr">
        <is>
          <t>8</t>
        </is>
      </c>
      <c r="AF390"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0"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91">
      <c r="A391" t="inlineStr">
        <is>
          <t>com</t>
        </is>
      </c>
      <c r="B391" t="inlineStr">
        <is>
          <t>B09DXTZGX5</t>
        </is>
      </c>
      <c r="C391" t="inlineStr">
        <is>
          <t>adidas Women's Grand Court 2.0 Tennis Shoe</t>
        </is>
      </c>
      <c r="D391" t="n">
        <v>69.94</v>
      </c>
      <c r="E391" t="n">
        <v>69.93000000000001</v>
      </c>
      <c r="F391" t="n">
        <v>8133</v>
      </c>
      <c r="G391" t="n">
        <v>2636</v>
      </c>
      <c r="H391" t="n">
        <v>64.45999999999999</v>
      </c>
      <c r="I391" t="n">
        <v>73.83</v>
      </c>
      <c r="J391" t="n">
        <v>0</v>
      </c>
      <c r="K391" t="n">
        <v>0</v>
      </c>
      <c r="L391" t="n">
        <v>7</v>
      </c>
      <c r="M391" t="n">
        <v>4</v>
      </c>
      <c r="N391" t="n">
        <v>4.6</v>
      </c>
      <c r="O391" t="n">
        <v>69</v>
      </c>
      <c r="P391" t="n">
        <v>3635</v>
      </c>
      <c r="Q391" t="n">
        <v>64</v>
      </c>
      <c r="R391" t="n">
        <v>206</v>
      </c>
      <c r="S391" t="inlineStr">
        <is>
          <t>B08145HXGL</t>
        </is>
      </c>
      <c r="T391" t="n">
        <v>200</v>
      </c>
      <c r="U391" t="n">
        <v>2.1605276</v>
      </c>
      <c r="V391" t="n">
        <v>7.7</v>
      </c>
      <c r="W391" t="n">
        <v>10.49</v>
      </c>
      <c r="X391" t="inlineStr">
        <is>
          <t>195740024659</t>
        </is>
      </c>
      <c r="Y391" t="inlineStr">
        <is>
          <t>LIT87</t>
        </is>
      </c>
      <c r="Z391" t="inlineStr">
        <is>
          <t>LIT87</t>
        </is>
      </c>
      <c r="AA391" t="inlineStr">
        <is>
          <t>White/Platin Metallic/Platin Metallic</t>
        </is>
      </c>
      <c r="AB391" t="inlineStr">
        <is>
          <t>0195740024659</t>
        </is>
      </c>
      <c r="AC391" t="inlineStr">
        <is>
          <t>Amazon offer is in stock and shippable</t>
        </is>
      </c>
      <c r="AD391" t="inlineStr">
        <is>
          <t>adidas</t>
        </is>
      </c>
      <c r="AE391" t="inlineStr">
        <is>
          <t>8.5</t>
        </is>
      </c>
      <c r="AF391"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1" t="inlineStr">
        <is>
          <t>Description
adidas branding on tab; Regular fit</t>
        </is>
      </c>
    </row>
    <row r="392">
      <c r="A392" t="inlineStr">
        <is>
          <t>com</t>
        </is>
      </c>
      <c r="B392" t="inlineStr">
        <is>
          <t>B09DXTQ9L6</t>
        </is>
      </c>
      <c r="C392" t="inlineStr">
        <is>
          <t>adidas Women's Grand Court 2.0 Tennis Shoe</t>
        </is>
      </c>
      <c r="D392" t="n">
        <v>70</v>
      </c>
      <c r="E392" t="n">
        <v>67.90000000000001</v>
      </c>
      <c r="F392" t="n">
        <v>3965</v>
      </c>
      <c r="G392" t="n">
        <v>1968</v>
      </c>
      <c r="H392" t="n">
        <v>62.31</v>
      </c>
      <c r="I392" t="n">
        <v>68.83</v>
      </c>
      <c r="J392" t="n">
        <v>0</v>
      </c>
      <c r="K392" t="n">
        <v>0</v>
      </c>
      <c r="L392" t="n">
        <v>8</v>
      </c>
      <c r="M392" t="n">
        <v>4</v>
      </c>
      <c r="N392" t="n">
        <v>4.6</v>
      </c>
      <c r="O392" t="n">
        <v>72</v>
      </c>
      <c r="P392" t="n">
        <v>2740</v>
      </c>
      <c r="Q392" t="n">
        <v>69</v>
      </c>
      <c r="R392" t="n">
        <v>166</v>
      </c>
      <c r="S392" t="inlineStr">
        <is>
          <t>B09KMY3ZLD</t>
        </is>
      </c>
      <c r="T392" t="n">
        <v>300</v>
      </c>
      <c r="U392" t="n">
        <v>2.18036918</v>
      </c>
      <c r="V392" t="n">
        <v>7.86</v>
      </c>
      <c r="W392" t="n">
        <v>10.5</v>
      </c>
      <c r="X392" t="inlineStr">
        <is>
          <t>195740024628</t>
        </is>
      </c>
      <c r="Y392" t="inlineStr">
        <is>
          <t>LIT87</t>
        </is>
      </c>
      <c r="Z392" t="inlineStr">
        <is>
          <t>LIT87</t>
        </is>
      </c>
      <c r="AA392" t="inlineStr">
        <is>
          <t>White/Platin Metallic/Platin Metallic</t>
        </is>
      </c>
      <c r="AB392" t="inlineStr">
        <is>
          <t>0195740024628</t>
        </is>
      </c>
      <c r="AC392" t="inlineStr">
        <is>
          <t>Amazon offer is in stock and shippable</t>
        </is>
      </c>
      <c r="AD392" t="inlineStr">
        <is>
          <t>adidas</t>
        </is>
      </c>
      <c r="AE392" t="inlineStr">
        <is>
          <t>9</t>
        </is>
      </c>
      <c r="AF392"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2"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93">
      <c r="A393" t="inlineStr">
        <is>
          <t>com</t>
        </is>
      </c>
      <c r="B393" t="inlineStr">
        <is>
          <t>B09DXTKXPJ</t>
        </is>
      </c>
      <c r="C393" t="inlineStr">
        <is>
          <t>adidas Women's Grand Court 2.0 Tennis Shoe</t>
        </is>
      </c>
      <c r="D393" t="n">
        <v>67.22</v>
      </c>
      <c r="E393" t="n">
        <v>66.94</v>
      </c>
      <c r="F393" t="n">
        <v>8133</v>
      </c>
      <c r="G393" t="n">
        <v>2652</v>
      </c>
      <c r="H393" t="n">
        <v>66.22</v>
      </c>
      <c r="I393" t="n">
        <v>72.31</v>
      </c>
      <c r="J393" t="n">
        <v>0</v>
      </c>
      <c r="K393" t="n">
        <v>0</v>
      </c>
      <c r="L393" t="n">
        <v>7</v>
      </c>
      <c r="M393" t="n">
        <v>5</v>
      </c>
      <c r="N393" t="n">
        <v>4.6</v>
      </c>
      <c r="O393" t="n">
        <v>45</v>
      </c>
      <c r="P393" t="n">
        <v>3634</v>
      </c>
      <c r="Q393" t="n">
        <v>120</v>
      </c>
      <c r="R393" t="n">
        <v>269</v>
      </c>
      <c r="S393" t="inlineStr">
        <is>
          <t>B08145HXGL</t>
        </is>
      </c>
      <c r="T393" t="n">
        <v>100</v>
      </c>
      <c r="U393" t="n">
        <v>2.23107544</v>
      </c>
      <c r="V393" t="n">
        <v>7.86</v>
      </c>
      <c r="W393" t="n">
        <v>10.08</v>
      </c>
      <c r="X393" t="inlineStr">
        <is>
          <t>195740020972</t>
        </is>
      </c>
      <c r="Y393" t="inlineStr">
        <is>
          <t>LIT87</t>
        </is>
      </c>
      <c r="Z393" t="inlineStr">
        <is>
          <t>LIT87</t>
        </is>
      </c>
      <c r="AA393" t="inlineStr">
        <is>
          <t>White/Platin Metallic/Platin Metallic</t>
        </is>
      </c>
      <c r="AB393" t="inlineStr">
        <is>
          <t>0195740020972</t>
        </is>
      </c>
      <c r="AC393" t="inlineStr">
        <is>
          <t>Amazon offer is in stock and shippable</t>
        </is>
      </c>
      <c r="AD393" t="inlineStr">
        <is>
          <t>adidas</t>
        </is>
      </c>
      <c r="AE393" t="inlineStr">
        <is>
          <t>9.5</t>
        </is>
      </c>
      <c r="AF393"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3" t="inlineStr">
        <is>
          <t>Description
adidas branding on tab; Regular fit</t>
        </is>
      </c>
    </row>
    <row r="394">
      <c r="A394" t="inlineStr">
        <is>
          <t>com</t>
        </is>
      </c>
      <c r="B394" t="inlineStr">
        <is>
          <t>B09DXV3RKF</t>
        </is>
      </c>
      <c r="C394" t="inlineStr">
        <is>
          <t>adidas Women's Grand Court 2.0 Tennis Shoe</t>
        </is>
      </c>
      <c r="D394" t="n">
        <v>69.95</v>
      </c>
      <c r="E394" t="n">
        <v>69.93000000000001</v>
      </c>
      <c r="F394" t="n">
        <v>3965</v>
      </c>
      <c r="G394" t="n">
        <v>1975</v>
      </c>
      <c r="H394" t="n">
        <v>67.92</v>
      </c>
      <c r="I394" t="n">
        <v>69.55</v>
      </c>
      <c r="J394" t="n">
        <v>0</v>
      </c>
      <c r="K394" t="n">
        <v>0.5</v>
      </c>
      <c r="L394" t="n">
        <v>9</v>
      </c>
      <c r="M394" t="n">
        <v>10</v>
      </c>
      <c r="N394" t="n">
        <v>4.6</v>
      </c>
      <c r="O394" t="n">
        <v>43</v>
      </c>
      <c r="P394" t="n">
        <v>2738</v>
      </c>
      <c r="Q394" t="n">
        <v>102</v>
      </c>
      <c r="R394" t="n">
        <v>256</v>
      </c>
      <c r="S394" t="inlineStr">
        <is>
          <t>B09KMY3ZLD</t>
        </is>
      </c>
      <c r="T394" t="n">
        <v>50</v>
      </c>
      <c r="U394" t="n">
        <v>2.09879824</v>
      </c>
      <c r="V394" t="n">
        <v>7.94</v>
      </c>
      <c r="W394" t="n">
        <v>10.49</v>
      </c>
      <c r="X394" t="inlineStr">
        <is>
          <t>195740020965</t>
        </is>
      </c>
      <c r="Y394" t="inlineStr">
        <is>
          <t>LIT87</t>
        </is>
      </c>
      <c r="Z394" t="inlineStr">
        <is>
          <t>LIT87</t>
        </is>
      </c>
      <c r="AA394" t="inlineStr">
        <is>
          <t>White/Platin Metallic/Platin Metallic</t>
        </is>
      </c>
      <c r="AB394" t="inlineStr">
        <is>
          <t>0195740020965</t>
        </is>
      </c>
      <c r="AC394" t="inlineStr">
        <is>
          <t>Amazon offer is back-ordered</t>
        </is>
      </c>
      <c r="AD394" t="inlineStr">
        <is>
          <t>adidas</t>
        </is>
      </c>
      <c r="AE394" t="inlineStr">
        <is>
          <t>10</t>
        </is>
      </c>
      <c r="AF394"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4"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95">
      <c r="A395" t="inlineStr">
        <is>
          <t>com</t>
        </is>
      </c>
      <c r="B395" t="inlineStr">
        <is>
          <t>B09VCLSZ9F</t>
        </is>
      </c>
      <c r="C395" t="inlineStr">
        <is>
          <t>adidas Women's Grand Court 2.0 Tennis Shoe</t>
        </is>
      </c>
      <c r="D395" t="n">
        <v>70</v>
      </c>
      <c r="E395" t="n">
        <v>69.5</v>
      </c>
      <c r="F395" t="n">
        <v>3965</v>
      </c>
      <c r="G395" t="n">
        <v>1961</v>
      </c>
      <c r="H395" t="n">
        <v>67</v>
      </c>
      <c r="I395" t="n">
        <v>68.70999999999999</v>
      </c>
      <c r="J395" t="n">
        <v>0</v>
      </c>
      <c r="K395" t="n">
        <v>0.09</v>
      </c>
      <c r="L395" t="n">
        <v>7</v>
      </c>
      <c r="M395" t="n">
        <v>6</v>
      </c>
      <c r="N395" t="n">
        <v>4.6</v>
      </c>
      <c r="O395" t="n">
        <v>6</v>
      </c>
      <c r="P395" t="n">
        <v>2738</v>
      </c>
      <c r="Q395" t="n">
        <v>100</v>
      </c>
      <c r="R395" t="n">
        <v>291</v>
      </c>
      <c r="S395" t="inlineStr">
        <is>
          <t>B09KMY3ZLD</t>
        </is>
      </c>
      <c r="T395" t="n">
        <v>50</v>
      </c>
      <c r="U395" t="n">
        <v>2.40083118</v>
      </c>
      <c r="V395" t="n">
        <v>7.86</v>
      </c>
      <c r="W395" t="n">
        <v>10.5</v>
      </c>
      <c r="X395" t="inlineStr">
        <is>
          <t>195746012971</t>
        </is>
      </c>
      <c r="Y395" t="inlineStr">
        <is>
          <t>GW9215</t>
        </is>
      </c>
      <c r="Z395" t="inlineStr">
        <is>
          <t>LIT87</t>
        </is>
      </c>
      <c r="AA395" t="inlineStr">
        <is>
          <t>White/Platin Metallic/Platin Metallic</t>
        </is>
      </c>
      <c r="AB395" t="inlineStr">
        <is>
          <t>0195746012971</t>
        </is>
      </c>
      <c r="AC395" t="inlineStr">
        <is>
          <t>Amazon offer is in stock and shippable</t>
        </is>
      </c>
      <c r="AD395" t="inlineStr">
        <is>
          <t>adidas</t>
        </is>
      </c>
      <c r="AE395" t="inlineStr">
        <is>
          <t>11</t>
        </is>
      </c>
      <c r="AF395" t="inlineStr">
        <is>
          <t>https://m.media-amazon.com/images/I/61TGQDLHOkL.jpg;https://m.media-amazon.com/images/I/612iVgL8pyL.jpg;https://m.media-amazon.com/images/I/71+vf2+fpiL.jpg;https://m.media-amazon.com/images/I/71qR9SDfdeL.jpg;https://m.media-amazon.com/images/I/81Z778yq4oL.jpg;https://m.media-amazon.com/images/I/71C4Dw4XtFL.jpg;https://m.media-amazon.com/images/I/71H8HzeVSwL.jpg</t>
        </is>
      </c>
      <c r="AG395"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396">
      <c r="A396" t="inlineStr">
        <is>
          <t>com</t>
        </is>
      </c>
      <c r="B396" t="inlineStr">
        <is>
          <t>B0BHPSCWKW</t>
        </is>
      </c>
      <c r="C396" t="inlineStr">
        <is>
          <t>adidas Women's Grant Court 2.0 Sneaker, White/Wonder Clay/Gold Metallic, 5</t>
        </is>
      </c>
      <c r="D396" t="inlineStr"/>
      <c r="E396" t="inlineStr"/>
      <c r="F396" t="n">
        <v>8204</v>
      </c>
      <c r="G396" t="n">
        <v>3614017</v>
      </c>
      <c r="H396" t="inlineStr"/>
      <c r="I396" t="inlineStr"/>
      <c r="J396" t="n">
        <v>1</v>
      </c>
      <c r="K396" t="n">
        <v>1</v>
      </c>
      <c r="N396" t="n">
        <v>4.6</v>
      </c>
      <c r="O396" t="n">
        <v>0</v>
      </c>
      <c r="P396" t="n">
        <v>3540</v>
      </c>
      <c r="Q396" t="n">
        <v>13</v>
      </c>
      <c r="R396" t="n">
        <v>22</v>
      </c>
      <c r="S396" t="inlineStr">
        <is>
          <t>B08145HXGL</t>
        </is>
      </c>
      <c r="U396" t="n">
        <v>1.73944518</v>
      </c>
      <c r="V396" t="n">
        <v>6.61</v>
      </c>
      <c r="W396" t="inlineStr"/>
      <c r="X396" t="inlineStr">
        <is>
          <t>196464736101</t>
        </is>
      </c>
      <c r="Y396" t="inlineStr">
        <is>
          <t>LIT87</t>
        </is>
      </c>
      <c r="Z396" t="inlineStr">
        <is>
          <t>LIT87</t>
        </is>
      </c>
      <c r="AA396" t="inlineStr">
        <is>
          <t>White/Wonder Clay/Gold Metallic</t>
        </is>
      </c>
      <c r="AB396" t="inlineStr">
        <is>
          <t>0196464736101</t>
        </is>
      </c>
      <c r="AC396" t="inlineStr">
        <is>
          <t>no Amazon offer exists</t>
        </is>
      </c>
      <c r="AD396" t="inlineStr">
        <is>
          <t>adidas</t>
        </is>
      </c>
      <c r="AE396" t="inlineStr">
        <is>
          <t>5</t>
        </is>
      </c>
      <c r="AF396"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396" t="inlineStr">
        <is>
          <t>Description
adidas branding on tab; Regular fit</t>
        </is>
      </c>
    </row>
    <row r="397">
      <c r="A397" t="inlineStr">
        <is>
          <t>com</t>
        </is>
      </c>
      <c r="B397" t="inlineStr">
        <is>
          <t>B0BHPS8K4H</t>
        </is>
      </c>
      <c r="C397" t="inlineStr">
        <is>
          <t>adidas Women's Grant Court 2.0 Sneaker, White/Wonder Clay/Gold Metallic, 5.5</t>
        </is>
      </c>
      <c r="D397" t="inlineStr"/>
      <c r="E397" t="inlineStr"/>
      <c r="G397" t="n">
        <v>4396466</v>
      </c>
      <c r="H397" t="inlineStr"/>
      <c r="I397" t="inlineStr"/>
      <c r="J397" t="n">
        <v>1</v>
      </c>
      <c r="K397" t="n">
        <v>1</v>
      </c>
      <c r="N397" t="n">
        <v>4.6</v>
      </c>
      <c r="O397" t="n">
        <v>1</v>
      </c>
      <c r="P397" t="n">
        <v>66</v>
      </c>
      <c r="Q397" t="n">
        <v>1</v>
      </c>
      <c r="R397" t="n">
        <v>1</v>
      </c>
      <c r="S397" t="inlineStr">
        <is>
          <t>B08145HXGL</t>
        </is>
      </c>
      <c r="U397" t="n">
        <v>1.67992044</v>
      </c>
      <c r="V397" t="n">
        <v>6.61</v>
      </c>
      <c r="W397" t="inlineStr"/>
      <c r="X397" t="inlineStr">
        <is>
          <t>196464736149</t>
        </is>
      </c>
      <c r="Y397" t="inlineStr">
        <is>
          <t>LIT87</t>
        </is>
      </c>
      <c r="Z397" t="inlineStr">
        <is>
          <t>LIT87</t>
        </is>
      </c>
      <c r="AA397" t="inlineStr">
        <is>
          <t>White/Wonder Clay/Gold Metallic</t>
        </is>
      </c>
      <c r="AB397" t="inlineStr">
        <is>
          <t>0196464736149</t>
        </is>
      </c>
      <c r="AC397" t="inlineStr">
        <is>
          <t>no Amazon offer exists</t>
        </is>
      </c>
      <c r="AD397" t="inlineStr">
        <is>
          <t>adidas</t>
        </is>
      </c>
      <c r="AE397" t="inlineStr">
        <is>
          <t>5.5</t>
        </is>
      </c>
      <c r="AF397"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397" t="inlineStr">
        <is>
          <t>adidas womens Grant Court 2.0</t>
        </is>
      </c>
    </row>
    <row r="398">
      <c r="A398" t="inlineStr">
        <is>
          <t>com</t>
        </is>
      </c>
      <c r="B398" t="inlineStr">
        <is>
          <t>B0BHPVTTMY</t>
        </is>
      </c>
      <c r="C398" t="inlineStr">
        <is>
          <t>adidas Women's Grant Court 2.0 Sneaker, White/Wonder Clay/Gold Metallic, 6</t>
        </is>
      </c>
      <c r="D398" t="n">
        <v>48.52</v>
      </c>
      <c r="E398" t="n">
        <v>48.52</v>
      </c>
      <c r="F398" t="n">
        <v>724072</v>
      </c>
      <c r="G398" t="n">
        <v>658163</v>
      </c>
      <c r="H398" t="n">
        <v>48.29</v>
      </c>
      <c r="I398" t="n">
        <v>61.45</v>
      </c>
      <c r="J398" t="n">
        <v>0.66</v>
      </c>
      <c r="K398" t="n">
        <v>0.9</v>
      </c>
      <c r="L398" t="n">
        <v>2</v>
      </c>
      <c r="N398" t="n">
        <v>4.6</v>
      </c>
      <c r="O398" t="n">
        <v>3</v>
      </c>
      <c r="P398" t="n">
        <v>135</v>
      </c>
      <c r="Q398" t="n">
        <v>11</v>
      </c>
      <c r="R398" t="n">
        <v>21</v>
      </c>
      <c r="S398" t="inlineStr">
        <is>
          <t>B0D91981QZ</t>
        </is>
      </c>
      <c r="U398" t="n">
        <v>1.6755112</v>
      </c>
      <c r="V398" t="n">
        <v>7.54</v>
      </c>
      <c r="W398" t="n">
        <v>7.28</v>
      </c>
      <c r="X398" t="inlineStr">
        <is>
          <t>196464738334</t>
        </is>
      </c>
      <c r="Y398" t="inlineStr">
        <is>
          <t>LIT87</t>
        </is>
      </c>
      <c r="Z398" t="inlineStr">
        <is>
          <t>LIT87</t>
        </is>
      </c>
      <c r="AA398" t="inlineStr">
        <is>
          <t>White/Wonder Clay/Gold Metallic</t>
        </is>
      </c>
      <c r="AB398" t="inlineStr">
        <is>
          <t>0196464738334</t>
        </is>
      </c>
      <c r="AC398" t="inlineStr">
        <is>
          <t>Amazon offer is in stock and shippable</t>
        </is>
      </c>
      <c r="AD398" t="inlineStr">
        <is>
          <t>adidas</t>
        </is>
      </c>
      <c r="AE398" t="inlineStr">
        <is>
          <t>6</t>
        </is>
      </c>
      <c r="AF398"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398" t="inlineStr">
        <is>
          <t>Description
adidas womens Grant Court 2.0</t>
        </is>
      </c>
    </row>
    <row r="399">
      <c r="A399" t="inlineStr">
        <is>
          <t>com</t>
        </is>
      </c>
      <c r="B399" t="inlineStr">
        <is>
          <t>B0BHPQ4H5R</t>
        </is>
      </c>
      <c r="C399" t="inlineStr">
        <is>
          <t>adidas Women's Grant Court 2.0 Sneaker, White/Wonder Clay/Gold Metallic, 6.5</t>
        </is>
      </c>
      <c r="D399" t="n">
        <v>47.62</v>
      </c>
      <c r="E399" t="n">
        <v>47.62</v>
      </c>
      <c r="F399" t="n">
        <v>724072</v>
      </c>
      <c r="G399" t="n">
        <v>649742</v>
      </c>
      <c r="H399" t="n">
        <v>47.8</v>
      </c>
      <c r="I399" t="n">
        <v>47.8</v>
      </c>
      <c r="J399" t="n">
        <v>0.92</v>
      </c>
      <c r="K399" t="n">
        <v>0.92</v>
      </c>
      <c r="L399" t="n">
        <v>1</v>
      </c>
      <c r="N399" t="n">
        <v>4.6</v>
      </c>
      <c r="O399" t="n">
        <v>2</v>
      </c>
      <c r="P399" t="n">
        <v>135</v>
      </c>
      <c r="Q399" t="n">
        <v>6</v>
      </c>
      <c r="R399" t="n">
        <v>11</v>
      </c>
      <c r="S399" t="inlineStr">
        <is>
          <t>B0D91981QZ</t>
        </is>
      </c>
      <c r="U399" t="n">
        <v>1.84967618</v>
      </c>
      <c r="V399" t="n">
        <v>7.7</v>
      </c>
      <c r="W399" t="n">
        <v>7.14</v>
      </c>
      <c r="X399" t="inlineStr">
        <is>
          <t>196464736095</t>
        </is>
      </c>
      <c r="Y399" t="inlineStr">
        <is>
          <t>LIT87</t>
        </is>
      </c>
      <c r="Z399" t="inlineStr">
        <is>
          <t>LIT87</t>
        </is>
      </c>
      <c r="AA399" t="inlineStr">
        <is>
          <t>White/Wonder Clay/Gold Metallic</t>
        </is>
      </c>
      <c r="AB399" t="inlineStr">
        <is>
          <t>0196464736095</t>
        </is>
      </c>
      <c r="AC399" t="inlineStr">
        <is>
          <t>Amazon offer is in stock and shippable</t>
        </is>
      </c>
      <c r="AD399" t="inlineStr">
        <is>
          <t>adidas</t>
        </is>
      </c>
      <c r="AE399" t="inlineStr">
        <is>
          <t>6.5</t>
        </is>
      </c>
      <c r="AF399"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399" t="inlineStr">
        <is>
          <t>Description
adidas womens Grant Court 2.0</t>
        </is>
      </c>
    </row>
    <row r="400">
      <c r="A400" t="inlineStr">
        <is>
          <t>com</t>
        </is>
      </c>
      <c r="B400" t="inlineStr">
        <is>
          <t>B0BHPSQ47H</t>
        </is>
      </c>
      <c r="C400" t="inlineStr">
        <is>
          <t>adidas Women's Grant Court 2.0 Sneaker, White/Wonder Clay/Gold Metallic, 7</t>
        </is>
      </c>
      <c r="D400" t="n">
        <v>48.39</v>
      </c>
      <c r="E400" t="n">
        <v>48.39</v>
      </c>
      <c r="F400" t="n">
        <v>652864</v>
      </c>
      <c r="G400" t="n">
        <v>651792</v>
      </c>
      <c r="H400" t="n">
        <v>56.34</v>
      </c>
      <c r="I400" t="n">
        <v>56.34</v>
      </c>
      <c r="J400" t="n">
        <v>0.45</v>
      </c>
      <c r="K400" t="n">
        <v>0.87</v>
      </c>
      <c r="L400" t="n">
        <v>3</v>
      </c>
      <c r="M400" t="n">
        <v>4</v>
      </c>
      <c r="N400" t="n">
        <v>4.6</v>
      </c>
      <c r="O400" t="n">
        <v>7</v>
      </c>
      <c r="P400" t="n">
        <v>135</v>
      </c>
      <c r="Q400" t="n">
        <v>14</v>
      </c>
      <c r="R400" t="n">
        <v>27</v>
      </c>
      <c r="S400" t="inlineStr">
        <is>
          <t>B0D91981QZ</t>
        </is>
      </c>
      <c r="U400" t="n">
        <v>1.85408542</v>
      </c>
      <c r="V400" t="n">
        <v>7.78</v>
      </c>
      <c r="W400" t="n">
        <v>7.26</v>
      </c>
      <c r="X400" t="inlineStr">
        <is>
          <t>196464736132</t>
        </is>
      </c>
      <c r="Y400" t="inlineStr">
        <is>
          <t>LIT87</t>
        </is>
      </c>
      <c r="Z400" t="inlineStr">
        <is>
          <t>LIT87</t>
        </is>
      </c>
      <c r="AA400" t="inlineStr">
        <is>
          <t>White/Wonder Clay/Gold Metallic</t>
        </is>
      </c>
      <c r="AB400" t="inlineStr">
        <is>
          <t>0196464736132</t>
        </is>
      </c>
      <c r="AC400" t="inlineStr">
        <is>
          <t>Amazon offer is in stock and shippable</t>
        </is>
      </c>
      <c r="AD400" t="inlineStr">
        <is>
          <t>adidas</t>
        </is>
      </c>
      <c r="AE400" t="inlineStr">
        <is>
          <t>7</t>
        </is>
      </c>
      <c r="AF400"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0" t="inlineStr">
        <is>
          <t>Description
adidas womens Grant Court 2.0</t>
        </is>
      </c>
    </row>
    <row r="401">
      <c r="A401" t="inlineStr">
        <is>
          <t>com</t>
        </is>
      </c>
      <c r="B401" t="inlineStr">
        <is>
          <t>B0BHPSK6ZK</t>
        </is>
      </c>
      <c r="C401" t="inlineStr">
        <is>
          <t>adidas Women's Grant Court 2.0 Sneaker, White/Wonder Clay/Gold Metallic, 7.5</t>
        </is>
      </c>
      <c r="D401" t="n">
        <v>54.72</v>
      </c>
      <c r="E401" t="n">
        <v>54.72</v>
      </c>
      <c r="F401" t="n">
        <v>693379</v>
      </c>
      <c r="G401" t="n">
        <v>629925</v>
      </c>
      <c r="H401" t="n">
        <v>54.84</v>
      </c>
      <c r="I401" t="n">
        <v>63.75</v>
      </c>
      <c r="J401" t="n">
        <v>0.45</v>
      </c>
      <c r="K401" t="n">
        <v>0.89</v>
      </c>
      <c r="L401" t="n">
        <v>3</v>
      </c>
      <c r="M401" t="n">
        <v>3</v>
      </c>
      <c r="N401" t="n">
        <v>4.6</v>
      </c>
      <c r="O401" t="n">
        <v>4</v>
      </c>
      <c r="P401" t="n">
        <v>135</v>
      </c>
      <c r="Q401" t="n">
        <v>18</v>
      </c>
      <c r="R401" t="n">
        <v>33</v>
      </c>
      <c r="S401" t="inlineStr">
        <is>
          <t>B0D91981QZ</t>
        </is>
      </c>
      <c r="U401" t="n">
        <v>1.8629039</v>
      </c>
      <c r="V401" t="n">
        <v>7.7</v>
      </c>
      <c r="W401" t="n">
        <v>8.210000000000001</v>
      </c>
      <c r="X401" t="inlineStr">
        <is>
          <t>196464736088</t>
        </is>
      </c>
      <c r="Y401" t="inlineStr">
        <is>
          <t>LIT87</t>
        </is>
      </c>
      <c r="Z401" t="inlineStr">
        <is>
          <t>LIT87</t>
        </is>
      </c>
      <c r="AA401" t="inlineStr">
        <is>
          <t>White/Wonder Clay/Gold Metallic</t>
        </is>
      </c>
      <c r="AB401" t="inlineStr">
        <is>
          <t>0196464736088</t>
        </is>
      </c>
      <c r="AC401" t="inlineStr">
        <is>
          <t>Amazon offer is in stock and shippable</t>
        </is>
      </c>
      <c r="AD401" t="inlineStr">
        <is>
          <t>adidas</t>
        </is>
      </c>
      <c r="AE401" t="inlineStr">
        <is>
          <t>7.5</t>
        </is>
      </c>
      <c r="AF401"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1" t="inlineStr">
        <is>
          <t>Description
adidas womens Grant Court 2.0</t>
        </is>
      </c>
    </row>
    <row r="402">
      <c r="A402" t="inlineStr">
        <is>
          <t>com</t>
        </is>
      </c>
      <c r="B402" t="inlineStr">
        <is>
          <t>B0BHPSDLNJ</t>
        </is>
      </c>
      <c r="C402" t="inlineStr">
        <is>
          <t>adidas Women's Grant Court 2.0 Sneaker, White/Wonder Clay/Gold Metallic, 8</t>
        </is>
      </c>
      <c r="D402" t="n">
        <v>93.51000000000001</v>
      </c>
      <c r="E402" t="n">
        <v>93.51000000000001</v>
      </c>
      <c r="F402" t="n">
        <v>8133</v>
      </c>
      <c r="G402" t="n">
        <v>489585</v>
      </c>
      <c r="H402" t="n">
        <v>69.81</v>
      </c>
      <c r="I402" t="n">
        <v>64.70999999999999</v>
      </c>
      <c r="J402" t="n">
        <v>0.31</v>
      </c>
      <c r="K402" t="n">
        <v>0.9399999999999999</v>
      </c>
      <c r="L402" t="n">
        <v>2</v>
      </c>
      <c r="M402" t="n">
        <v>2</v>
      </c>
      <c r="N402" t="n">
        <v>4.6</v>
      </c>
      <c r="O402" t="n">
        <v>9</v>
      </c>
      <c r="P402" t="n">
        <v>3633</v>
      </c>
      <c r="Q402" t="n">
        <v>61</v>
      </c>
      <c r="R402" t="n">
        <v>85</v>
      </c>
      <c r="S402" t="inlineStr">
        <is>
          <t>B08145HXGL</t>
        </is>
      </c>
      <c r="U402" t="n">
        <v>1.9731349</v>
      </c>
      <c r="V402" t="n">
        <v>7.78</v>
      </c>
      <c r="W402" t="inlineStr"/>
      <c r="X402" t="inlineStr">
        <is>
          <t>196464736125</t>
        </is>
      </c>
      <c r="Y402" t="inlineStr">
        <is>
          <t>LIT87</t>
        </is>
      </c>
      <c r="Z402" t="inlineStr">
        <is>
          <t>LIT87</t>
        </is>
      </c>
      <c r="AA402" t="inlineStr">
        <is>
          <t>White/Wonder Clay/Gold Metallic</t>
        </is>
      </c>
      <c r="AB402" t="inlineStr">
        <is>
          <t>0196464736125</t>
        </is>
      </c>
      <c r="AC402" t="inlineStr">
        <is>
          <t>no Amazon offer exists</t>
        </is>
      </c>
      <c r="AD402" t="inlineStr">
        <is>
          <t>adidas</t>
        </is>
      </c>
      <c r="AE402" t="inlineStr">
        <is>
          <t>8</t>
        </is>
      </c>
      <c r="AF402"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2" t="inlineStr">
        <is>
          <t>Description
adidas branding on tab; Regular fit</t>
        </is>
      </c>
    </row>
    <row r="403">
      <c r="A403" t="inlineStr">
        <is>
          <t>com</t>
        </is>
      </c>
      <c r="B403" t="inlineStr">
        <is>
          <t>B0BHPS5S55</t>
        </is>
      </c>
      <c r="C403" t="inlineStr">
        <is>
          <t>adidas Women's Grant Court 2.0 Sneaker, White/Wonder Clay/Gold Metallic, 8.5</t>
        </is>
      </c>
      <c r="D403" t="n">
        <v>51.75</v>
      </c>
      <c r="E403" t="n">
        <v>51.75</v>
      </c>
      <c r="F403" t="n">
        <v>724072</v>
      </c>
      <c r="G403" t="n">
        <v>663816</v>
      </c>
      <c r="H403" t="n">
        <v>57.5</v>
      </c>
      <c r="I403" t="n">
        <v>61.4</v>
      </c>
      <c r="J403" t="n">
        <v>0.8100000000000001</v>
      </c>
      <c r="K403" t="n">
        <v>0.8100000000000001</v>
      </c>
      <c r="L403" t="n">
        <v>1</v>
      </c>
      <c r="N403" t="n">
        <v>4.6</v>
      </c>
      <c r="O403" t="n">
        <v>2</v>
      </c>
      <c r="P403" t="n">
        <v>135</v>
      </c>
      <c r="Q403" t="n">
        <v>5</v>
      </c>
      <c r="R403" t="n">
        <v>17</v>
      </c>
      <c r="S403" t="inlineStr">
        <is>
          <t>B0D91981QZ</t>
        </is>
      </c>
      <c r="U403" t="n">
        <v>1.984158</v>
      </c>
      <c r="V403" t="n">
        <v>7.78</v>
      </c>
      <c r="W403" t="n">
        <v>7.76</v>
      </c>
      <c r="X403" t="inlineStr">
        <is>
          <t>196464736163</t>
        </is>
      </c>
      <c r="Y403" t="inlineStr">
        <is>
          <t>LIT87</t>
        </is>
      </c>
      <c r="Z403" t="inlineStr">
        <is>
          <t>LIT87</t>
        </is>
      </c>
      <c r="AA403" t="inlineStr">
        <is>
          <t>White/Wonder Clay/Gold Metallic</t>
        </is>
      </c>
      <c r="AB403" t="inlineStr">
        <is>
          <t>0196464736163</t>
        </is>
      </c>
      <c r="AC403" t="inlineStr">
        <is>
          <t>Amazon offer is in stock and shippable</t>
        </is>
      </c>
      <c r="AD403" t="inlineStr">
        <is>
          <t>adidas</t>
        </is>
      </c>
      <c r="AE403" t="inlineStr">
        <is>
          <t>8.5</t>
        </is>
      </c>
      <c r="AF403"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3" t="inlineStr">
        <is>
          <t>Description
adidas womens Grant Court 2.0</t>
        </is>
      </c>
    </row>
    <row r="404">
      <c r="A404" t="inlineStr">
        <is>
          <t>com</t>
        </is>
      </c>
      <c r="B404" t="inlineStr">
        <is>
          <t>B0BHPSVXVS</t>
        </is>
      </c>
      <c r="C404" t="inlineStr">
        <is>
          <t>adidas Women's Grant Court 2.0 Sneaker, White/Wonder Clay/Gold Metallic, 9</t>
        </is>
      </c>
      <c r="D404" t="n">
        <v>51.48</v>
      </c>
      <c r="E404" t="n">
        <v>51.48</v>
      </c>
      <c r="F404" t="n">
        <v>693379</v>
      </c>
      <c r="G404" t="n">
        <v>674362</v>
      </c>
      <c r="H404" t="n">
        <v>51.65</v>
      </c>
      <c r="I404" t="n">
        <v>54.49</v>
      </c>
      <c r="J404" t="n">
        <v>0.89</v>
      </c>
      <c r="K404" t="n">
        <v>0.89</v>
      </c>
      <c r="L404" t="n">
        <v>1</v>
      </c>
      <c r="N404" t="n">
        <v>4.6</v>
      </c>
      <c r="O404" t="n">
        <v>6</v>
      </c>
      <c r="P404" t="n">
        <v>135</v>
      </c>
      <c r="Q404" t="n">
        <v>10</v>
      </c>
      <c r="R404" t="n">
        <v>16</v>
      </c>
      <c r="S404" t="inlineStr">
        <is>
          <t>B0D91981QZ</t>
        </is>
      </c>
      <c r="U404" t="n">
        <v>2.12084444</v>
      </c>
      <c r="V404" t="n">
        <v>7.86</v>
      </c>
      <c r="W404" t="n">
        <v>7.72</v>
      </c>
      <c r="X404" t="inlineStr">
        <is>
          <t>196464736156</t>
        </is>
      </c>
      <c r="Y404" t="inlineStr">
        <is>
          <t>LIT87</t>
        </is>
      </c>
      <c r="Z404" t="inlineStr">
        <is>
          <t>LIT87</t>
        </is>
      </c>
      <c r="AA404" t="inlineStr">
        <is>
          <t>White/Wonder Clay/Gold Metallic</t>
        </is>
      </c>
      <c r="AB404" t="inlineStr">
        <is>
          <t>0196464736156</t>
        </is>
      </c>
      <c r="AC404" t="inlineStr">
        <is>
          <t>Amazon offer is in stock and shippable</t>
        </is>
      </c>
      <c r="AD404" t="inlineStr">
        <is>
          <t>adidas</t>
        </is>
      </c>
      <c r="AE404" t="inlineStr">
        <is>
          <t>9</t>
        </is>
      </c>
      <c r="AF404"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4" t="inlineStr">
        <is>
          <t>Description
adidas womens Grant Court 2.0</t>
        </is>
      </c>
    </row>
    <row r="405">
      <c r="A405" t="inlineStr">
        <is>
          <t>com</t>
        </is>
      </c>
      <c r="B405" t="inlineStr">
        <is>
          <t>B0BHPTBX8Y</t>
        </is>
      </c>
      <c r="C405" t="inlineStr">
        <is>
          <t>adidas Women's Grant Court 2.0 Sneaker, White/Wonder Clay/Gold Metallic, 9.5</t>
        </is>
      </c>
      <c r="D405" t="n">
        <v>53.59</v>
      </c>
      <c r="E405" t="n">
        <v>53.59</v>
      </c>
      <c r="F405" t="n">
        <v>693379</v>
      </c>
      <c r="G405" t="n">
        <v>651934</v>
      </c>
      <c r="H405" t="n">
        <v>62.1</v>
      </c>
      <c r="I405" t="n">
        <v>61.88</v>
      </c>
      <c r="J405" t="n">
        <v>0.74</v>
      </c>
      <c r="K405" t="n">
        <v>0.89</v>
      </c>
      <c r="L405" t="n">
        <v>2</v>
      </c>
      <c r="M405" t="n">
        <v>2</v>
      </c>
      <c r="N405" t="n">
        <v>4.6</v>
      </c>
      <c r="O405" t="n">
        <v>4</v>
      </c>
      <c r="P405" t="n">
        <v>135</v>
      </c>
      <c r="Q405" t="n">
        <v>12</v>
      </c>
      <c r="R405" t="n">
        <v>17</v>
      </c>
      <c r="S405" t="inlineStr">
        <is>
          <t>B0D91981QZ</t>
        </is>
      </c>
      <c r="U405" t="n">
        <v>2.1605276</v>
      </c>
      <c r="V405" t="n">
        <v>8.18</v>
      </c>
      <c r="W405" t="n">
        <v>8.039999999999999</v>
      </c>
      <c r="X405" t="inlineStr">
        <is>
          <t>196464738372</t>
        </is>
      </c>
      <c r="Y405" t="inlineStr">
        <is>
          <t>LIT87</t>
        </is>
      </c>
      <c r="Z405" t="inlineStr">
        <is>
          <t>LIT87</t>
        </is>
      </c>
      <c r="AA405" t="inlineStr">
        <is>
          <t>White/Wonder Clay/Gold Metallic</t>
        </is>
      </c>
      <c r="AB405" t="inlineStr">
        <is>
          <t>0196464738372</t>
        </is>
      </c>
      <c r="AC405" t="inlineStr">
        <is>
          <t>Amazon offer is in stock and shippable</t>
        </is>
      </c>
      <c r="AD405" t="inlineStr">
        <is>
          <t>adidas</t>
        </is>
      </c>
      <c r="AE405" t="inlineStr">
        <is>
          <t>9.5</t>
        </is>
      </c>
      <c r="AF405"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5" t="inlineStr">
        <is>
          <t>Description
adidas womens Grant Court 2.0</t>
        </is>
      </c>
    </row>
    <row r="406">
      <c r="A406" t="inlineStr">
        <is>
          <t>com</t>
        </is>
      </c>
      <c r="B406" t="inlineStr">
        <is>
          <t>B0BHPSZ1HD</t>
        </is>
      </c>
      <c r="C406" t="inlineStr">
        <is>
          <t>adidas Women's Grant Court 2.0 Sneaker, White/Wonder Clay/Gold Metallic, 10</t>
        </is>
      </c>
      <c r="D406" t="n">
        <v>60.2</v>
      </c>
      <c r="E406" t="n">
        <v>60.2</v>
      </c>
      <c r="F406" t="n">
        <v>652864</v>
      </c>
      <c r="G406" t="n">
        <v>662967</v>
      </c>
      <c r="H406" t="n">
        <v>68.95</v>
      </c>
      <c r="I406" t="n">
        <v>69.14</v>
      </c>
      <c r="J406" t="n">
        <v>0</v>
      </c>
      <c r="K406" t="n">
        <v>0</v>
      </c>
      <c r="L406" t="n">
        <v>3</v>
      </c>
      <c r="M406" t="n">
        <v>4</v>
      </c>
      <c r="N406" t="n">
        <v>4.6</v>
      </c>
      <c r="O406" t="n">
        <v>6</v>
      </c>
      <c r="P406" t="n">
        <v>135</v>
      </c>
      <c r="Q406" t="n">
        <v>16</v>
      </c>
      <c r="R406" t="n">
        <v>43</v>
      </c>
      <c r="S406" t="inlineStr">
        <is>
          <t>B0D91981QZ</t>
        </is>
      </c>
      <c r="U406" t="n">
        <v>2.14068602</v>
      </c>
      <c r="V406" t="n">
        <v>7.86</v>
      </c>
      <c r="W406" t="n">
        <v>9.029999999999999</v>
      </c>
      <c r="X406" t="inlineStr">
        <is>
          <t>196464738358</t>
        </is>
      </c>
      <c r="Y406" t="inlineStr">
        <is>
          <t>LIT87</t>
        </is>
      </c>
      <c r="Z406" t="inlineStr">
        <is>
          <t>LIT87</t>
        </is>
      </c>
      <c r="AA406" t="inlineStr">
        <is>
          <t>White/Wonder Clay/Gold Metallic</t>
        </is>
      </c>
      <c r="AB406" t="inlineStr">
        <is>
          <t>0196464738358</t>
        </is>
      </c>
      <c r="AC406" t="inlineStr">
        <is>
          <t>Amazon offer is in stock and shippable</t>
        </is>
      </c>
      <c r="AD406" t="inlineStr">
        <is>
          <t>adidas</t>
        </is>
      </c>
      <c r="AE406" t="inlineStr">
        <is>
          <t>10</t>
        </is>
      </c>
      <c r="AF406"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6" t="inlineStr">
        <is>
          <t>Description
adidas womens Grant Court 2.0</t>
        </is>
      </c>
    </row>
    <row r="407">
      <c r="A407" t="inlineStr">
        <is>
          <t>com</t>
        </is>
      </c>
      <c r="B407" t="inlineStr">
        <is>
          <t>B0BHPVGK5S</t>
        </is>
      </c>
      <c r="C407" t="inlineStr">
        <is>
          <t>adidas Women's Grant Court 2.0 Sneaker, White/Wonder Clay/Gold Metallic, 11</t>
        </is>
      </c>
      <c r="D407" t="n">
        <v>62.2</v>
      </c>
      <c r="E407" t="n">
        <v>62.2</v>
      </c>
      <c r="F407" t="n">
        <v>681236</v>
      </c>
      <c r="G407" t="n">
        <v>643459</v>
      </c>
      <c r="H407" t="n">
        <v>65.18000000000001</v>
      </c>
      <c r="I407" t="n">
        <v>66.53</v>
      </c>
      <c r="J407" t="n">
        <v>0</v>
      </c>
      <c r="K407" t="n">
        <v>0</v>
      </c>
      <c r="L407" t="n">
        <v>2</v>
      </c>
      <c r="M407" t="n">
        <v>4</v>
      </c>
      <c r="N407" t="n">
        <v>4.6</v>
      </c>
      <c r="O407" t="n">
        <v>3</v>
      </c>
      <c r="P407" t="n">
        <v>135</v>
      </c>
      <c r="Q407" t="n">
        <v>16</v>
      </c>
      <c r="R407" t="n">
        <v>35</v>
      </c>
      <c r="S407" t="inlineStr">
        <is>
          <t>B0D91981QZ</t>
        </is>
      </c>
      <c r="U407" t="n">
        <v>2.31044176</v>
      </c>
      <c r="V407" t="n">
        <v>7.63</v>
      </c>
      <c r="W407" t="n">
        <v>9.33</v>
      </c>
      <c r="X407" t="inlineStr">
        <is>
          <t>196464738365</t>
        </is>
      </c>
      <c r="Y407" t="inlineStr">
        <is>
          <t>LIT87</t>
        </is>
      </c>
      <c r="Z407" t="inlineStr">
        <is>
          <t>LIT87</t>
        </is>
      </c>
      <c r="AA407" t="inlineStr">
        <is>
          <t>White/Wonder Clay/Gold Metallic</t>
        </is>
      </c>
      <c r="AB407" t="inlineStr">
        <is>
          <t>0196464738365</t>
        </is>
      </c>
      <c r="AC407" t="inlineStr">
        <is>
          <t>Amazon offer is in stock and shippable</t>
        </is>
      </c>
      <c r="AD407" t="inlineStr">
        <is>
          <t>adidas</t>
        </is>
      </c>
      <c r="AE407" t="inlineStr">
        <is>
          <t>11</t>
        </is>
      </c>
      <c r="AF407" t="inlineStr">
        <is>
          <t>https://m.media-amazon.com/images/I/61eSuH4K00L.jpg;https://m.media-amazon.com/images/I/6139laveOGL.jpg;https://m.media-amazon.com/images/I/71pI1APUcGL.jpg;https://m.media-amazon.com/images/I/814zJgwgBPL.jpg;https://m.media-amazon.com/images/I/81xmffwZyIL.jpg;https://m.media-amazon.com/images/I/71R9TjayMWL.jpg;https://m.media-amazon.com/images/I/71zKto051XL.jpg</t>
        </is>
      </c>
      <c r="AG407" t="inlineStr">
        <is>
          <t>Description
adidas womens Grant Court 2.0</t>
        </is>
      </c>
    </row>
    <row r="408">
      <c r="A408" t="inlineStr">
        <is>
          <t>com</t>
        </is>
      </c>
      <c r="B408" t="inlineStr">
        <is>
          <t>B0BCVV6PFK</t>
        </is>
      </c>
      <c r="C408" t="inlineStr">
        <is>
          <t>PUMA Womens Star Vital Shoes, Size: 5.5 M US, Color: Puma Black/Rose Gold</t>
        </is>
      </c>
      <c r="D408" t="n">
        <v>54.26</v>
      </c>
      <c r="E408" t="inlineStr"/>
      <c r="G408" t="n">
        <v>3371909</v>
      </c>
      <c r="H408" t="n">
        <v>54.26</v>
      </c>
      <c r="I408" t="n">
        <v>53.55</v>
      </c>
      <c r="J408" t="n">
        <v>0.26</v>
      </c>
      <c r="K408" t="n">
        <v>1</v>
      </c>
      <c r="L408" t="n">
        <v>1</v>
      </c>
      <c r="N408" t="n">
        <v>4.5</v>
      </c>
      <c r="O408" t="n">
        <v>1</v>
      </c>
      <c r="P408" t="n">
        <v>48</v>
      </c>
      <c r="Q408" t="n">
        <v>7</v>
      </c>
      <c r="R408" t="n">
        <v>13</v>
      </c>
      <c r="S408" t="inlineStr"/>
      <c r="U408" t="n">
        <v>1.17065322</v>
      </c>
      <c r="V408" t="n">
        <v>6.61</v>
      </c>
      <c r="W408" t="inlineStr"/>
      <c r="X408" t="inlineStr">
        <is>
          <t>195098412931</t>
        </is>
      </c>
      <c r="Y408" t="inlineStr">
        <is>
          <t>19433115</t>
        </is>
      </c>
      <c r="Z408" t="inlineStr">
        <is>
          <t>19433115</t>
        </is>
      </c>
      <c r="AA408" t="inlineStr">
        <is>
          <t>Puma Black/Rose Gold</t>
        </is>
      </c>
      <c r="AB408" t="inlineStr">
        <is>
          <t>0195098412931</t>
        </is>
      </c>
      <c r="AC408" t="inlineStr">
        <is>
          <t>no Amazon offer exists</t>
        </is>
      </c>
      <c r="AD408" t="inlineStr">
        <is>
          <t>Puma</t>
        </is>
      </c>
      <c r="AE408" t="inlineStr"/>
      <c r="AF408" t="inlineStr">
        <is>
          <t>https://m.media-amazon.com/images/I/61RPpbZMXDL.jpg;https://m.media-amazon.com/images/I/61VccOyL7SL.jpg;https://m.media-amazon.com/images/I/514dkFcYdlL.jpg;https://m.media-amazon.com/images/I/51lbSwpcvjL.jpg</t>
        </is>
      </c>
      <c r="AG408"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09">
      <c r="A409" t="inlineStr">
        <is>
          <t>com</t>
        </is>
      </c>
      <c r="B409" t="inlineStr">
        <is>
          <t>B0BCVYCYTV</t>
        </is>
      </c>
      <c r="C409" t="inlineStr">
        <is>
          <t>PUMA Womens Star Vital Shoes, Size: 6 M US, Color: Puma Black/Rose Gold</t>
        </is>
      </c>
      <c r="D409" t="n">
        <v>64.95</v>
      </c>
      <c r="E409" t="n">
        <v>64.95</v>
      </c>
      <c r="F409" t="n">
        <v>357751</v>
      </c>
      <c r="G409" t="n">
        <v>753026</v>
      </c>
      <c r="H409" t="n">
        <v>50.3</v>
      </c>
      <c r="I409" t="n">
        <v>54.77</v>
      </c>
      <c r="J409" t="n">
        <v>0.39</v>
      </c>
      <c r="K409" t="n">
        <v>1</v>
      </c>
      <c r="L409" t="n">
        <v>2</v>
      </c>
      <c r="N409" t="n">
        <v>4.5</v>
      </c>
      <c r="O409" t="n">
        <v>7</v>
      </c>
      <c r="P409" t="n">
        <v>55</v>
      </c>
      <c r="Q409" t="n">
        <v>0</v>
      </c>
      <c r="R409" t="n">
        <v>38</v>
      </c>
      <c r="S409" t="inlineStr">
        <is>
          <t>B08K4CYRQ5</t>
        </is>
      </c>
      <c r="U409" t="n">
        <v>1.75046828</v>
      </c>
      <c r="V409" t="n">
        <v>6.61</v>
      </c>
      <c r="W409" t="n">
        <v>9.74</v>
      </c>
      <c r="X409" t="inlineStr">
        <is>
          <t>195098412948</t>
        </is>
      </c>
      <c r="Y409" t="inlineStr">
        <is>
          <t>19433115</t>
        </is>
      </c>
      <c r="Z409" t="inlineStr">
        <is>
          <t>19433115</t>
        </is>
      </c>
      <c r="AA409" t="inlineStr">
        <is>
          <t>Puma Black/Rose Gold</t>
        </is>
      </c>
      <c r="AB409" t="inlineStr">
        <is>
          <t>0195098412948</t>
        </is>
      </c>
      <c r="AC409" t="inlineStr">
        <is>
          <t>no Amazon offer exists</t>
        </is>
      </c>
      <c r="AD409" t="inlineStr">
        <is>
          <t>Puma</t>
        </is>
      </c>
      <c r="AE409" t="inlineStr">
        <is>
          <t>6</t>
        </is>
      </c>
      <c r="AF409" t="inlineStr">
        <is>
          <t>https://m.media-amazon.com/images/I/61RPpbZMXDL.jpg;https://m.media-amazon.com/images/I/61VccOyL7SL.jpg;https://m.media-amazon.com/images/I/514dkFcYdlL.jpg;https://m.media-amazon.com/images/I/51lbSwpcvjL.jpg</t>
        </is>
      </c>
      <c r="AG409"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0">
      <c r="A410" t="inlineStr">
        <is>
          <t>com</t>
        </is>
      </c>
      <c r="B410" t="inlineStr">
        <is>
          <t>B0BCW78S9T</t>
        </is>
      </c>
      <c r="C410" t="inlineStr">
        <is>
          <t>PUMA Womens Star Vital Shoes, Size: 6.5 M US, Color: Puma Black/Rose Gold</t>
        </is>
      </c>
      <c r="D410" t="n">
        <v>36.99</v>
      </c>
      <c r="E410" t="n">
        <v>36.99</v>
      </c>
      <c r="F410" t="n">
        <v>702143</v>
      </c>
      <c r="G410" t="n">
        <v>2279499</v>
      </c>
      <c r="H410" t="n">
        <v>49.43</v>
      </c>
      <c r="I410" t="n">
        <v>58.84</v>
      </c>
      <c r="J410" t="n">
        <v>0</v>
      </c>
      <c r="K410" t="n">
        <v>1</v>
      </c>
      <c r="L410" t="n">
        <v>3</v>
      </c>
      <c r="M410" t="n">
        <v>2</v>
      </c>
      <c r="N410" t="n">
        <v>4.5</v>
      </c>
      <c r="O410" t="n">
        <v>3</v>
      </c>
      <c r="P410" t="n">
        <v>55</v>
      </c>
      <c r="Q410" t="n">
        <v>16</v>
      </c>
      <c r="R410" t="n">
        <v>24</v>
      </c>
      <c r="S410" t="inlineStr">
        <is>
          <t>B08K4CYRQ5</t>
        </is>
      </c>
      <c r="U410" t="n">
        <v>1.3999337</v>
      </c>
      <c r="V410" t="n">
        <v>6.61</v>
      </c>
      <c r="W410" t="inlineStr"/>
      <c r="X410" t="inlineStr">
        <is>
          <t>195098412955</t>
        </is>
      </c>
      <c r="Y410" t="inlineStr">
        <is>
          <t>19433115</t>
        </is>
      </c>
      <c r="Z410" t="inlineStr">
        <is>
          <t>PUMA-194331</t>
        </is>
      </c>
      <c r="AA410" t="inlineStr">
        <is>
          <t>Puma Black/Rose Gold</t>
        </is>
      </c>
      <c r="AB410" t="inlineStr">
        <is>
          <t>0195098412955</t>
        </is>
      </c>
      <c r="AC410" t="inlineStr">
        <is>
          <t>no Amazon offer exists</t>
        </is>
      </c>
      <c r="AD410" t="inlineStr">
        <is>
          <t>Puma</t>
        </is>
      </c>
      <c r="AE410" t="inlineStr">
        <is>
          <t>6.5</t>
        </is>
      </c>
      <c r="AF410" t="inlineStr">
        <is>
          <t>https://m.media-amazon.com/images/I/61RPpbZMXDL.jpg;https://m.media-amazon.com/images/I/61VccOyL7SL.jpg;https://m.media-amazon.com/images/I/514dkFcYdlL.jpg;https://m.media-amazon.com/images/I/51lbSwpcvjL.jpg</t>
        </is>
      </c>
      <c r="AG410"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1">
      <c r="A411" t="inlineStr">
        <is>
          <t>com</t>
        </is>
      </c>
      <c r="B411" t="inlineStr">
        <is>
          <t>B0BCVT88P1</t>
        </is>
      </c>
      <c r="C411" t="inlineStr">
        <is>
          <t>PUMA - Womens Star Vital Shoes, Size: 7 M US, Color: Black/Rose Gold</t>
        </is>
      </c>
      <c r="D411" t="n">
        <v>30.99</v>
      </c>
      <c r="E411" t="n">
        <v>30.99</v>
      </c>
      <c r="F411" t="n">
        <v>662802</v>
      </c>
      <c r="G411" t="n">
        <v>689989</v>
      </c>
      <c r="H411" t="n">
        <v>48.79</v>
      </c>
      <c r="I411" t="n">
        <v>57.67</v>
      </c>
      <c r="J411" t="n">
        <v>0.03</v>
      </c>
      <c r="K411" t="n">
        <v>1</v>
      </c>
      <c r="L411" t="n">
        <v>2</v>
      </c>
      <c r="M411" t="n">
        <v>3</v>
      </c>
      <c r="N411" t="n">
        <v>4.5</v>
      </c>
      <c r="O411" t="n">
        <v>5</v>
      </c>
      <c r="P411" t="n">
        <v>55</v>
      </c>
      <c r="Q411" t="n">
        <v>15</v>
      </c>
      <c r="R411" t="n">
        <v>43</v>
      </c>
      <c r="S411" t="inlineStr">
        <is>
          <t>B08K4CYRQ5</t>
        </is>
      </c>
      <c r="U411" t="n">
        <v>1.1904948</v>
      </c>
      <c r="V411" t="n">
        <v>6.44</v>
      </c>
      <c r="W411" t="inlineStr"/>
      <c r="X411" t="inlineStr">
        <is>
          <t>195098412962</t>
        </is>
      </c>
      <c r="Y411" t="inlineStr">
        <is>
          <t>19433115</t>
        </is>
      </c>
      <c r="Z411" t="inlineStr">
        <is>
          <t>19433115</t>
        </is>
      </c>
      <c r="AA411" t="inlineStr">
        <is>
          <t>Puma Black/Rose Gold</t>
        </is>
      </c>
      <c r="AB411" t="inlineStr">
        <is>
          <t>0195098412962</t>
        </is>
      </c>
      <c r="AC411" t="inlineStr">
        <is>
          <t>no Amazon offer exists</t>
        </is>
      </c>
      <c r="AD411" t="inlineStr">
        <is>
          <t>Puma</t>
        </is>
      </c>
      <c r="AE411" t="inlineStr">
        <is>
          <t>7</t>
        </is>
      </c>
      <c r="AF411" t="inlineStr">
        <is>
          <t>https://m.media-amazon.com/images/I/61RPpbZMXDL.jpg;https://m.media-amazon.com/images/I/61VccOyL7SL.jpg;https://m.media-amazon.com/images/I/514dkFcYdlL.jpg;https://m.media-amazon.com/images/I/51lbSwpcvjL.jpg</t>
        </is>
      </c>
      <c r="AG411"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2">
      <c r="A412" t="inlineStr">
        <is>
          <t>com</t>
        </is>
      </c>
      <c r="B412" t="inlineStr">
        <is>
          <t>B0BCVZ8471</t>
        </is>
      </c>
      <c r="C412" t="inlineStr">
        <is>
          <t>PUMA Womens Star Vital Shoes, Size: 7.5 M US, Color: Puma Black/Rose Gold</t>
        </is>
      </c>
      <c r="D412" t="n">
        <v>36.99</v>
      </c>
      <c r="E412" t="n">
        <v>36.99</v>
      </c>
      <c r="F412" t="n">
        <v>702143</v>
      </c>
      <c r="G412" t="n">
        <v>1351055</v>
      </c>
      <c r="H412" t="n">
        <v>51.86</v>
      </c>
      <c r="I412" t="n">
        <v>58.07</v>
      </c>
      <c r="J412" t="n">
        <v>0</v>
      </c>
      <c r="K412" t="n">
        <v>1</v>
      </c>
      <c r="L412" t="n">
        <v>3</v>
      </c>
      <c r="M412" t="n">
        <v>3</v>
      </c>
      <c r="N412" t="n">
        <v>4.5</v>
      </c>
      <c r="O412" t="n">
        <v>7</v>
      </c>
      <c r="P412" t="n">
        <v>55</v>
      </c>
      <c r="Q412" t="n">
        <v>10</v>
      </c>
      <c r="R412" t="n">
        <v>23</v>
      </c>
      <c r="S412" t="inlineStr">
        <is>
          <t>B08K4CYRQ5</t>
        </is>
      </c>
      <c r="U412" t="n">
        <v>3.09969572</v>
      </c>
      <c r="V412" t="n">
        <v>7.54</v>
      </c>
      <c r="W412" t="inlineStr"/>
      <c r="X412" t="inlineStr">
        <is>
          <t>195098412979</t>
        </is>
      </c>
      <c r="Y412" t="inlineStr">
        <is>
          <t>19433115</t>
        </is>
      </c>
      <c r="Z412" t="inlineStr">
        <is>
          <t>19433115</t>
        </is>
      </c>
      <c r="AA412" t="inlineStr">
        <is>
          <t>Puma Black/Rose Gold</t>
        </is>
      </c>
      <c r="AB412" t="inlineStr">
        <is>
          <t>0195098412979</t>
        </is>
      </c>
      <c r="AC412" t="inlineStr">
        <is>
          <t>no Amazon offer exists</t>
        </is>
      </c>
      <c r="AD412" t="inlineStr">
        <is>
          <t>Puma</t>
        </is>
      </c>
      <c r="AE412" t="inlineStr">
        <is>
          <t>7.5</t>
        </is>
      </c>
      <c r="AF412" t="inlineStr">
        <is>
          <t>https://m.media-amazon.com/images/I/61RPpbZMXDL.jpg;https://m.media-amazon.com/images/I/61VccOyL7SL.jpg;https://m.media-amazon.com/images/I/514dkFcYdlL.jpg;https://m.media-amazon.com/images/I/51lbSwpcvjL.jpg</t>
        </is>
      </c>
      <c r="AG412"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3">
      <c r="A413" t="inlineStr">
        <is>
          <t>com</t>
        </is>
      </c>
      <c r="B413" t="inlineStr">
        <is>
          <t>B0BCVXC94F</t>
        </is>
      </c>
      <c r="C413" t="inlineStr">
        <is>
          <t>PUMA Puma - Womens Star Vital Shoes, Size: 8 M US, Color: Puma Black/Rose Gold</t>
        </is>
      </c>
      <c r="D413" t="n">
        <v>48.94</v>
      </c>
      <c r="E413" t="n">
        <v>33.99</v>
      </c>
      <c r="F413" t="n">
        <v>662802</v>
      </c>
      <c r="G413" t="n">
        <v>1411559</v>
      </c>
      <c r="H413" t="n">
        <v>54.48</v>
      </c>
      <c r="I413" t="n">
        <v>59.08</v>
      </c>
      <c r="J413" t="n">
        <v>0</v>
      </c>
      <c r="K413" t="n">
        <v>1</v>
      </c>
      <c r="L413" t="n">
        <v>3</v>
      </c>
      <c r="M413" t="n">
        <v>3</v>
      </c>
      <c r="N413" t="n">
        <v>4.5</v>
      </c>
      <c r="O413" t="n">
        <v>9</v>
      </c>
      <c r="P413" t="n">
        <v>55</v>
      </c>
      <c r="Q413" t="n">
        <v>25</v>
      </c>
      <c r="R413" t="n">
        <v>38</v>
      </c>
      <c r="S413" t="inlineStr">
        <is>
          <t>B08K4CYRQ5</t>
        </is>
      </c>
      <c r="U413" t="n">
        <v>1.4991416</v>
      </c>
      <c r="V413" t="n">
        <v>7.03</v>
      </c>
      <c r="W413" t="n">
        <v>7.34</v>
      </c>
      <c r="X413" t="inlineStr">
        <is>
          <t>195098412986</t>
        </is>
      </c>
      <c r="Y413" t="inlineStr">
        <is>
          <t>19433115</t>
        </is>
      </c>
      <c r="Z413" t="inlineStr">
        <is>
          <t>19433115</t>
        </is>
      </c>
      <c r="AA413" t="inlineStr">
        <is>
          <t>Puma Black/Rose Gold</t>
        </is>
      </c>
      <c r="AB413" t="inlineStr">
        <is>
          <t>0195098412986</t>
        </is>
      </c>
      <c r="AC413" t="inlineStr">
        <is>
          <t>no Amazon offer exists</t>
        </is>
      </c>
      <c r="AD413" t="inlineStr">
        <is>
          <t>Puma</t>
        </is>
      </c>
      <c r="AE413" t="inlineStr">
        <is>
          <t>8</t>
        </is>
      </c>
      <c r="AF413" t="inlineStr">
        <is>
          <t>https://m.media-amazon.com/images/I/61RPpbZMXDL.jpg;https://m.media-amazon.com/images/I/61VccOyL7SL.jpg;https://m.media-amazon.com/images/I/514dkFcYdlL.jpg;https://m.media-amazon.com/images/I/51lbSwpcvjL.jpg</t>
        </is>
      </c>
      <c r="AG413"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4">
      <c r="A414" t="inlineStr">
        <is>
          <t>com</t>
        </is>
      </c>
      <c r="B414" t="inlineStr">
        <is>
          <t>B0BCVXXY3G</t>
        </is>
      </c>
      <c r="C414" t="inlineStr">
        <is>
          <t>PUMA Womens Star Vital Shoes, Size: 8.5 M US, Color: Puma Black/Rose Gold</t>
        </is>
      </c>
      <c r="D414" t="n">
        <v>64.95</v>
      </c>
      <c r="E414" t="n">
        <v>64.95</v>
      </c>
      <c r="F414" t="n">
        <v>702143</v>
      </c>
      <c r="G414" t="n">
        <v>1569417</v>
      </c>
      <c r="H414" t="n">
        <v>55.51</v>
      </c>
      <c r="I414" t="n">
        <v>58.27</v>
      </c>
      <c r="J414" t="n">
        <v>0</v>
      </c>
      <c r="K414" t="n">
        <v>1</v>
      </c>
      <c r="L414" t="n">
        <v>2</v>
      </c>
      <c r="M414" t="n">
        <v>2</v>
      </c>
      <c r="N414" t="n">
        <v>4.5</v>
      </c>
      <c r="O414" t="n">
        <v>9</v>
      </c>
      <c r="P414" t="n">
        <v>55</v>
      </c>
      <c r="Q414" t="n">
        <v>18</v>
      </c>
      <c r="R414" t="n">
        <v>29</v>
      </c>
      <c r="S414" t="inlineStr">
        <is>
          <t>B08K4CYRQ5</t>
        </is>
      </c>
      <c r="U414" t="n">
        <v>1.3999337</v>
      </c>
      <c r="V414" t="n">
        <v>7.54</v>
      </c>
      <c r="W414" t="inlineStr"/>
      <c r="X414" t="inlineStr">
        <is>
          <t>195098412993</t>
        </is>
      </c>
      <c r="Y414" t="inlineStr">
        <is>
          <t>19433115</t>
        </is>
      </c>
      <c r="Z414" t="inlineStr">
        <is>
          <t>19433115</t>
        </is>
      </c>
      <c r="AA414" t="inlineStr">
        <is>
          <t>Puma Black/Rose Gold</t>
        </is>
      </c>
      <c r="AB414" t="inlineStr">
        <is>
          <t>0195098412993</t>
        </is>
      </c>
      <c r="AC414" t="inlineStr">
        <is>
          <t>no Amazon offer exists</t>
        </is>
      </c>
      <c r="AD414" t="inlineStr">
        <is>
          <t>Puma</t>
        </is>
      </c>
      <c r="AE414" t="inlineStr">
        <is>
          <t>8.5</t>
        </is>
      </c>
      <c r="AF414" t="inlineStr">
        <is>
          <t>https://m.media-amazon.com/images/I/61RPpbZMXDL.jpg;https://m.media-amazon.com/images/I/61VccOyL7SL.jpg;https://m.media-amazon.com/images/I/514dkFcYdlL.jpg;https://m.media-amazon.com/images/I/51lbSwpcvjL.jpg</t>
        </is>
      </c>
      <c r="AG414"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5">
      <c r="A415" t="inlineStr">
        <is>
          <t>com</t>
        </is>
      </c>
      <c r="B415" t="inlineStr">
        <is>
          <t>B0BCVXSHKW</t>
        </is>
      </c>
      <c r="C415" t="inlineStr">
        <is>
          <t>PUMA Womens Star Vital Shoes, Size: 9 M US, Color: Puma Black/Rose Gold</t>
        </is>
      </c>
      <c r="D415" t="n">
        <v>52.8</v>
      </c>
      <c r="E415" t="n">
        <v>52.8</v>
      </c>
      <c r="F415" t="n">
        <v>639696</v>
      </c>
      <c r="G415" t="n">
        <v>1499785</v>
      </c>
      <c r="H415" t="n">
        <v>51.8</v>
      </c>
      <c r="I415" t="n">
        <v>57.27</v>
      </c>
      <c r="J415" t="n">
        <v>0</v>
      </c>
      <c r="K415" t="n">
        <v>1</v>
      </c>
      <c r="L415" t="n">
        <v>3</v>
      </c>
      <c r="M415" t="n">
        <v>1</v>
      </c>
      <c r="N415" t="n">
        <v>4.5</v>
      </c>
      <c r="O415" t="n">
        <v>8</v>
      </c>
      <c r="P415" t="n">
        <v>55</v>
      </c>
      <c r="Q415" t="n">
        <v>13</v>
      </c>
      <c r="R415" t="n">
        <v>29</v>
      </c>
      <c r="S415" t="inlineStr">
        <is>
          <t>B08K4CYRQ5</t>
        </is>
      </c>
      <c r="U415" t="n">
        <v>2.35012492</v>
      </c>
      <c r="V415" t="n">
        <v>7.03</v>
      </c>
      <c r="W415" t="inlineStr"/>
      <c r="X415" t="inlineStr">
        <is>
          <t>195098413006</t>
        </is>
      </c>
      <c r="Y415" t="inlineStr">
        <is>
          <t>19433115</t>
        </is>
      </c>
      <c r="Z415" t="inlineStr">
        <is>
          <t>19433115</t>
        </is>
      </c>
      <c r="AA415" t="inlineStr">
        <is>
          <t>Puma Black/Rose Gold</t>
        </is>
      </c>
      <c r="AB415" t="inlineStr">
        <is>
          <t>0195098413006</t>
        </is>
      </c>
      <c r="AC415" t="inlineStr">
        <is>
          <t>no Amazon offer exists</t>
        </is>
      </c>
      <c r="AD415" t="inlineStr">
        <is>
          <t>Puma</t>
        </is>
      </c>
      <c r="AE415" t="inlineStr">
        <is>
          <t>9</t>
        </is>
      </c>
      <c r="AF415" t="inlineStr">
        <is>
          <t>https://m.media-amazon.com/images/I/61RPpbZMXDL.jpg;https://m.media-amazon.com/images/I/61VccOyL7SL.jpg;https://m.media-amazon.com/images/I/514dkFcYdlL.jpg;https://m.media-amazon.com/images/I/51lbSwpcvjL.jpg</t>
        </is>
      </c>
      <c r="AG415"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6">
      <c r="A416" t="inlineStr">
        <is>
          <t>com</t>
        </is>
      </c>
      <c r="B416" t="inlineStr">
        <is>
          <t>B0BCVVSTVC</t>
        </is>
      </c>
      <c r="C416" t="inlineStr">
        <is>
          <t>PUMA Womens Star Vital Shoes, Size: 9.5 M US, Color: Puma Black/Rose Gold</t>
        </is>
      </c>
      <c r="D416" t="n">
        <v>53.73</v>
      </c>
      <c r="E416" t="inlineStr"/>
      <c r="F416" t="n">
        <v>3008226</v>
      </c>
      <c r="G416" t="n">
        <v>2401969</v>
      </c>
      <c r="H416" t="n">
        <v>53.73</v>
      </c>
      <c r="I416" t="n">
        <v>58.32</v>
      </c>
      <c r="J416" t="n">
        <v>0.32</v>
      </c>
      <c r="K416" t="n">
        <v>1</v>
      </c>
      <c r="L416" t="n">
        <v>1</v>
      </c>
      <c r="N416" t="n">
        <v>4.5</v>
      </c>
      <c r="O416" t="n">
        <v>4</v>
      </c>
      <c r="P416" t="n">
        <v>55</v>
      </c>
      <c r="Q416" t="n">
        <v>2</v>
      </c>
      <c r="R416" t="n">
        <v>12</v>
      </c>
      <c r="S416" t="inlineStr"/>
      <c r="U416" t="n">
        <v>1.42418452</v>
      </c>
      <c r="V416" t="n">
        <v>7.62</v>
      </c>
      <c r="W416" t="inlineStr"/>
      <c r="X416" t="inlineStr">
        <is>
          <t>195098413013</t>
        </is>
      </c>
      <c r="Y416" t="inlineStr">
        <is>
          <t>19433115</t>
        </is>
      </c>
      <c r="Z416" t="inlineStr">
        <is>
          <t>19433115</t>
        </is>
      </c>
      <c r="AA416" t="inlineStr">
        <is>
          <t>Puma Black/Rose Gold</t>
        </is>
      </c>
      <c r="AB416" t="inlineStr">
        <is>
          <t>0195098413013</t>
        </is>
      </c>
      <c r="AC416" t="inlineStr">
        <is>
          <t>no Amazon offer exists</t>
        </is>
      </c>
      <c r="AD416" t="inlineStr">
        <is>
          <t>Puma</t>
        </is>
      </c>
      <c r="AE416" t="inlineStr"/>
      <c r="AF416" t="inlineStr">
        <is>
          <t>https://m.media-amazon.com/images/I/61RPpbZMXDL.jpg;https://m.media-amazon.com/images/I/61VccOyL7SL.jpg;https://m.media-amazon.com/images/I/514dkFcYdlL.jpg;https://m.media-amazon.com/images/I/51lbSwpcvjL.jpg</t>
        </is>
      </c>
      <c r="AG416"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7">
      <c r="A417" t="inlineStr">
        <is>
          <t>com</t>
        </is>
      </c>
      <c r="B417" t="inlineStr">
        <is>
          <t>B0BCVXD9VJ</t>
        </is>
      </c>
      <c r="C417" t="inlineStr">
        <is>
          <t>PUMA Womens Star Vital Shoes, Size: 10 M US, Color: Puma Black/Rose Gold</t>
        </is>
      </c>
      <c r="D417" t="n">
        <v>49.95</v>
      </c>
      <c r="E417" t="inlineStr"/>
      <c r="G417" t="n">
        <v>2439930</v>
      </c>
      <c r="H417" t="n">
        <v>49.95</v>
      </c>
      <c r="I417" t="n">
        <v>54.01</v>
      </c>
      <c r="J417" t="n">
        <v>0.4</v>
      </c>
      <c r="K417" t="n">
        <v>1</v>
      </c>
      <c r="L417" t="n">
        <v>1</v>
      </c>
      <c r="N417" t="n">
        <v>4.5</v>
      </c>
      <c r="O417" t="n">
        <v>3</v>
      </c>
      <c r="P417" t="n">
        <v>52</v>
      </c>
      <c r="Q417" t="n">
        <v>4</v>
      </c>
      <c r="R417" t="n">
        <v>9</v>
      </c>
      <c r="S417" t="inlineStr"/>
      <c r="U417" t="n">
        <v>2.50003908</v>
      </c>
      <c r="V417" t="n">
        <v>7.54</v>
      </c>
      <c r="W417" t="inlineStr"/>
      <c r="X417" t="inlineStr">
        <is>
          <t>195098413020</t>
        </is>
      </c>
      <c r="Y417" t="inlineStr">
        <is>
          <t>19433115</t>
        </is>
      </c>
      <c r="Z417" t="inlineStr">
        <is>
          <t>19433115</t>
        </is>
      </c>
      <c r="AA417" t="inlineStr">
        <is>
          <t>Puma Black/Rose Gold</t>
        </is>
      </c>
      <c r="AB417" t="inlineStr">
        <is>
          <t>0195098413020</t>
        </is>
      </c>
      <c r="AC417" t="inlineStr">
        <is>
          <t>no Amazon offer exists</t>
        </is>
      </c>
      <c r="AD417" t="inlineStr">
        <is>
          <t>Puma</t>
        </is>
      </c>
      <c r="AE417" t="inlineStr"/>
      <c r="AF417" t="inlineStr">
        <is>
          <t>https://m.media-amazon.com/images/I/61RPpbZMXDL.jpg;https://m.media-amazon.com/images/I/61VccOyL7SL.jpg;https://m.media-amazon.com/images/I/514dkFcYdlL.jpg;https://m.media-amazon.com/images/I/51lbSwpcvjL.jpg</t>
        </is>
      </c>
      <c r="AG417"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8">
      <c r="A418" t="inlineStr">
        <is>
          <t>com</t>
        </is>
      </c>
      <c r="B418" t="inlineStr">
        <is>
          <t>B0BCVX8MHG</t>
        </is>
      </c>
      <c r="C418" t="inlineStr">
        <is>
          <t>PUMA Womens Star Vital Shoes, Size: 11 M US, Color: Puma Black/Rose Gold</t>
        </is>
      </c>
      <c r="D418" t="n">
        <v>64.95</v>
      </c>
      <c r="E418" t="n">
        <v>64.95</v>
      </c>
      <c r="F418" t="n">
        <v>639696</v>
      </c>
      <c r="G418" t="n">
        <v>2691213</v>
      </c>
      <c r="H418" t="n">
        <v>56.9</v>
      </c>
      <c r="I418" t="n">
        <v>57.85</v>
      </c>
      <c r="J418" t="n">
        <v>0.18</v>
      </c>
      <c r="K418" t="n">
        <v>1</v>
      </c>
      <c r="L418" t="n">
        <v>1</v>
      </c>
      <c r="M418" t="n">
        <v>1</v>
      </c>
      <c r="N418" t="n">
        <v>4.5</v>
      </c>
      <c r="O418" t="n">
        <v>1</v>
      </c>
      <c r="P418" t="n">
        <v>48</v>
      </c>
      <c r="Q418" t="n">
        <v>9</v>
      </c>
      <c r="R418" t="n">
        <v>17</v>
      </c>
      <c r="S418" t="inlineStr">
        <is>
          <t>B08K4CYRQ5</t>
        </is>
      </c>
      <c r="V418" t="inlineStr"/>
      <c r="W418" t="inlineStr"/>
      <c r="X418" t="inlineStr">
        <is>
          <t>195098413044</t>
        </is>
      </c>
      <c r="Y418" t="inlineStr">
        <is>
          <t>19433115</t>
        </is>
      </c>
      <c r="Z418" t="inlineStr">
        <is>
          <t>19433115</t>
        </is>
      </c>
      <c r="AA418" t="inlineStr">
        <is>
          <t>Puma Black/Rose Gold</t>
        </is>
      </c>
      <c r="AB418" t="inlineStr">
        <is>
          <t>0195098413044</t>
        </is>
      </c>
      <c r="AC418" t="inlineStr">
        <is>
          <t>no Amazon offer exists</t>
        </is>
      </c>
      <c r="AD418" t="inlineStr">
        <is>
          <t>Puma</t>
        </is>
      </c>
      <c r="AE418" t="inlineStr">
        <is>
          <t>11</t>
        </is>
      </c>
      <c r="AF418" t="inlineStr">
        <is>
          <t>https://m.media-amazon.com/images/I/61RPpbZMXDL.jpg;https://m.media-amazon.com/images/I/61VccOyL7SL.jpg;https://m.media-amazon.com/images/I/514dkFcYdlL.jpg;https://m.media-amazon.com/images/I/51lbSwpcvjL.jpg</t>
        </is>
      </c>
      <c r="AG418" t="inlineStr">
        <is>
          <t>Description
Catch Eyes And Make Strides In The Sleek And Streamlined Fit Of The Star Vital Training Shoes! With A Breathable Knit Upper, Extended Lacing System And Soft, Cushioned Midsole, This Training Shoe Will Give You A Smooth, Comfortable Feel With Every Step.</t>
        </is>
      </c>
    </row>
    <row r="419">
      <c r="A419" t="inlineStr">
        <is>
          <t>com</t>
        </is>
      </c>
      <c r="B419" t="inlineStr">
        <is>
          <t>B0CM7S8XSM</t>
        </is>
      </c>
      <c r="C419" t="inlineStr">
        <is>
          <t>adidas Women's Run 72 Sneaker, White/Black/Black, 5</t>
        </is>
      </c>
      <c r="D419" t="inlineStr"/>
      <c r="E419" t="inlineStr"/>
      <c r="F419" t="n">
        <v>27608</v>
      </c>
      <c r="G419" t="n">
        <v>42313</v>
      </c>
      <c r="H419" t="inlineStr"/>
      <c r="I419" t="inlineStr"/>
      <c r="J419" t="n">
        <v>1</v>
      </c>
      <c r="K419" t="n">
        <v>1</v>
      </c>
      <c r="N419" t="n">
        <v>4.6</v>
      </c>
      <c r="O419" t="n">
        <v>0</v>
      </c>
      <c r="P419" t="n">
        <v>27</v>
      </c>
      <c r="Q419" t="n">
        <v>6</v>
      </c>
      <c r="R419" t="n">
        <v>19</v>
      </c>
      <c r="S419" t="inlineStr">
        <is>
          <t>B0D91B9G9P</t>
        </is>
      </c>
      <c r="U419" t="n">
        <v>2.1605276</v>
      </c>
      <c r="V419" t="n">
        <v>6.61</v>
      </c>
      <c r="W419" t="inlineStr"/>
      <c r="X419" t="inlineStr">
        <is>
          <t>197609835178</t>
        </is>
      </c>
      <c r="Y419" t="inlineStr">
        <is>
          <t>IH8601</t>
        </is>
      </c>
      <c r="Z419" t="inlineStr">
        <is>
          <t>IH8601</t>
        </is>
      </c>
      <c r="AA419" t="inlineStr">
        <is>
          <t>White/Black/Black</t>
        </is>
      </c>
      <c r="AB419" t="inlineStr">
        <is>
          <t>0197609835178</t>
        </is>
      </c>
      <c r="AC419" t="inlineStr">
        <is>
          <t>no Amazon offer exists</t>
        </is>
      </c>
      <c r="AD419" t="inlineStr">
        <is>
          <t>adidas</t>
        </is>
      </c>
      <c r="AE419" t="inlineStr">
        <is>
          <t>5</t>
        </is>
      </c>
      <c r="AF419"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19"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0">
      <c r="A420" t="inlineStr">
        <is>
          <t>com</t>
        </is>
      </c>
      <c r="B420" t="inlineStr">
        <is>
          <t>B0CM7ZVH4Y</t>
        </is>
      </c>
      <c r="C420" t="inlineStr">
        <is>
          <t>adidas Women's Run 72 Sneaker, White/Black/Black, 5.5</t>
        </is>
      </c>
      <c r="D420" t="inlineStr"/>
      <c r="E420" t="inlineStr"/>
      <c r="F420" t="n">
        <v>22531</v>
      </c>
      <c r="G420" t="n">
        <v>35801</v>
      </c>
      <c r="H420" t="inlineStr"/>
      <c r="I420" t="inlineStr"/>
      <c r="J420" t="n">
        <v>1</v>
      </c>
      <c r="K420" t="n">
        <v>1</v>
      </c>
      <c r="N420" t="n">
        <v>4.6</v>
      </c>
      <c r="O420" t="n">
        <v>0</v>
      </c>
      <c r="P420" t="n">
        <v>27</v>
      </c>
      <c r="Q420" t="n">
        <v>6</v>
      </c>
      <c r="R420" t="n">
        <v>22</v>
      </c>
      <c r="S420" t="inlineStr">
        <is>
          <t>B0D91B9G9P</t>
        </is>
      </c>
      <c r="U420" t="n">
        <v>2.20021076</v>
      </c>
      <c r="V420" t="n">
        <v>7.03</v>
      </c>
      <c r="W420" t="inlineStr"/>
      <c r="X420" t="inlineStr">
        <is>
          <t>197609835130</t>
        </is>
      </c>
      <c r="Y420" t="inlineStr">
        <is>
          <t>IH8601</t>
        </is>
      </c>
      <c r="Z420" t="inlineStr">
        <is>
          <t>IH8601</t>
        </is>
      </c>
      <c r="AA420" t="inlineStr">
        <is>
          <t>White/Black/Black</t>
        </is>
      </c>
      <c r="AB420" t="inlineStr">
        <is>
          <t>0197609835130</t>
        </is>
      </c>
      <c r="AC420" t="inlineStr">
        <is>
          <t>no Amazon offer exists</t>
        </is>
      </c>
      <c r="AD420" t="inlineStr">
        <is>
          <t>adidas</t>
        </is>
      </c>
      <c r="AE420" t="inlineStr">
        <is>
          <t>5.5</t>
        </is>
      </c>
      <c r="AF420" t="inlineStr">
        <is>
          <t>https://m.media-amazon.com/images/I/21K6t80o5SL.jpg;https://m.media-amazon.com/images/I/219xE+7b-hL.jpg;https://m.media-amazon.com/images/I/31Tl8AIpaoL.jpg;https://m.media-amazon.com/images/I/31ylkCKL+bL.jpg;https://m.media-amazon.com/images/I/21jHK77zn6L.jpg;https://m.media-amazon.com/images/I/31KqEjOoI+L.jpg;https://m.media-amazon.com/images/I/31l9b423uIL.jpg;https://m.media-amazon.com/images/I/41-LfeWr5lL.jpg;https://m.media-amazon.com/images/I/315657d678L.jpg;https://m.media-amazon.com/images/I/316JV+yevTL.jpg</t>
        </is>
      </c>
      <c r="AG420"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1">
      <c r="A421" t="inlineStr">
        <is>
          <t>com</t>
        </is>
      </c>
      <c r="B421" t="inlineStr">
        <is>
          <t>B0CM811YRK</t>
        </is>
      </c>
      <c r="C421" t="inlineStr">
        <is>
          <t>adidas Women's Run 72 Sneaker, White/Black/Black, 6</t>
        </is>
      </c>
      <c r="D421" t="n">
        <v>90.16</v>
      </c>
      <c r="E421" t="n">
        <v>90.16</v>
      </c>
      <c r="F421" t="n">
        <v>22531</v>
      </c>
      <c r="G421" t="n">
        <v>36554</v>
      </c>
      <c r="H421" t="inlineStr"/>
      <c r="I421" t="inlineStr"/>
      <c r="J421" t="n">
        <v>0.86</v>
      </c>
      <c r="K421" t="n">
        <v>1</v>
      </c>
      <c r="L421" t="n">
        <v>1</v>
      </c>
      <c r="M421" t="n">
        <v>1</v>
      </c>
      <c r="N421" t="n">
        <v>4.6</v>
      </c>
      <c r="O421" t="n">
        <v>0</v>
      </c>
      <c r="P421" t="n">
        <v>27</v>
      </c>
      <c r="Q421" t="n">
        <v>12</v>
      </c>
      <c r="R421" t="n">
        <v>25</v>
      </c>
      <c r="S421" t="inlineStr">
        <is>
          <t>B0D91B9G9P</t>
        </is>
      </c>
      <c r="U421" t="n">
        <v>2.25091702</v>
      </c>
      <c r="V421" t="n">
        <v>6.61</v>
      </c>
      <c r="W421" t="inlineStr"/>
      <c r="X421" t="inlineStr">
        <is>
          <t>197609835192</t>
        </is>
      </c>
      <c r="Y421" t="inlineStr">
        <is>
          <t>IH8601</t>
        </is>
      </c>
      <c r="Z421" t="inlineStr">
        <is>
          <t>IH8601</t>
        </is>
      </c>
      <c r="AA421" t="inlineStr">
        <is>
          <t>White/Black/Black</t>
        </is>
      </c>
      <c r="AB421" t="inlineStr">
        <is>
          <t>0197609835192</t>
        </is>
      </c>
      <c r="AC421" t="inlineStr">
        <is>
          <t>no Amazon offer exists</t>
        </is>
      </c>
      <c r="AD421" t="inlineStr">
        <is>
          <t>adidas</t>
        </is>
      </c>
      <c r="AE421" t="inlineStr">
        <is>
          <t>6</t>
        </is>
      </c>
      <c r="AF421"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1"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2">
      <c r="A422" t="inlineStr">
        <is>
          <t>com</t>
        </is>
      </c>
      <c r="B422" t="inlineStr">
        <is>
          <t>B0CM7VT132</t>
        </is>
      </c>
      <c r="C422" t="inlineStr">
        <is>
          <t>adidas Women's Run 72 Sneaker, White/Black/Black, 6.5</t>
        </is>
      </c>
      <c r="D422" t="n">
        <v>90.16</v>
      </c>
      <c r="E422" t="n">
        <v>90.16</v>
      </c>
      <c r="F422" t="n">
        <v>22531</v>
      </c>
      <c r="G422" t="n">
        <v>38639</v>
      </c>
      <c r="H422" t="inlineStr"/>
      <c r="I422" t="inlineStr"/>
      <c r="J422" t="n">
        <v>0.87</v>
      </c>
      <c r="K422" t="n">
        <v>1</v>
      </c>
      <c r="L422" t="n">
        <v>1</v>
      </c>
      <c r="M422" t="n">
        <v>1</v>
      </c>
      <c r="N422" t="n">
        <v>4.6</v>
      </c>
      <c r="O422" t="n">
        <v>0</v>
      </c>
      <c r="P422" t="n">
        <v>27</v>
      </c>
      <c r="Q422" t="n">
        <v>9</v>
      </c>
      <c r="R422" t="n">
        <v>23</v>
      </c>
      <c r="S422" t="inlineStr">
        <is>
          <t>B0D91B9G9P</t>
        </is>
      </c>
      <c r="U422" t="n">
        <v>2.2707586</v>
      </c>
      <c r="V422" t="n">
        <v>6.61</v>
      </c>
      <c r="W422" t="inlineStr"/>
      <c r="X422" t="inlineStr">
        <is>
          <t>197609835215</t>
        </is>
      </c>
      <c r="Y422" t="inlineStr">
        <is>
          <t>IH8601</t>
        </is>
      </c>
      <c r="Z422" t="inlineStr">
        <is>
          <t>IH8601</t>
        </is>
      </c>
      <c r="AA422" t="inlineStr">
        <is>
          <t>White/Black/Black</t>
        </is>
      </c>
      <c r="AB422" t="inlineStr">
        <is>
          <t>0197609835215</t>
        </is>
      </c>
      <c r="AC422" t="inlineStr">
        <is>
          <t>no Amazon offer exists</t>
        </is>
      </c>
      <c r="AD422" t="inlineStr">
        <is>
          <t>adidas</t>
        </is>
      </c>
      <c r="AE422" t="inlineStr">
        <is>
          <t>6.5</t>
        </is>
      </c>
      <c r="AF422"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2"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3">
      <c r="A423" t="inlineStr">
        <is>
          <t>com</t>
        </is>
      </c>
      <c r="B423" t="inlineStr">
        <is>
          <t>B0CM847T3Q</t>
        </is>
      </c>
      <c r="C423" t="inlineStr">
        <is>
          <t>adidas Women's Run 72 Sneaker, White/Black/Black, 7</t>
        </is>
      </c>
      <c r="D423" t="n">
        <v>90.16</v>
      </c>
      <c r="E423" t="n">
        <v>90.16</v>
      </c>
      <c r="F423" t="n">
        <v>22531</v>
      </c>
      <c r="G423" t="n">
        <v>38115</v>
      </c>
      <c r="H423" t="inlineStr"/>
      <c r="I423" t="inlineStr"/>
      <c r="J423" t="n">
        <v>0.87</v>
      </c>
      <c r="K423" t="n">
        <v>1</v>
      </c>
      <c r="L423" t="n">
        <v>1</v>
      </c>
      <c r="M423" t="n">
        <v>1</v>
      </c>
      <c r="N423" t="n">
        <v>4.6</v>
      </c>
      <c r="O423" t="n">
        <v>0</v>
      </c>
      <c r="P423" t="n">
        <v>27</v>
      </c>
      <c r="Q423" t="n">
        <v>11</v>
      </c>
      <c r="R423" t="n">
        <v>25</v>
      </c>
      <c r="S423" t="inlineStr">
        <is>
          <t>B0D91B9G9P</t>
        </is>
      </c>
      <c r="U423" t="n">
        <v>2.33910182</v>
      </c>
      <c r="V423" t="n">
        <v>7.62</v>
      </c>
      <c r="W423" t="inlineStr"/>
      <c r="X423" t="inlineStr">
        <is>
          <t>197609835208</t>
        </is>
      </c>
      <c r="Y423" t="inlineStr">
        <is>
          <t>IH8601</t>
        </is>
      </c>
      <c r="Z423" t="inlineStr">
        <is>
          <t>IH8601</t>
        </is>
      </c>
      <c r="AA423" t="inlineStr">
        <is>
          <t>White/Black/Black</t>
        </is>
      </c>
      <c r="AB423" t="inlineStr">
        <is>
          <t>0197609835208</t>
        </is>
      </c>
      <c r="AC423" t="inlineStr">
        <is>
          <t>no Amazon offer exists</t>
        </is>
      </c>
      <c r="AD423" t="inlineStr">
        <is>
          <t>adidas</t>
        </is>
      </c>
      <c r="AE423" t="inlineStr">
        <is>
          <t>7</t>
        </is>
      </c>
      <c r="AF423" t="inlineStr">
        <is>
          <t>https://m.media-amazon.com/images/I/21K6t80o5SL.jpg;https://m.media-amazon.com/images/I/219xE+7b-hL.jpg;https://m.media-amazon.com/images/I/31Tl8AIpaoL.jpg;https://m.media-amazon.com/images/I/31ylkCKL+bL.jpg;https://m.media-amazon.com/images/I/21jHK77zn6L.jpg;https://m.media-amazon.com/images/I/31KqEjOoI+L.jpg;https://m.media-amazon.com/images/I/31l9b423uIL.jpg;https://m.media-amazon.com/images/I/41-LfeWr5lL.jpg;https://m.media-amazon.com/images/I/315657d678L.jpg;https://m.media-amazon.com/images/I/316JV+yevTL.jpg</t>
        </is>
      </c>
      <c r="AG423"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4">
      <c r="A424" t="inlineStr">
        <is>
          <t>com</t>
        </is>
      </c>
      <c r="B424" t="inlineStr">
        <is>
          <t>B0CM7ZKT1S</t>
        </is>
      </c>
      <c r="C424" t="inlineStr">
        <is>
          <t>adidas Women's Run 72 Sneaker, White/Black/Black, 7.5</t>
        </is>
      </c>
      <c r="D424" t="n">
        <v>90.16</v>
      </c>
      <c r="E424" t="n">
        <v>90.16</v>
      </c>
      <c r="F424" t="n">
        <v>22531</v>
      </c>
      <c r="G424" t="n">
        <v>35787</v>
      </c>
      <c r="H424" t="inlineStr"/>
      <c r="I424" t="inlineStr"/>
      <c r="J424" t="n">
        <v>0.86</v>
      </c>
      <c r="K424" t="n">
        <v>1</v>
      </c>
      <c r="L424" t="n">
        <v>1</v>
      </c>
      <c r="M424" t="n">
        <v>1</v>
      </c>
      <c r="N424" t="n">
        <v>4.6</v>
      </c>
      <c r="O424" t="n">
        <v>0</v>
      </c>
      <c r="P424" t="n">
        <v>27</v>
      </c>
      <c r="Q424" t="n">
        <v>11</v>
      </c>
      <c r="R424" t="n">
        <v>25</v>
      </c>
      <c r="S424" t="inlineStr">
        <is>
          <t>B0D91B9G9P</t>
        </is>
      </c>
      <c r="U424" t="n">
        <v>2.40083118</v>
      </c>
      <c r="V424" t="n">
        <v>7.62</v>
      </c>
      <c r="W424" t="inlineStr"/>
      <c r="X424" t="inlineStr">
        <is>
          <t>197609835154</t>
        </is>
      </c>
      <c r="Y424" t="inlineStr">
        <is>
          <t>IH8601</t>
        </is>
      </c>
      <c r="Z424" t="inlineStr">
        <is>
          <t>IH8601</t>
        </is>
      </c>
      <c r="AA424" t="inlineStr">
        <is>
          <t>White/Black/Black</t>
        </is>
      </c>
      <c r="AB424" t="inlineStr">
        <is>
          <t>0197609835154</t>
        </is>
      </c>
      <c r="AC424" t="inlineStr">
        <is>
          <t>no Amazon offer exists</t>
        </is>
      </c>
      <c r="AD424" t="inlineStr">
        <is>
          <t>adidas</t>
        </is>
      </c>
      <c r="AE424" t="inlineStr">
        <is>
          <t>7.5</t>
        </is>
      </c>
      <c r="AF424"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4"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5">
      <c r="A425" t="inlineStr">
        <is>
          <t>com</t>
        </is>
      </c>
      <c r="B425" t="inlineStr">
        <is>
          <t>B0CM884DZR</t>
        </is>
      </c>
      <c r="C425" t="inlineStr">
        <is>
          <t>adidas Women's Run 72 Sneaker, White/Black/Black, 8</t>
        </is>
      </c>
      <c r="D425" t="n">
        <v>98.11</v>
      </c>
      <c r="E425" t="n">
        <v>90.16</v>
      </c>
      <c r="F425" t="n">
        <v>22531</v>
      </c>
      <c r="G425" t="n">
        <v>39969</v>
      </c>
      <c r="H425" t="n">
        <v>99.48</v>
      </c>
      <c r="I425" t="n">
        <v>99.48</v>
      </c>
      <c r="J425" t="n">
        <v>0.87</v>
      </c>
      <c r="K425" t="n">
        <v>1</v>
      </c>
      <c r="L425" t="n">
        <v>1</v>
      </c>
      <c r="M425" t="n">
        <v>1</v>
      </c>
      <c r="N425" t="n">
        <v>4.6</v>
      </c>
      <c r="O425" t="n">
        <v>0</v>
      </c>
      <c r="P425" t="n">
        <v>27</v>
      </c>
      <c r="Q425" t="n">
        <v>21</v>
      </c>
      <c r="R425" t="n">
        <v>39</v>
      </c>
      <c r="S425" t="inlineStr">
        <is>
          <t>B0D91B9G9P</t>
        </is>
      </c>
      <c r="U425" t="n">
        <v>2.44933282</v>
      </c>
      <c r="V425" t="n">
        <v>7.62</v>
      </c>
      <c r="W425" t="n">
        <v>14.72</v>
      </c>
      <c r="X425" t="inlineStr">
        <is>
          <t>197609835222</t>
        </is>
      </c>
      <c r="Y425" t="inlineStr">
        <is>
          <t>IH8601</t>
        </is>
      </c>
      <c r="Z425" t="inlineStr">
        <is>
          <t>IH8601</t>
        </is>
      </c>
      <c r="AA425" t="inlineStr">
        <is>
          <t>White/Black/Black</t>
        </is>
      </c>
      <c r="AB425" t="inlineStr">
        <is>
          <t>0197609835222</t>
        </is>
      </c>
      <c r="AC425" t="inlineStr">
        <is>
          <t>no Amazon offer exists</t>
        </is>
      </c>
      <c r="AD425" t="inlineStr">
        <is>
          <t>adidas</t>
        </is>
      </c>
      <c r="AE425" t="inlineStr">
        <is>
          <t>8</t>
        </is>
      </c>
      <c r="AF425"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5"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6">
      <c r="A426" t="inlineStr">
        <is>
          <t>com</t>
        </is>
      </c>
      <c r="B426" t="inlineStr">
        <is>
          <t>B0CM7RGCQ1</t>
        </is>
      </c>
      <c r="C426" t="inlineStr">
        <is>
          <t>adidas Women's Run 72 Sneaker, White/Black/Black, 8.5</t>
        </is>
      </c>
      <c r="D426" t="n">
        <v>98.11</v>
      </c>
      <c r="E426" t="n">
        <v>90.16</v>
      </c>
      <c r="F426" t="n">
        <v>22531</v>
      </c>
      <c r="G426" t="n">
        <v>35932</v>
      </c>
      <c r="H426" t="n">
        <v>99.52</v>
      </c>
      <c r="I426" t="n">
        <v>99.52</v>
      </c>
      <c r="J426" t="n">
        <v>0.86</v>
      </c>
      <c r="K426" t="n">
        <v>1</v>
      </c>
      <c r="L426" t="n">
        <v>1</v>
      </c>
      <c r="M426" t="n">
        <v>1</v>
      </c>
      <c r="N426" t="n">
        <v>4.6</v>
      </c>
      <c r="O426" t="n">
        <v>0</v>
      </c>
      <c r="P426" t="n">
        <v>27</v>
      </c>
      <c r="Q426" t="n">
        <v>11</v>
      </c>
      <c r="R426" t="n">
        <v>26</v>
      </c>
      <c r="S426" t="inlineStr">
        <is>
          <t>B0D91B9G9P</t>
        </is>
      </c>
      <c r="U426" t="n">
        <v>2.53972224</v>
      </c>
      <c r="V426" t="n">
        <v>7.7</v>
      </c>
      <c r="W426" t="n">
        <v>14.72</v>
      </c>
      <c r="X426" t="inlineStr">
        <is>
          <t>197609835185</t>
        </is>
      </c>
      <c r="Y426" t="inlineStr">
        <is>
          <t>IH8601</t>
        </is>
      </c>
      <c r="Z426" t="inlineStr">
        <is>
          <t>IH8601</t>
        </is>
      </c>
      <c r="AA426" t="inlineStr">
        <is>
          <t>White/Black/Black</t>
        </is>
      </c>
      <c r="AB426" t="inlineStr">
        <is>
          <t>0197609835185</t>
        </is>
      </c>
      <c r="AC426" t="inlineStr">
        <is>
          <t>no Amazon offer exists</t>
        </is>
      </c>
      <c r="AD426" t="inlineStr">
        <is>
          <t>adidas</t>
        </is>
      </c>
      <c r="AE426" t="inlineStr">
        <is>
          <t>8.5</t>
        </is>
      </c>
      <c r="AF426"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6"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7">
      <c r="A427" t="inlineStr">
        <is>
          <t>com</t>
        </is>
      </c>
      <c r="B427" t="inlineStr">
        <is>
          <t>B0CM889GRG</t>
        </is>
      </c>
      <c r="C427" t="inlineStr">
        <is>
          <t>adidas Women's Run 72 Sneaker, White/Black/Black, 9</t>
        </is>
      </c>
      <c r="D427" t="n">
        <v>90.16</v>
      </c>
      <c r="E427" t="n">
        <v>90.16</v>
      </c>
      <c r="F427" t="n">
        <v>22531</v>
      </c>
      <c r="G427" t="n">
        <v>36675</v>
      </c>
      <c r="H427" t="inlineStr"/>
      <c r="I427" t="inlineStr"/>
      <c r="J427" t="n">
        <v>0.87</v>
      </c>
      <c r="K427" t="n">
        <v>1</v>
      </c>
      <c r="L427" t="n">
        <v>1</v>
      </c>
      <c r="M427" t="n">
        <v>1</v>
      </c>
      <c r="N427" t="n">
        <v>4.6</v>
      </c>
      <c r="O427" t="n">
        <v>0</v>
      </c>
      <c r="P427" t="n">
        <v>27</v>
      </c>
      <c r="Q427" t="n">
        <v>11</v>
      </c>
      <c r="R427" t="n">
        <v>23</v>
      </c>
      <c r="S427" t="inlineStr">
        <is>
          <t>B0D91B9G9P</t>
        </is>
      </c>
      <c r="U427" t="n">
        <v>2.53972224</v>
      </c>
      <c r="V427" t="n">
        <v>7.7</v>
      </c>
      <c r="W427" t="inlineStr"/>
      <c r="X427" t="inlineStr">
        <is>
          <t>197609835239</t>
        </is>
      </c>
      <c r="Y427" t="inlineStr">
        <is>
          <t>IH8601</t>
        </is>
      </c>
      <c r="Z427" t="inlineStr">
        <is>
          <t>IH8601</t>
        </is>
      </c>
      <c r="AA427" t="inlineStr">
        <is>
          <t>White/Black/Black</t>
        </is>
      </c>
      <c r="AB427" t="inlineStr">
        <is>
          <t>0197609835239</t>
        </is>
      </c>
      <c r="AC427" t="inlineStr">
        <is>
          <t>no Amazon offer exists</t>
        </is>
      </c>
      <c r="AD427" t="inlineStr">
        <is>
          <t>adidas</t>
        </is>
      </c>
      <c r="AE427" t="inlineStr">
        <is>
          <t>9</t>
        </is>
      </c>
      <c r="AF427"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7"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8">
      <c r="A428" t="inlineStr">
        <is>
          <t>com</t>
        </is>
      </c>
      <c r="B428" t="inlineStr">
        <is>
          <t>B0CM7QK2FJ</t>
        </is>
      </c>
      <c r="C428" t="inlineStr">
        <is>
          <t>adidas Women's Run 72 Sneaker, White/Black/Black, 9.5</t>
        </is>
      </c>
      <c r="D428" t="n">
        <v>90.16</v>
      </c>
      <c r="E428" t="n">
        <v>90.16</v>
      </c>
      <c r="F428" t="n">
        <v>20847</v>
      </c>
      <c r="G428" t="n">
        <v>35704</v>
      </c>
      <c r="H428" t="n">
        <v>101.64</v>
      </c>
      <c r="I428" t="n">
        <v>101.64</v>
      </c>
      <c r="J428" t="n">
        <v>0.86</v>
      </c>
      <c r="K428" t="n">
        <v>1</v>
      </c>
      <c r="L428" t="n">
        <v>1</v>
      </c>
      <c r="M428" t="n">
        <v>1</v>
      </c>
      <c r="N428" t="n">
        <v>4.6</v>
      </c>
      <c r="O428" t="n">
        <v>0</v>
      </c>
      <c r="P428" t="n">
        <v>27</v>
      </c>
      <c r="Q428" t="n">
        <v>14</v>
      </c>
      <c r="R428" t="n">
        <v>27</v>
      </c>
      <c r="S428" t="inlineStr">
        <is>
          <t>B0D91B9G9P</t>
        </is>
      </c>
      <c r="U428" t="n">
        <v>2.5794054</v>
      </c>
      <c r="V428" t="n">
        <v>7.7</v>
      </c>
      <c r="W428" t="inlineStr"/>
      <c r="X428" t="inlineStr">
        <is>
          <t>197609835123</t>
        </is>
      </c>
      <c r="Y428" t="inlineStr">
        <is>
          <t>IH8601</t>
        </is>
      </c>
      <c r="Z428" t="inlineStr">
        <is>
          <t>IH8601</t>
        </is>
      </c>
      <c r="AA428" t="inlineStr">
        <is>
          <t>White/Black/Black</t>
        </is>
      </c>
      <c r="AB428" t="inlineStr">
        <is>
          <t>0197609835123</t>
        </is>
      </c>
      <c r="AC428" t="inlineStr">
        <is>
          <t>no Amazon offer exists</t>
        </is>
      </c>
      <c r="AD428" t="inlineStr">
        <is>
          <t>adidas</t>
        </is>
      </c>
      <c r="AE428" t="inlineStr">
        <is>
          <t>9.5</t>
        </is>
      </c>
      <c r="AF428"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8"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29">
      <c r="A429" t="inlineStr">
        <is>
          <t>com</t>
        </is>
      </c>
      <c r="B429" t="inlineStr">
        <is>
          <t>B0CM7XNN4H</t>
        </is>
      </c>
      <c r="C429" t="inlineStr">
        <is>
          <t>adidas Women's Run 72 Sneaker, White/Black/Black, 10</t>
        </is>
      </c>
      <c r="D429" t="n">
        <v>104.46</v>
      </c>
      <c r="E429" t="inlineStr"/>
      <c r="G429" t="n">
        <v>38078</v>
      </c>
      <c r="H429" t="n">
        <v>104.46</v>
      </c>
      <c r="I429" t="n">
        <v>104.46</v>
      </c>
      <c r="J429" t="n">
        <v>0.86</v>
      </c>
      <c r="K429" t="n">
        <v>1</v>
      </c>
      <c r="L429" t="n">
        <v>1</v>
      </c>
      <c r="M429" t="n">
        <v>1</v>
      </c>
      <c r="N429" t="n">
        <v>4.6</v>
      </c>
      <c r="O429" t="n">
        <v>0</v>
      </c>
      <c r="P429" t="n">
        <v>27</v>
      </c>
      <c r="Q429" t="n">
        <v>22</v>
      </c>
      <c r="R429" t="n">
        <v>34</v>
      </c>
      <c r="S429" t="inlineStr">
        <is>
          <t>B0D91B9G9P</t>
        </is>
      </c>
      <c r="U429" t="n">
        <v>2.55956382</v>
      </c>
      <c r="V429" t="n">
        <v>7.78</v>
      </c>
      <c r="W429" t="inlineStr"/>
      <c r="X429" t="inlineStr">
        <is>
          <t>197609835246</t>
        </is>
      </c>
      <c r="Y429" t="inlineStr">
        <is>
          <t>IH8601</t>
        </is>
      </c>
      <c r="Z429" t="inlineStr">
        <is>
          <t>IH8601</t>
        </is>
      </c>
      <c r="AA429" t="inlineStr">
        <is>
          <t>White/Black/Black</t>
        </is>
      </c>
      <c r="AB429" t="inlineStr">
        <is>
          <t>0197609835246</t>
        </is>
      </c>
      <c r="AC429" t="inlineStr">
        <is>
          <t>no Amazon offer exists</t>
        </is>
      </c>
      <c r="AD429" t="inlineStr">
        <is>
          <t>adidas</t>
        </is>
      </c>
      <c r="AE429" t="inlineStr">
        <is>
          <t>10</t>
        </is>
      </c>
      <c r="AF429"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29"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0">
      <c r="A430" t="inlineStr">
        <is>
          <t>com</t>
        </is>
      </c>
      <c r="B430" t="inlineStr">
        <is>
          <t>B0CM7KNR13</t>
        </is>
      </c>
      <c r="C430" t="inlineStr">
        <is>
          <t>adidas Women's Run 72 Sneaker, White/Black/Black, 11</t>
        </is>
      </c>
      <c r="D430" t="inlineStr"/>
      <c r="E430" t="inlineStr"/>
      <c r="F430" t="n">
        <v>25260</v>
      </c>
      <c r="G430" t="n">
        <v>39609</v>
      </c>
      <c r="H430" t="inlineStr"/>
      <c r="I430" t="inlineStr"/>
      <c r="J430" t="n">
        <v>1</v>
      </c>
      <c r="K430" t="n">
        <v>1</v>
      </c>
      <c r="N430" t="n">
        <v>4.6</v>
      </c>
      <c r="O430" t="n">
        <v>0</v>
      </c>
      <c r="P430" t="n">
        <v>27</v>
      </c>
      <c r="Q430" t="n">
        <v>6</v>
      </c>
      <c r="R430" t="n">
        <v>18</v>
      </c>
      <c r="S430" t="inlineStr">
        <is>
          <t>B0D91B9G9P</t>
        </is>
      </c>
      <c r="U430" t="n">
        <v>1.8298346</v>
      </c>
      <c r="V430" t="n">
        <v>7.94</v>
      </c>
      <c r="W430" t="inlineStr"/>
      <c r="X430" t="inlineStr">
        <is>
          <t>197609835147</t>
        </is>
      </c>
      <c r="Y430" t="inlineStr">
        <is>
          <t>IH8601</t>
        </is>
      </c>
      <c r="Z430" t="inlineStr">
        <is>
          <t>IH8601</t>
        </is>
      </c>
      <c r="AA430" t="inlineStr">
        <is>
          <t>White/Black/Black</t>
        </is>
      </c>
      <c r="AB430" t="inlineStr">
        <is>
          <t>0197609835147</t>
        </is>
      </c>
      <c r="AC430" t="inlineStr">
        <is>
          <t>no Amazon offer exists</t>
        </is>
      </c>
      <c r="AD430" t="inlineStr">
        <is>
          <t>adidas</t>
        </is>
      </c>
      <c r="AE430" t="inlineStr">
        <is>
          <t>11</t>
        </is>
      </c>
      <c r="AF430" t="inlineStr">
        <is>
          <t>https://m.media-amazon.com/images/I/41maX+R9wEL.jpg;https://m.media-amazon.com/images/I/418ViSBLdPL.jpg;https://m.media-amazon.com/images/I/51VMSF2Fo+L.jpg;https://m.media-amazon.com/images/I/51BNC8qXazL.jpg;https://m.media-amazon.com/images/I/41mOJj80rwL.jpg;https://m.media-amazon.com/images/I/31KqEjOoI+L.jpg;https://m.media-amazon.com/images/I/31l9b423uIL.jpg;https://m.media-amazon.com/images/I/41-LfeWr5lL.jpg;https://m.media-amazon.com/images/I/315657d678L.jpg;https://m.media-amazon.com/images/I/316JV+yevTL.jpg</t>
        </is>
      </c>
      <c r="AG430"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1">
      <c r="A431" t="inlineStr">
        <is>
          <t>com</t>
        </is>
      </c>
      <c r="B431" t="inlineStr">
        <is>
          <t>B0CM7SXGF8</t>
        </is>
      </c>
      <c r="C431" t="inlineStr">
        <is>
          <t>adidas Women's Run 72 Sneaker, Off White/Blue/Halo Ivory, 5</t>
        </is>
      </c>
      <c r="D431" t="n">
        <v>69.95</v>
      </c>
      <c r="E431" t="n">
        <v>69.95</v>
      </c>
      <c r="F431" t="n">
        <v>22531</v>
      </c>
      <c r="G431" t="n">
        <v>35366</v>
      </c>
      <c r="H431" t="n">
        <v>69.95</v>
      </c>
      <c r="I431" t="n">
        <v>69.95</v>
      </c>
      <c r="J431" t="n">
        <v>0</v>
      </c>
      <c r="K431" t="n">
        <v>1</v>
      </c>
      <c r="L431" t="n">
        <v>1</v>
      </c>
      <c r="M431" t="n">
        <v>1</v>
      </c>
      <c r="N431" t="n">
        <v>4.6</v>
      </c>
      <c r="O431" t="n">
        <v>0</v>
      </c>
      <c r="P431" t="n">
        <v>27</v>
      </c>
      <c r="Q431" t="n">
        <v>28</v>
      </c>
      <c r="R431" t="n">
        <v>64</v>
      </c>
      <c r="S431" t="inlineStr">
        <is>
          <t>B0D91B9G9P</t>
        </is>
      </c>
      <c r="U431" t="n">
        <v>2.1605276</v>
      </c>
      <c r="V431" t="n">
        <v>6.61</v>
      </c>
      <c r="W431" t="n">
        <v>10.49</v>
      </c>
      <c r="X431" t="inlineStr">
        <is>
          <t>197609835321</t>
        </is>
      </c>
      <c r="Y431" t="inlineStr">
        <is>
          <t>IH8602</t>
        </is>
      </c>
      <c r="Z431" t="inlineStr">
        <is>
          <t>IH8602</t>
        </is>
      </c>
      <c r="AA431" t="inlineStr">
        <is>
          <t>Off White/Blue/Halo Ivory</t>
        </is>
      </c>
      <c r="AB431" t="inlineStr">
        <is>
          <t>0197609835321</t>
        </is>
      </c>
      <c r="AC431" t="inlineStr">
        <is>
          <t>no Amazon offer exists</t>
        </is>
      </c>
      <c r="AD431" t="inlineStr">
        <is>
          <t>adidas</t>
        </is>
      </c>
      <c r="AE431" t="inlineStr">
        <is>
          <t>5</t>
        </is>
      </c>
      <c r="AF431"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1"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2">
      <c r="A432" t="inlineStr">
        <is>
          <t>com</t>
        </is>
      </c>
      <c r="B432" t="inlineStr">
        <is>
          <t>B0CM86DHSJ</t>
        </is>
      </c>
      <c r="C432" t="inlineStr">
        <is>
          <t>adidas Women's Run 72 Sneaker, Off White/Blue/Halo Ivory, 5.5</t>
        </is>
      </c>
      <c r="D432" t="n">
        <v>69.95</v>
      </c>
      <c r="E432" t="n">
        <v>69.95</v>
      </c>
      <c r="F432" t="n">
        <v>22793</v>
      </c>
      <c r="G432" t="n">
        <v>35019</v>
      </c>
      <c r="H432" t="n">
        <v>71.05</v>
      </c>
      <c r="I432" t="n">
        <v>70.73999999999999</v>
      </c>
      <c r="J432" t="n">
        <v>0</v>
      </c>
      <c r="K432" t="n">
        <v>1</v>
      </c>
      <c r="L432" t="n">
        <v>2</v>
      </c>
      <c r="M432" t="n">
        <v>2</v>
      </c>
      <c r="N432" t="n">
        <v>4.6</v>
      </c>
      <c r="O432" t="n">
        <v>0</v>
      </c>
      <c r="P432" t="n">
        <v>27</v>
      </c>
      <c r="Q432" t="n">
        <v>29</v>
      </c>
      <c r="R432" t="n">
        <v>67</v>
      </c>
      <c r="S432" t="inlineStr">
        <is>
          <t>B0D91B9G9P</t>
        </is>
      </c>
      <c r="U432" t="n">
        <v>2.20021076</v>
      </c>
      <c r="V432" t="n">
        <v>7.03</v>
      </c>
      <c r="W432" t="n">
        <v>10.49</v>
      </c>
      <c r="X432" t="inlineStr">
        <is>
          <t>197609835307</t>
        </is>
      </c>
      <c r="Y432" t="inlineStr">
        <is>
          <t>IH8602</t>
        </is>
      </c>
      <c r="Z432" t="inlineStr">
        <is>
          <t>IH8602</t>
        </is>
      </c>
      <c r="AA432" t="inlineStr">
        <is>
          <t>Off White/Blue/Halo Ivory</t>
        </is>
      </c>
      <c r="AB432" t="inlineStr">
        <is>
          <t>0197609835307</t>
        </is>
      </c>
      <c r="AC432" t="inlineStr">
        <is>
          <t>no Amazon offer exists</t>
        </is>
      </c>
      <c r="AD432" t="inlineStr">
        <is>
          <t>adidas</t>
        </is>
      </c>
      <c r="AE432" t="inlineStr">
        <is>
          <t>5.5</t>
        </is>
      </c>
      <c r="AF432"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2"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3">
      <c r="A433" t="inlineStr">
        <is>
          <t>com</t>
        </is>
      </c>
      <c r="B433" t="inlineStr">
        <is>
          <t>B0CM886LCD</t>
        </is>
      </c>
      <c r="C433" t="inlineStr">
        <is>
          <t>adidas Women's Run 72 Sneaker, Off White/Blue/Halo Ivory, 6</t>
        </is>
      </c>
      <c r="D433" t="n">
        <v>70.03</v>
      </c>
      <c r="E433" t="n">
        <v>69.95</v>
      </c>
      <c r="F433" t="n">
        <v>22060</v>
      </c>
      <c r="G433" t="n">
        <v>35298</v>
      </c>
      <c r="H433" t="n">
        <v>67.51000000000001</v>
      </c>
      <c r="I433" t="n">
        <v>68.15000000000001</v>
      </c>
      <c r="J433" t="n">
        <v>0</v>
      </c>
      <c r="K433" t="n">
        <v>1</v>
      </c>
      <c r="L433" t="n">
        <v>6</v>
      </c>
      <c r="M433" t="n">
        <v>5</v>
      </c>
      <c r="N433" t="n">
        <v>4.6</v>
      </c>
      <c r="O433" t="n">
        <v>0</v>
      </c>
      <c r="P433" t="n">
        <v>27</v>
      </c>
      <c r="Q433" t="n">
        <v>40</v>
      </c>
      <c r="R433" t="n">
        <v>96</v>
      </c>
      <c r="S433" t="inlineStr">
        <is>
          <t>B0D91B9G9P</t>
        </is>
      </c>
      <c r="U433" t="n">
        <v>2.25091702</v>
      </c>
      <c r="V433" t="n">
        <v>6.61</v>
      </c>
      <c r="W433" t="n">
        <v>10.5</v>
      </c>
      <c r="X433" t="inlineStr">
        <is>
          <t>197609835253</t>
        </is>
      </c>
      <c r="Y433" t="inlineStr">
        <is>
          <t>IH8602</t>
        </is>
      </c>
      <c r="Z433" t="inlineStr">
        <is>
          <t>IH8602</t>
        </is>
      </c>
      <c r="AA433" t="inlineStr">
        <is>
          <t>Off White/Blue/Halo Ivory</t>
        </is>
      </c>
      <c r="AB433" t="inlineStr">
        <is>
          <t>0197609835253</t>
        </is>
      </c>
      <c r="AC433" t="inlineStr">
        <is>
          <t>no Amazon offer exists</t>
        </is>
      </c>
      <c r="AD433" t="inlineStr">
        <is>
          <t>adidas</t>
        </is>
      </c>
      <c r="AE433" t="inlineStr">
        <is>
          <t>6</t>
        </is>
      </c>
      <c r="AF433" t="inlineStr">
        <is>
          <t>https://m.media-amazon.com/images/I/51EJPYf2uK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3"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4">
      <c r="A434" t="inlineStr">
        <is>
          <t>com</t>
        </is>
      </c>
      <c r="B434" t="inlineStr">
        <is>
          <t>B0CM7Y6K9B</t>
        </is>
      </c>
      <c r="C434" t="inlineStr">
        <is>
          <t>adidas Women's Run 72 Sneaker, Off White/Blue/Halo Ivory, 6.5</t>
        </is>
      </c>
      <c r="D434" t="n">
        <v>61.47</v>
      </c>
      <c r="E434" t="n">
        <v>61.42</v>
      </c>
      <c r="F434" t="n">
        <v>22531</v>
      </c>
      <c r="G434" t="n">
        <v>34474</v>
      </c>
      <c r="H434" t="n">
        <v>66.34</v>
      </c>
      <c r="I434" t="n">
        <v>67.3</v>
      </c>
      <c r="J434" t="n">
        <v>0</v>
      </c>
      <c r="K434" t="n">
        <v>0.9</v>
      </c>
      <c r="L434" t="n">
        <v>7</v>
      </c>
      <c r="M434" t="n">
        <v>6</v>
      </c>
      <c r="N434" t="n">
        <v>4.6</v>
      </c>
      <c r="O434" t="n">
        <v>0</v>
      </c>
      <c r="P434" t="n">
        <v>27</v>
      </c>
      <c r="Q434" t="n">
        <v>45</v>
      </c>
      <c r="R434" t="n">
        <v>104</v>
      </c>
      <c r="S434" t="inlineStr">
        <is>
          <t>B0D91B9G9P</t>
        </is>
      </c>
      <c r="U434" t="n">
        <v>2.2707586</v>
      </c>
      <c r="V434" t="n">
        <v>6.61</v>
      </c>
      <c r="W434" t="n">
        <v>9.220000000000001</v>
      </c>
      <c r="X434" t="inlineStr">
        <is>
          <t>197609835338</t>
        </is>
      </c>
      <c r="Y434" t="inlineStr">
        <is>
          <t>IH8602</t>
        </is>
      </c>
      <c r="Z434" t="inlineStr">
        <is>
          <t>IH8602</t>
        </is>
      </c>
      <c r="AA434" t="inlineStr">
        <is>
          <t>Off White/Blue/Halo Ivory</t>
        </is>
      </c>
      <c r="AB434" t="inlineStr">
        <is>
          <t>0197609835338</t>
        </is>
      </c>
      <c r="AC434" t="inlineStr">
        <is>
          <t>no Amazon offer exists</t>
        </is>
      </c>
      <c r="AD434" t="inlineStr">
        <is>
          <t>adidas</t>
        </is>
      </c>
      <c r="AE434" t="inlineStr">
        <is>
          <t>6.5</t>
        </is>
      </c>
      <c r="AF434"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4"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5">
      <c r="A435" t="inlineStr">
        <is>
          <t>com</t>
        </is>
      </c>
      <c r="B435" t="inlineStr">
        <is>
          <t>B0CM7LQ5L2</t>
        </is>
      </c>
      <c r="C435" t="inlineStr">
        <is>
          <t>adidas Women's Run 72 Sneaker, Off White/Blue/Halo Ivory, 7</t>
        </is>
      </c>
      <c r="D435" t="n">
        <v>59.74</v>
      </c>
      <c r="E435" t="n">
        <v>59.74</v>
      </c>
      <c r="F435" t="n">
        <v>22531</v>
      </c>
      <c r="G435" t="n">
        <v>35728</v>
      </c>
      <c r="H435" t="n">
        <v>66.17</v>
      </c>
      <c r="I435" t="n">
        <v>67.5</v>
      </c>
      <c r="J435" t="n">
        <v>0</v>
      </c>
      <c r="K435" t="n">
        <v>1</v>
      </c>
      <c r="L435" t="n">
        <v>6</v>
      </c>
      <c r="M435" t="n">
        <v>6</v>
      </c>
      <c r="N435" t="n">
        <v>4.6</v>
      </c>
      <c r="O435" t="n">
        <v>0</v>
      </c>
      <c r="P435" t="n">
        <v>27</v>
      </c>
      <c r="Q435" t="n">
        <v>35</v>
      </c>
      <c r="R435" t="n">
        <v>109</v>
      </c>
      <c r="S435" t="inlineStr">
        <is>
          <t>B0D91B9G9P</t>
        </is>
      </c>
      <c r="U435" t="n">
        <v>2.33910182</v>
      </c>
      <c r="V435" t="n">
        <v>7.62</v>
      </c>
      <c r="W435" t="n">
        <v>8.970000000000001</v>
      </c>
      <c r="X435" t="inlineStr">
        <is>
          <t>197609835284</t>
        </is>
      </c>
      <c r="Y435" t="inlineStr">
        <is>
          <t>IH8602</t>
        </is>
      </c>
      <c r="Z435" t="inlineStr">
        <is>
          <t>IH8602</t>
        </is>
      </c>
      <c r="AA435" t="inlineStr">
        <is>
          <t>Off White/Blue/Halo Ivory</t>
        </is>
      </c>
      <c r="AB435" t="inlineStr">
        <is>
          <t>0197609835284</t>
        </is>
      </c>
      <c r="AC435" t="inlineStr">
        <is>
          <t>no Amazon offer exists</t>
        </is>
      </c>
      <c r="AD435" t="inlineStr">
        <is>
          <t>adidas</t>
        </is>
      </c>
      <c r="AE435" t="inlineStr">
        <is>
          <t>7</t>
        </is>
      </c>
      <c r="AF435"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5"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6">
      <c r="A436" t="inlineStr">
        <is>
          <t>com</t>
        </is>
      </c>
      <c r="B436" t="inlineStr">
        <is>
          <t>B0CM7YW8QZ</t>
        </is>
      </c>
      <c r="C436" t="inlineStr">
        <is>
          <t>adidas Women's Run 72 Sneaker, Off White/Blue/Halo Ivory, 7.5</t>
        </is>
      </c>
      <c r="D436" t="n">
        <v>60.57</v>
      </c>
      <c r="E436" t="n">
        <v>60.57</v>
      </c>
      <c r="F436" t="n">
        <v>22531</v>
      </c>
      <c r="G436" t="n">
        <v>34635</v>
      </c>
      <c r="H436" t="n">
        <v>67.06</v>
      </c>
      <c r="I436" t="n">
        <v>67.88</v>
      </c>
      <c r="J436" t="n">
        <v>0</v>
      </c>
      <c r="K436" t="n">
        <v>0.88</v>
      </c>
      <c r="L436" t="n">
        <v>6</v>
      </c>
      <c r="M436" t="n">
        <v>4</v>
      </c>
      <c r="N436" t="n">
        <v>4.6</v>
      </c>
      <c r="O436" t="n">
        <v>0</v>
      </c>
      <c r="P436" t="n">
        <v>28</v>
      </c>
      <c r="Q436" t="n">
        <v>70</v>
      </c>
      <c r="R436" t="n">
        <v>143</v>
      </c>
      <c r="S436" t="inlineStr">
        <is>
          <t>B0D91B9G9P</t>
        </is>
      </c>
      <c r="U436" t="n">
        <v>2.40083118</v>
      </c>
      <c r="V436" t="n">
        <v>7.62</v>
      </c>
      <c r="W436" t="n">
        <v>9.08</v>
      </c>
      <c r="X436" t="inlineStr">
        <is>
          <t>197609835260</t>
        </is>
      </c>
      <c r="Y436" t="inlineStr">
        <is>
          <t>IH8602</t>
        </is>
      </c>
      <c r="Z436" t="inlineStr">
        <is>
          <t>IH8602</t>
        </is>
      </c>
      <c r="AA436" t="inlineStr">
        <is>
          <t>Off White/Blue/Halo Ivory</t>
        </is>
      </c>
      <c r="AB436" t="inlineStr">
        <is>
          <t>0197609835260</t>
        </is>
      </c>
      <c r="AC436" t="inlineStr">
        <is>
          <t>no Amazon offer exists</t>
        </is>
      </c>
      <c r="AD436" t="inlineStr">
        <is>
          <t>adidas</t>
        </is>
      </c>
      <c r="AE436" t="inlineStr">
        <is>
          <t>7.5</t>
        </is>
      </c>
      <c r="AF436"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6"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7">
      <c r="A437" t="inlineStr">
        <is>
          <t>com</t>
        </is>
      </c>
      <c r="B437" t="inlineStr">
        <is>
          <t>B0CM7VHQSC</t>
        </is>
      </c>
      <c r="C437" t="inlineStr">
        <is>
          <t>adidas Women's Run 72 Sneaker, Off White/Blue/Halo Ivory, 8</t>
        </is>
      </c>
      <c r="D437" t="n">
        <v>69.95</v>
      </c>
      <c r="E437" t="n">
        <v>69.95</v>
      </c>
      <c r="F437" t="n">
        <v>22531</v>
      </c>
      <c r="G437" t="n">
        <v>34756</v>
      </c>
      <c r="H437" t="n">
        <v>66.14</v>
      </c>
      <c r="I437" t="n">
        <v>67.58</v>
      </c>
      <c r="J437" t="n">
        <v>0</v>
      </c>
      <c r="K437" t="n">
        <v>0.89</v>
      </c>
      <c r="L437" t="n">
        <v>8</v>
      </c>
      <c r="M437" t="n">
        <v>6</v>
      </c>
      <c r="N437" t="n">
        <v>4.6</v>
      </c>
      <c r="O437" t="n">
        <v>0</v>
      </c>
      <c r="P437" t="n">
        <v>28</v>
      </c>
      <c r="Q437" t="n">
        <v>60</v>
      </c>
      <c r="R437" t="n">
        <v>124</v>
      </c>
      <c r="S437" t="inlineStr">
        <is>
          <t>B0D91B9G9P</t>
        </is>
      </c>
      <c r="U437" t="n">
        <v>2.44933282</v>
      </c>
      <c r="V437" t="n">
        <v>7.62</v>
      </c>
      <c r="W437" t="n">
        <v>10.49</v>
      </c>
      <c r="X437" t="inlineStr">
        <is>
          <t>197609838995</t>
        </is>
      </c>
      <c r="Y437" t="inlineStr">
        <is>
          <t>IH8602</t>
        </is>
      </c>
      <c r="Z437" t="inlineStr">
        <is>
          <t>IH8602</t>
        </is>
      </c>
      <c r="AA437" t="inlineStr">
        <is>
          <t>Off White/Blue/Halo Ivory</t>
        </is>
      </c>
      <c r="AB437" t="inlineStr">
        <is>
          <t>0197609838995</t>
        </is>
      </c>
      <c r="AC437" t="inlineStr">
        <is>
          <t>no Amazon offer exists</t>
        </is>
      </c>
      <c r="AD437" t="inlineStr">
        <is>
          <t>adidas</t>
        </is>
      </c>
      <c r="AE437" t="inlineStr">
        <is>
          <t>8</t>
        </is>
      </c>
      <c r="AF437"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7"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8">
      <c r="A438" t="inlineStr">
        <is>
          <t>com</t>
        </is>
      </c>
      <c r="B438" t="inlineStr">
        <is>
          <t>B0CM84GBVD</t>
        </is>
      </c>
      <c r="C438" t="inlineStr">
        <is>
          <t>adidas Women's Run 72 Sneaker, Off White/Blue/Halo Ivory, 8.5</t>
        </is>
      </c>
      <c r="D438" t="n">
        <v>69.95</v>
      </c>
      <c r="E438" t="n">
        <v>69.95</v>
      </c>
      <c r="F438" t="n">
        <v>22531</v>
      </c>
      <c r="G438" t="n">
        <v>34906</v>
      </c>
      <c r="H438" t="n">
        <v>66.7</v>
      </c>
      <c r="I438" t="n">
        <v>67.56999999999999</v>
      </c>
      <c r="J438" t="n">
        <v>0</v>
      </c>
      <c r="K438" t="n">
        <v>0.91</v>
      </c>
      <c r="L438" t="n">
        <v>6</v>
      </c>
      <c r="M438" t="n">
        <v>1</v>
      </c>
      <c r="N438" t="n">
        <v>4.6</v>
      </c>
      <c r="O438" t="n">
        <v>0</v>
      </c>
      <c r="P438" t="n">
        <v>27</v>
      </c>
      <c r="Q438" t="n">
        <v>47</v>
      </c>
      <c r="R438" t="n">
        <v>105</v>
      </c>
      <c r="S438" t="inlineStr">
        <is>
          <t>B0D91B9G9P</t>
        </is>
      </c>
      <c r="U438" t="n">
        <v>1.7196036</v>
      </c>
      <c r="V438" t="n">
        <v>7.78</v>
      </c>
      <c r="W438" t="n">
        <v>10.49</v>
      </c>
      <c r="X438" t="inlineStr">
        <is>
          <t>197609838964</t>
        </is>
      </c>
      <c r="Y438" t="inlineStr">
        <is>
          <t>IH8602</t>
        </is>
      </c>
      <c r="Z438" t="inlineStr">
        <is>
          <t>IH8602</t>
        </is>
      </c>
      <c r="AA438" t="inlineStr">
        <is>
          <t>Off White/Blue/Halo Ivory</t>
        </is>
      </c>
      <c r="AB438" t="inlineStr">
        <is>
          <t>0197609838964</t>
        </is>
      </c>
      <c r="AC438" t="inlineStr">
        <is>
          <t>no Amazon offer exists</t>
        </is>
      </c>
      <c r="AD438" t="inlineStr">
        <is>
          <t>adidas</t>
        </is>
      </c>
      <c r="AE438" t="inlineStr">
        <is>
          <t>8.5</t>
        </is>
      </c>
      <c r="AF438"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8"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39">
      <c r="A439" t="inlineStr">
        <is>
          <t>com</t>
        </is>
      </c>
      <c r="B439" t="inlineStr">
        <is>
          <t>B0CM7KQ235</t>
        </is>
      </c>
      <c r="C439" t="inlineStr">
        <is>
          <t>adidas Women's Run 72 Sneaker, Off White/Blue/Halo Ivory, 9</t>
        </is>
      </c>
      <c r="D439" t="n">
        <v>69.95</v>
      </c>
      <c r="E439" t="n">
        <v>69.95</v>
      </c>
      <c r="F439" t="n">
        <v>22060</v>
      </c>
      <c r="G439" t="n">
        <v>35096</v>
      </c>
      <c r="H439" t="n">
        <v>70.23999999999999</v>
      </c>
      <c r="I439" t="n">
        <v>70.16</v>
      </c>
      <c r="J439" t="n">
        <v>0</v>
      </c>
      <c r="K439" t="n">
        <v>0.91</v>
      </c>
      <c r="L439" t="n">
        <v>5</v>
      </c>
      <c r="M439" t="n">
        <v>3</v>
      </c>
      <c r="N439" t="n">
        <v>4.6</v>
      </c>
      <c r="O439" t="n">
        <v>1</v>
      </c>
      <c r="P439" t="n">
        <v>27</v>
      </c>
      <c r="Q439" t="n">
        <v>45</v>
      </c>
      <c r="R439" t="n">
        <v>107</v>
      </c>
      <c r="S439" t="inlineStr">
        <is>
          <t>B0D91B9G9P</t>
        </is>
      </c>
      <c r="U439" t="n">
        <v>2.53972224</v>
      </c>
      <c r="V439" t="n">
        <v>7.7</v>
      </c>
      <c r="W439" t="n">
        <v>10.49</v>
      </c>
      <c r="X439" t="inlineStr">
        <is>
          <t>197609835314</t>
        </is>
      </c>
      <c r="Y439" t="inlineStr">
        <is>
          <t>IH8602</t>
        </is>
      </c>
      <c r="Z439" t="inlineStr">
        <is>
          <t>IH8602</t>
        </is>
      </c>
      <c r="AA439" t="inlineStr">
        <is>
          <t>Off White/Blue/Halo Ivory</t>
        </is>
      </c>
      <c r="AB439" t="inlineStr">
        <is>
          <t>0197609835314</t>
        </is>
      </c>
      <c r="AC439" t="inlineStr">
        <is>
          <t>no Amazon offer exists</t>
        </is>
      </c>
      <c r="AD439" t="inlineStr">
        <is>
          <t>adidas</t>
        </is>
      </c>
      <c r="AE439" t="inlineStr">
        <is>
          <t>9</t>
        </is>
      </c>
      <c r="AF439" t="inlineStr">
        <is>
          <t>https://m.media-amazon.com/images/I/51EJPYf2uK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39"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0">
      <c r="A440" t="inlineStr">
        <is>
          <t>com</t>
        </is>
      </c>
      <c r="B440" t="inlineStr">
        <is>
          <t>B0CM883N7T</t>
        </is>
      </c>
      <c r="C440" t="inlineStr">
        <is>
          <t>adidas Women's Run 72 Sneaker, Off White/Blue/Halo Ivory, 9.5</t>
        </is>
      </c>
      <c r="D440" t="n">
        <v>65.23999999999999</v>
      </c>
      <c r="E440" t="n">
        <v>65.23999999999999</v>
      </c>
      <c r="F440" t="n">
        <v>22531</v>
      </c>
      <c r="G440" t="n">
        <v>35020</v>
      </c>
      <c r="H440" t="n">
        <v>71.31</v>
      </c>
      <c r="I440" t="n">
        <v>70.89</v>
      </c>
      <c r="J440" t="n">
        <v>0</v>
      </c>
      <c r="K440" t="n">
        <v>0.96</v>
      </c>
      <c r="L440" t="n">
        <v>4</v>
      </c>
      <c r="M440" t="n">
        <v>4</v>
      </c>
      <c r="N440" t="n">
        <v>4.6</v>
      </c>
      <c r="O440" t="n">
        <v>0</v>
      </c>
      <c r="P440" t="n">
        <v>27</v>
      </c>
      <c r="Q440" t="n">
        <v>55</v>
      </c>
      <c r="R440" t="n">
        <v>125</v>
      </c>
      <c r="S440" t="inlineStr">
        <is>
          <t>B0D91B9G9P</t>
        </is>
      </c>
      <c r="U440" t="n">
        <v>2.5794054</v>
      </c>
      <c r="V440" t="n">
        <v>7.7</v>
      </c>
      <c r="W440" t="n">
        <v>9.789999999999999</v>
      </c>
      <c r="X440" t="inlineStr">
        <is>
          <t>197609835277</t>
        </is>
      </c>
      <c r="Y440" t="inlineStr">
        <is>
          <t>IH8602</t>
        </is>
      </c>
      <c r="Z440" t="inlineStr">
        <is>
          <t>IH8602</t>
        </is>
      </c>
      <c r="AA440" t="inlineStr">
        <is>
          <t>Off White/Blue/Halo Ivory</t>
        </is>
      </c>
      <c r="AB440" t="inlineStr">
        <is>
          <t>0197609835277</t>
        </is>
      </c>
      <c r="AC440" t="inlineStr">
        <is>
          <t>no Amazon offer exists</t>
        </is>
      </c>
      <c r="AD440" t="inlineStr">
        <is>
          <t>adidas</t>
        </is>
      </c>
      <c r="AE440" t="inlineStr">
        <is>
          <t>9.5</t>
        </is>
      </c>
      <c r="AF440"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40"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1">
      <c r="A441" t="inlineStr">
        <is>
          <t>com</t>
        </is>
      </c>
      <c r="B441" t="inlineStr">
        <is>
          <t>B0CM7Y7HC8</t>
        </is>
      </c>
      <c r="C441" t="inlineStr">
        <is>
          <t>adidas Women's Run 72 Sneaker, Off White/Blue/Halo Ivory, 10</t>
        </is>
      </c>
      <c r="D441" t="n">
        <v>66.89</v>
      </c>
      <c r="E441" t="n">
        <v>66.89</v>
      </c>
      <c r="F441" t="n">
        <v>22793</v>
      </c>
      <c r="G441" t="n">
        <v>35542</v>
      </c>
      <c r="H441" t="n">
        <v>70.11</v>
      </c>
      <c r="I441" t="n">
        <v>70.08</v>
      </c>
      <c r="J441" t="n">
        <v>0</v>
      </c>
      <c r="K441" t="n">
        <v>1</v>
      </c>
      <c r="L441" t="n">
        <v>4</v>
      </c>
      <c r="M441" t="n">
        <v>4</v>
      </c>
      <c r="N441" t="n">
        <v>4.6</v>
      </c>
      <c r="O441" t="n">
        <v>0</v>
      </c>
      <c r="P441" t="n">
        <v>27</v>
      </c>
      <c r="Q441" t="n">
        <v>41</v>
      </c>
      <c r="R441" t="n">
        <v>99</v>
      </c>
      <c r="S441" t="inlineStr">
        <is>
          <t>B0D91B9G9P</t>
        </is>
      </c>
      <c r="U441" t="n">
        <v>2.55956382</v>
      </c>
      <c r="V441" t="n">
        <v>7.78</v>
      </c>
      <c r="W441" t="n">
        <v>10.03</v>
      </c>
      <c r="X441" t="inlineStr">
        <is>
          <t>197609835291</t>
        </is>
      </c>
      <c r="Y441" t="inlineStr">
        <is>
          <t>IH8602</t>
        </is>
      </c>
      <c r="Z441" t="inlineStr">
        <is>
          <t>IH8602</t>
        </is>
      </c>
      <c r="AA441" t="inlineStr">
        <is>
          <t>Off White/Blue/Halo Ivory</t>
        </is>
      </c>
      <c r="AB441" t="inlineStr">
        <is>
          <t>0197609835291</t>
        </is>
      </c>
      <c r="AC441" t="inlineStr">
        <is>
          <t>no Amazon offer exists</t>
        </is>
      </c>
      <c r="AD441" t="inlineStr">
        <is>
          <t>adidas</t>
        </is>
      </c>
      <c r="AE441" t="inlineStr">
        <is>
          <t>10</t>
        </is>
      </c>
      <c r="AF441"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41"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2">
      <c r="A442" t="inlineStr">
        <is>
          <t>com</t>
        </is>
      </c>
      <c r="B442" t="inlineStr">
        <is>
          <t>B0CM81XST5</t>
        </is>
      </c>
      <c r="C442" t="inlineStr">
        <is>
          <t>adidas Women's Run 72 Sneaker, Off White/Blue/Halo Ivory, 11</t>
        </is>
      </c>
      <c r="D442" t="n">
        <v>69.95</v>
      </c>
      <c r="E442" t="n">
        <v>69.95</v>
      </c>
      <c r="F442" t="n">
        <v>20989</v>
      </c>
      <c r="G442" t="n">
        <v>34930</v>
      </c>
      <c r="H442" t="n">
        <v>69.95</v>
      </c>
      <c r="I442" t="n">
        <v>69.95</v>
      </c>
      <c r="J442" t="n">
        <v>0</v>
      </c>
      <c r="K442" t="n">
        <v>1</v>
      </c>
      <c r="L442" t="n">
        <v>2</v>
      </c>
      <c r="M442" t="n">
        <v>2</v>
      </c>
      <c r="N442" t="n">
        <v>4.6</v>
      </c>
      <c r="O442" t="n">
        <v>0</v>
      </c>
      <c r="P442" t="n">
        <v>27</v>
      </c>
      <c r="Q442" t="n">
        <v>28</v>
      </c>
      <c r="R442" t="n">
        <v>70</v>
      </c>
      <c r="S442" t="inlineStr">
        <is>
          <t>B0D91B9G9P</t>
        </is>
      </c>
      <c r="U442" t="n">
        <v>1.8298346</v>
      </c>
      <c r="V442" t="n">
        <v>7.94</v>
      </c>
      <c r="W442" t="n">
        <v>10.49</v>
      </c>
      <c r="X442" t="inlineStr">
        <is>
          <t>197609835352</t>
        </is>
      </c>
      <c r="Y442" t="inlineStr">
        <is>
          <t>IH8602</t>
        </is>
      </c>
      <c r="Z442" t="inlineStr">
        <is>
          <t>IH8602</t>
        </is>
      </c>
      <c r="AA442" t="inlineStr">
        <is>
          <t>Off White/Blue/Halo Ivory</t>
        </is>
      </c>
      <c r="AB442" t="inlineStr">
        <is>
          <t>0197609835352</t>
        </is>
      </c>
      <c r="AC442" t="inlineStr">
        <is>
          <t>no Amazon offer exists</t>
        </is>
      </c>
      <c r="AD442" t="inlineStr">
        <is>
          <t>adidas</t>
        </is>
      </c>
      <c r="AE442" t="inlineStr">
        <is>
          <t>11</t>
        </is>
      </c>
      <c r="AF442" t="inlineStr">
        <is>
          <t>https://m.media-amazon.com/images/I/51EJPYf2uKL.jpg;https://m.media-amazon.com/images/I/41nsWxCzWBL.jpg;https://m.media-amazon.com/images/I/41nsWxCzWBL.jpg;https://m.media-amazon.com/images/I/41EFXGDqoXL.jpg;https://m.media-amazon.com/images/I/41R5V+QWkDL.jpg;https://m.media-amazon.com/images/I/41OBoHLm4GL.jpg;https://m.media-amazon.com/images/I/61Hm7uYNTRL.jpg;https://m.media-amazon.com/images/I/61t+5DROmvL.jpg;https://m.media-amazon.com/images/I/41YighNE+XL.jpg</t>
        </is>
      </c>
      <c r="AG442"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3">
      <c r="A443" t="inlineStr">
        <is>
          <t>com</t>
        </is>
      </c>
      <c r="B443" t="inlineStr">
        <is>
          <t>B0CM7SN17V</t>
        </is>
      </c>
      <c r="C443" t="inlineStr">
        <is>
          <t>adidas Women's Run 72 Sneaker, Solid Grey/Matte Silver/Grey, 5</t>
        </is>
      </c>
      <c r="D443" t="n">
        <v>69.95</v>
      </c>
      <c r="E443" t="inlineStr"/>
      <c r="F443" t="n">
        <v>25143</v>
      </c>
      <c r="G443" t="n">
        <v>33678</v>
      </c>
      <c r="H443" t="n">
        <v>69.95</v>
      </c>
      <c r="I443" t="n">
        <v>69.95</v>
      </c>
      <c r="J443" t="n">
        <v>0.67</v>
      </c>
      <c r="K443" t="n">
        <v>0.85</v>
      </c>
      <c r="L443" t="n">
        <v>3</v>
      </c>
      <c r="N443" t="n">
        <v>4.6</v>
      </c>
      <c r="O443" t="n">
        <v>0</v>
      </c>
      <c r="P443" t="n">
        <v>27</v>
      </c>
      <c r="Q443" t="n">
        <v>12</v>
      </c>
      <c r="R443" t="n">
        <v>55</v>
      </c>
      <c r="S443" t="inlineStr">
        <is>
          <t>B0D91B9G9P</t>
        </is>
      </c>
      <c r="U443" t="n">
        <v>2.1605276</v>
      </c>
      <c r="V443" t="n">
        <v>6.61</v>
      </c>
      <c r="W443" t="inlineStr"/>
      <c r="X443" t="inlineStr">
        <is>
          <t>197609922205</t>
        </is>
      </c>
      <c r="Y443" t="inlineStr">
        <is>
          <t>JH7321</t>
        </is>
      </c>
      <c r="Z443" t="inlineStr">
        <is>
          <t>NJG82</t>
        </is>
      </c>
      <c r="AA443" t="inlineStr">
        <is>
          <t>Solid Grey/Matte Silver/Grey</t>
        </is>
      </c>
      <c r="AB443" t="inlineStr">
        <is>
          <t>0197609922205</t>
        </is>
      </c>
      <c r="AC443" t="inlineStr">
        <is>
          <t>no Amazon offer exists</t>
        </is>
      </c>
      <c r="AD443" t="inlineStr">
        <is>
          <t>adidas</t>
        </is>
      </c>
      <c r="AE443" t="inlineStr">
        <is>
          <t>5</t>
        </is>
      </c>
      <c r="AF443" t="inlineStr">
        <is>
          <t>https://m.media-amazon.com/images/I/71+G50QPzFL.jpg;https://m.media-amazon.com/images/I/61PLKCxhXIL.jpg;https://m.media-amazon.com/images/I/51czjRX0UBL.jpg;https://m.media-amazon.com/images/I/7191SMO1XrL.jpg;https://m.media-amazon.com/images/I/71YgPJJrgcL.jpg;https://m.media-amazon.com/images/I/713x1LCojrL.jpg</t>
        </is>
      </c>
      <c r="AG443"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4">
      <c r="A444" t="inlineStr">
        <is>
          <t>com</t>
        </is>
      </c>
      <c r="B444" t="inlineStr">
        <is>
          <t>B0CM7TDX4D</t>
        </is>
      </c>
      <c r="C444" t="inlineStr">
        <is>
          <t>adidas Women's Run 72 Sneaker, Solid Grey/Matte Silver/Grey, 5.5</t>
        </is>
      </c>
      <c r="D444" t="inlineStr"/>
      <c r="E444" t="inlineStr"/>
      <c r="F444" t="n">
        <v>30052</v>
      </c>
      <c r="G444" t="n">
        <v>34620</v>
      </c>
      <c r="H444" t="inlineStr"/>
      <c r="I444" t="inlineStr"/>
      <c r="J444" t="n">
        <v>1</v>
      </c>
      <c r="K444" t="n">
        <v>1</v>
      </c>
      <c r="N444" t="n">
        <v>4.6</v>
      </c>
      <c r="O444" t="n">
        <v>0</v>
      </c>
      <c r="P444" t="n">
        <v>27</v>
      </c>
      <c r="Q444" t="n">
        <v>5</v>
      </c>
      <c r="R444" t="n">
        <v>19</v>
      </c>
      <c r="S444" t="inlineStr">
        <is>
          <t>B0D91B9G9P</t>
        </is>
      </c>
      <c r="U444" t="n">
        <v>2.20021076</v>
      </c>
      <c r="V444" t="n">
        <v>7.03</v>
      </c>
      <c r="W444" t="inlineStr"/>
      <c r="X444" t="inlineStr">
        <is>
          <t>197609922267</t>
        </is>
      </c>
      <c r="Y444" t="inlineStr">
        <is>
          <t>JH7321</t>
        </is>
      </c>
      <c r="Z444" t="inlineStr">
        <is>
          <t>NJG82</t>
        </is>
      </c>
      <c r="AA444" t="inlineStr">
        <is>
          <t>Solid Grey/Matte Silver/Grey</t>
        </is>
      </c>
      <c r="AB444" t="inlineStr">
        <is>
          <t>0197609922267</t>
        </is>
      </c>
      <c r="AC444" t="inlineStr">
        <is>
          <t>no Amazon offer exists</t>
        </is>
      </c>
      <c r="AD444" t="inlineStr">
        <is>
          <t>adidas</t>
        </is>
      </c>
      <c r="AE444" t="inlineStr">
        <is>
          <t>5.5</t>
        </is>
      </c>
      <c r="AF444" t="inlineStr">
        <is>
          <t>https://m.media-amazon.com/images/I/71+G50QPzFL.jpg;https://m.media-amazon.com/images/I/61PLKCxhXIL.jpg;https://m.media-amazon.com/images/I/51czjRX0UBL.jpg;https://m.media-amazon.com/images/I/7191SMO1XrL.jpg;https://m.media-amazon.com/images/I/71YgPJJrgcL.jpg;https://m.media-amazon.com/images/I/713x1LCojrL.jpg</t>
        </is>
      </c>
      <c r="AG444"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5">
      <c r="A445" t="inlineStr">
        <is>
          <t>com</t>
        </is>
      </c>
      <c r="B445" t="inlineStr">
        <is>
          <t>B0CM82XLGB</t>
        </is>
      </c>
      <c r="C445" t="inlineStr">
        <is>
          <t>adidas Women's Run 72 Sneaker, Solid Grey/Matte Silver/Grey, 6</t>
        </is>
      </c>
      <c r="D445" t="n">
        <v>78.05</v>
      </c>
      <c r="E445" t="n">
        <v>78.05</v>
      </c>
      <c r="F445" t="n">
        <v>22531</v>
      </c>
      <c r="G445" t="n">
        <v>35389</v>
      </c>
      <c r="H445" t="n">
        <v>69.95</v>
      </c>
      <c r="I445" t="n">
        <v>69.95</v>
      </c>
      <c r="J445" t="n">
        <v>0</v>
      </c>
      <c r="K445" t="n">
        <v>0.86</v>
      </c>
      <c r="L445" t="n">
        <v>3</v>
      </c>
      <c r="M445" t="n">
        <v>2</v>
      </c>
      <c r="N445" t="n">
        <v>4.6</v>
      </c>
      <c r="O445" t="n">
        <v>0</v>
      </c>
      <c r="P445" t="n">
        <v>27</v>
      </c>
      <c r="Q445" t="n">
        <v>39</v>
      </c>
      <c r="R445" t="n">
        <v>100</v>
      </c>
      <c r="S445" t="inlineStr">
        <is>
          <t>B0D91B9G9P</t>
        </is>
      </c>
      <c r="U445" t="n">
        <v>2.25091702</v>
      </c>
      <c r="V445" t="n">
        <v>6.61</v>
      </c>
      <c r="W445" t="inlineStr"/>
      <c r="X445" t="inlineStr">
        <is>
          <t>197609922281</t>
        </is>
      </c>
      <c r="Y445" t="inlineStr">
        <is>
          <t>JH7321</t>
        </is>
      </c>
      <c r="Z445" t="inlineStr">
        <is>
          <t>NJG82</t>
        </is>
      </c>
      <c r="AA445" t="inlineStr">
        <is>
          <t>Solid Grey/Matte Silver/Grey</t>
        </is>
      </c>
      <c r="AB445" t="inlineStr">
        <is>
          <t>0197609922281</t>
        </is>
      </c>
      <c r="AC445" t="inlineStr">
        <is>
          <t>no Amazon offer exists</t>
        </is>
      </c>
      <c r="AD445" t="inlineStr">
        <is>
          <t>adidas</t>
        </is>
      </c>
      <c r="AE445" t="inlineStr">
        <is>
          <t>6</t>
        </is>
      </c>
      <c r="AF445" t="inlineStr">
        <is>
          <t>https://m.media-amazon.com/images/I/71+G50QPzFL.jpg;https://m.media-amazon.com/images/I/61PLKCxhXIL.jpg;https://m.media-amazon.com/images/I/51czjRX0UBL.jpg;https://m.media-amazon.com/images/I/7191SMO1XrL.jpg;https://m.media-amazon.com/images/I/71YgPJJrgcL.jpg;https://m.media-amazon.com/images/I/713x1LCojrL.jpg</t>
        </is>
      </c>
      <c r="AG445"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6">
      <c r="A446" t="inlineStr">
        <is>
          <t>com</t>
        </is>
      </c>
      <c r="B446" t="inlineStr">
        <is>
          <t>B0CM84BSN6</t>
        </is>
      </c>
      <c r="C446" t="inlineStr">
        <is>
          <t>adidas Women's Run 72 Sneaker, Solid Grey/Matte Silver/Grey, 6.5</t>
        </is>
      </c>
      <c r="D446" t="n">
        <v>79.8</v>
      </c>
      <c r="E446" t="n">
        <v>79.8</v>
      </c>
      <c r="F446" t="n">
        <v>22060</v>
      </c>
      <c r="G446" t="n">
        <v>35196</v>
      </c>
      <c r="H446" t="n">
        <v>69.84</v>
      </c>
      <c r="I446" t="n">
        <v>71.62</v>
      </c>
      <c r="J446" t="n">
        <v>0</v>
      </c>
      <c r="K446" t="n">
        <v>0.8100000000000001</v>
      </c>
      <c r="L446" t="n">
        <v>3</v>
      </c>
      <c r="M446" t="n">
        <v>2</v>
      </c>
      <c r="N446" t="n">
        <v>4.6</v>
      </c>
      <c r="O446" t="n">
        <v>0</v>
      </c>
      <c r="P446" t="n">
        <v>27</v>
      </c>
      <c r="Q446" t="n">
        <v>41</v>
      </c>
      <c r="R446" t="n">
        <v>99</v>
      </c>
      <c r="S446" t="inlineStr">
        <is>
          <t>B0D91B9G9P</t>
        </is>
      </c>
      <c r="U446" t="n">
        <v>2.2707586</v>
      </c>
      <c r="V446" t="n">
        <v>6.61</v>
      </c>
      <c r="W446" t="inlineStr"/>
      <c r="X446" t="inlineStr">
        <is>
          <t>197609922298</t>
        </is>
      </c>
      <c r="Y446" t="inlineStr">
        <is>
          <t>JH7321</t>
        </is>
      </c>
      <c r="Z446" t="inlineStr">
        <is>
          <t>NJG82</t>
        </is>
      </c>
      <c r="AA446" t="inlineStr">
        <is>
          <t>Solid Grey/Matte Silver/Grey</t>
        </is>
      </c>
      <c r="AB446" t="inlineStr">
        <is>
          <t>0197609922298</t>
        </is>
      </c>
      <c r="AC446" t="inlineStr">
        <is>
          <t>no Amazon offer exists</t>
        </is>
      </c>
      <c r="AD446" t="inlineStr">
        <is>
          <t>adidas</t>
        </is>
      </c>
      <c r="AE446" t="inlineStr">
        <is>
          <t>6.5</t>
        </is>
      </c>
      <c r="AF446" t="inlineStr">
        <is>
          <t>https://m.media-amazon.com/images/I/71+G50QPzFL.jpg;https://m.media-amazon.com/images/I/61PLKCxhXIL.jpg;https://m.media-amazon.com/images/I/51czjRX0UBL.jpg;https://m.media-amazon.com/images/I/7191SMO1XrL.jpg;https://m.media-amazon.com/images/I/71YgPJJrgcL.jpg;https://m.media-amazon.com/images/I/713x1LCojrL.jpg</t>
        </is>
      </c>
      <c r="AG446"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7">
      <c r="A447" t="inlineStr">
        <is>
          <t>com</t>
        </is>
      </c>
      <c r="B447" t="inlineStr">
        <is>
          <t>B0CM82WXYQ</t>
        </is>
      </c>
      <c r="C447" t="inlineStr">
        <is>
          <t>adidas Women's Run 72 Sneaker, Solid Grey/Matte Silver/Grey, 7</t>
        </is>
      </c>
      <c r="D447" t="n">
        <v>69.95</v>
      </c>
      <c r="E447" t="n">
        <v>69.95</v>
      </c>
      <c r="F447" t="n">
        <v>22531</v>
      </c>
      <c r="G447" t="n">
        <v>34455</v>
      </c>
      <c r="H447" t="n">
        <v>70.78</v>
      </c>
      <c r="I447" t="n">
        <v>72.95</v>
      </c>
      <c r="J447" t="n">
        <v>0.01</v>
      </c>
      <c r="K447" t="n">
        <v>0.67</v>
      </c>
      <c r="L447" t="n">
        <v>2</v>
      </c>
      <c r="M447" t="n">
        <v>3</v>
      </c>
      <c r="N447" t="n">
        <v>4.6</v>
      </c>
      <c r="O447" t="n">
        <v>0</v>
      </c>
      <c r="P447" t="n">
        <v>27</v>
      </c>
      <c r="Q447" t="n">
        <v>29</v>
      </c>
      <c r="R447" t="n">
        <v>84</v>
      </c>
      <c r="S447" t="inlineStr">
        <is>
          <t>B0D91B9G9P</t>
        </is>
      </c>
      <c r="U447" t="n">
        <v>1.58953102</v>
      </c>
      <c r="V447" t="n">
        <v>7.62</v>
      </c>
      <c r="W447" t="n">
        <v>10.49</v>
      </c>
      <c r="X447" t="inlineStr">
        <is>
          <t>197609997807</t>
        </is>
      </c>
      <c r="Y447" t="inlineStr">
        <is>
          <t>JH7321</t>
        </is>
      </c>
      <c r="Z447" t="inlineStr">
        <is>
          <t>NJG82</t>
        </is>
      </c>
      <c r="AA447" t="inlineStr">
        <is>
          <t>Solid Grey/Matte Silver/Grey</t>
        </is>
      </c>
      <c r="AB447" t="inlineStr">
        <is>
          <t>0197609997807</t>
        </is>
      </c>
      <c r="AC447" t="inlineStr">
        <is>
          <t>Amazon offer is in stock and shippable</t>
        </is>
      </c>
      <c r="AD447" t="inlineStr">
        <is>
          <t>adidas</t>
        </is>
      </c>
      <c r="AE447" t="inlineStr">
        <is>
          <t>7</t>
        </is>
      </c>
      <c r="AF447" t="inlineStr">
        <is>
          <t>https://m.media-amazon.com/images/I/71+G50QPzFL.jpg;https://m.media-amazon.com/images/I/61PLKCxhXIL.jpg;https://m.media-amazon.com/images/I/51czjRX0UBL.jpg;https://m.media-amazon.com/images/I/7191SMO1XrL.jpg;https://m.media-amazon.com/images/I/71YgPJJrgcL.jpg;https://m.media-amazon.com/images/I/713x1LCojrL.jpg</t>
        </is>
      </c>
      <c r="AG447"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8">
      <c r="A448" t="inlineStr">
        <is>
          <t>com</t>
        </is>
      </c>
      <c r="B448" t="inlineStr">
        <is>
          <t>B0CM7L8T55</t>
        </is>
      </c>
      <c r="C448" t="inlineStr">
        <is>
          <t>adidas Women's Run 72 Sneaker, Solid Grey/Matte Silver/Grey, 7.5</t>
        </is>
      </c>
      <c r="D448" t="n">
        <v>78.05</v>
      </c>
      <c r="E448" t="n">
        <v>78.05</v>
      </c>
      <c r="F448" t="n">
        <v>20847</v>
      </c>
      <c r="G448" t="n">
        <v>34694</v>
      </c>
      <c r="H448" t="n">
        <v>69.95</v>
      </c>
      <c r="I448" t="n">
        <v>69.95</v>
      </c>
      <c r="J448" t="n">
        <v>0</v>
      </c>
      <c r="K448" t="n">
        <v>0.91</v>
      </c>
      <c r="L448" t="n">
        <v>3</v>
      </c>
      <c r="M448" t="n">
        <v>2</v>
      </c>
      <c r="N448" t="n">
        <v>4.6</v>
      </c>
      <c r="O448" t="n">
        <v>1</v>
      </c>
      <c r="P448" t="n">
        <v>27</v>
      </c>
      <c r="Q448" t="n">
        <v>35</v>
      </c>
      <c r="R448" t="n">
        <v>92</v>
      </c>
      <c r="S448" t="inlineStr">
        <is>
          <t>B0D91B9G9P</t>
        </is>
      </c>
      <c r="U448" t="n">
        <v>2.40083118</v>
      </c>
      <c r="V448" t="n">
        <v>7.62</v>
      </c>
      <c r="W448" t="inlineStr"/>
      <c r="X448" t="inlineStr">
        <is>
          <t>197609922212</t>
        </is>
      </c>
      <c r="Y448" t="inlineStr">
        <is>
          <t>JH7321</t>
        </is>
      </c>
      <c r="Z448" t="inlineStr">
        <is>
          <t>NJG82</t>
        </is>
      </c>
      <c r="AA448" t="inlineStr">
        <is>
          <t>Solid Grey/Matte Silver/Grey</t>
        </is>
      </c>
      <c r="AB448" t="inlineStr">
        <is>
          <t>0197609922212</t>
        </is>
      </c>
      <c r="AC448" t="inlineStr">
        <is>
          <t>no Amazon offer exists</t>
        </is>
      </c>
      <c r="AD448" t="inlineStr">
        <is>
          <t>adidas</t>
        </is>
      </c>
      <c r="AE448" t="inlineStr">
        <is>
          <t>7.5</t>
        </is>
      </c>
      <c r="AF448" t="inlineStr">
        <is>
          <t>https://m.media-amazon.com/images/I/71+G50QPzFL.jpg;https://m.media-amazon.com/images/I/61PLKCxhXIL.jpg;https://m.media-amazon.com/images/I/51czjRX0UBL.jpg;https://m.media-amazon.com/images/I/7191SMO1XrL.jpg;https://m.media-amazon.com/images/I/71YgPJJrgcL.jpg;https://m.media-amazon.com/images/I/713x1LCojrL.jpg</t>
        </is>
      </c>
      <c r="AG448"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49">
      <c r="A449" t="inlineStr">
        <is>
          <t>com</t>
        </is>
      </c>
      <c r="B449" t="inlineStr">
        <is>
          <t>B0CM83S16M</t>
        </is>
      </c>
      <c r="C449" t="inlineStr">
        <is>
          <t>adidas Women's Run 72 Sneaker, Solid Grey/Matte Silver/Grey, 8</t>
        </is>
      </c>
      <c r="D449" t="n">
        <v>79.8</v>
      </c>
      <c r="E449" t="n">
        <v>79.8</v>
      </c>
      <c r="F449" t="n">
        <v>22060</v>
      </c>
      <c r="G449" t="n">
        <v>35055</v>
      </c>
      <c r="H449" t="n">
        <v>69.95</v>
      </c>
      <c r="I449" t="n">
        <v>72.28</v>
      </c>
      <c r="J449" t="n">
        <v>0</v>
      </c>
      <c r="K449" t="n">
        <v>0.87</v>
      </c>
      <c r="L449" t="n">
        <v>4</v>
      </c>
      <c r="M449" t="n">
        <v>3</v>
      </c>
      <c r="N449" t="n">
        <v>4.6</v>
      </c>
      <c r="O449" t="n">
        <v>0</v>
      </c>
      <c r="P449" t="n">
        <v>27</v>
      </c>
      <c r="Q449" t="n">
        <v>42</v>
      </c>
      <c r="R449" t="n">
        <v>103</v>
      </c>
      <c r="S449" t="inlineStr">
        <is>
          <t>B0D91B9G9P</t>
        </is>
      </c>
      <c r="U449" t="n">
        <v>2.44933282</v>
      </c>
      <c r="V449" t="n">
        <v>7.62</v>
      </c>
      <c r="W449" t="inlineStr"/>
      <c r="X449" t="inlineStr">
        <is>
          <t>197609922243</t>
        </is>
      </c>
      <c r="Y449" t="inlineStr">
        <is>
          <t>JH7321</t>
        </is>
      </c>
      <c r="Z449" t="inlineStr">
        <is>
          <t>NJG82</t>
        </is>
      </c>
      <c r="AA449" t="inlineStr">
        <is>
          <t>Solid Grey/Matte Silver/Grey</t>
        </is>
      </c>
      <c r="AB449" t="inlineStr">
        <is>
          <t>0197609922243</t>
        </is>
      </c>
      <c r="AC449" t="inlineStr">
        <is>
          <t>no Amazon offer exists</t>
        </is>
      </c>
      <c r="AD449" t="inlineStr">
        <is>
          <t>adidas</t>
        </is>
      </c>
      <c r="AE449" t="inlineStr">
        <is>
          <t>8</t>
        </is>
      </c>
      <c r="AF449" t="inlineStr">
        <is>
          <t>https://m.media-amazon.com/images/I/71+G50QPzFL.jpg;https://m.media-amazon.com/images/I/61PLKCxhXIL.jpg;https://m.media-amazon.com/images/I/51czjRX0UBL.jpg;https://m.media-amazon.com/images/I/7191SMO1XrL.jpg;https://m.media-amazon.com/images/I/71YgPJJrgcL.jpg;https://m.media-amazon.com/images/I/713x1LCojrL.jpg</t>
        </is>
      </c>
      <c r="AG449"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0">
      <c r="A450" t="inlineStr">
        <is>
          <t>com</t>
        </is>
      </c>
      <c r="B450" t="inlineStr">
        <is>
          <t>B0CM7TN627</t>
        </is>
      </c>
      <c r="C450" t="inlineStr">
        <is>
          <t>adidas Women's Run 72 Sneaker, Solid Grey/Matte Silver/Grey, 8.5</t>
        </is>
      </c>
      <c r="D450" t="n">
        <v>78.05</v>
      </c>
      <c r="E450" t="n">
        <v>78.05</v>
      </c>
      <c r="F450" t="n">
        <v>22060</v>
      </c>
      <c r="G450" t="n">
        <v>35394</v>
      </c>
      <c r="H450" t="n">
        <v>69.95</v>
      </c>
      <c r="I450" t="n">
        <v>71.94</v>
      </c>
      <c r="J450" t="n">
        <v>0</v>
      </c>
      <c r="K450" t="n">
        <v>0.89</v>
      </c>
      <c r="L450" t="n">
        <v>5</v>
      </c>
      <c r="M450" t="n">
        <v>5</v>
      </c>
      <c r="N450" t="n">
        <v>4.6</v>
      </c>
      <c r="O450" t="n">
        <v>1</v>
      </c>
      <c r="P450" t="n">
        <v>28</v>
      </c>
      <c r="Q450" t="n">
        <v>40</v>
      </c>
      <c r="R450" t="n">
        <v>107</v>
      </c>
      <c r="S450" t="inlineStr">
        <is>
          <t>B0D91B9G9P</t>
        </is>
      </c>
      <c r="U450" t="n">
        <v>1.64905576</v>
      </c>
      <c r="V450" t="n">
        <v>7.78</v>
      </c>
      <c r="W450" t="inlineStr"/>
      <c r="X450" t="inlineStr">
        <is>
          <t>197609922229</t>
        </is>
      </c>
      <c r="Y450" t="inlineStr">
        <is>
          <t>JH7321</t>
        </is>
      </c>
      <c r="Z450" t="inlineStr">
        <is>
          <t>NJG82</t>
        </is>
      </c>
      <c r="AA450" t="inlineStr">
        <is>
          <t>Solid Grey/Matte Silver/Grey</t>
        </is>
      </c>
      <c r="AB450" t="inlineStr">
        <is>
          <t>0197609922229</t>
        </is>
      </c>
      <c r="AC450" t="inlineStr">
        <is>
          <t>no Amazon offer exists</t>
        </is>
      </c>
      <c r="AD450" t="inlineStr">
        <is>
          <t>adidas</t>
        </is>
      </c>
      <c r="AE450" t="inlineStr">
        <is>
          <t>8.5</t>
        </is>
      </c>
      <c r="AF450" t="inlineStr">
        <is>
          <t>https://m.media-amazon.com/images/I/71+G50QPzFL.jpg;https://m.media-amazon.com/images/I/61PLKCxhXIL.jpg;https://m.media-amazon.com/images/I/51czjRX0UBL.jpg;https://m.media-amazon.com/images/I/7191SMO1XrL.jpg;https://m.media-amazon.com/images/I/71YgPJJrgcL.jpg;https://m.media-amazon.com/images/I/713x1LCojrL.jpg</t>
        </is>
      </c>
      <c r="AG450"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1">
      <c r="A451" t="inlineStr">
        <is>
          <t>com</t>
        </is>
      </c>
      <c r="B451" t="inlineStr">
        <is>
          <t>B0CM82XCZJ</t>
        </is>
      </c>
      <c r="C451" t="inlineStr">
        <is>
          <t>adidas Women's Run 72 Sneaker, Solid Grey/Matte Silver/Grey, 9</t>
        </is>
      </c>
      <c r="D451" t="n">
        <v>78.05</v>
      </c>
      <c r="E451" t="n">
        <v>78.05</v>
      </c>
      <c r="F451" t="n">
        <v>22531</v>
      </c>
      <c r="G451" t="n">
        <v>34952</v>
      </c>
      <c r="H451" t="n">
        <v>69.95</v>
      </c>
      <c r="I451" t="n">
        <v>78.83</v>
      </c>
      <c r="J451" t="n">
        <v>0</v>
      </c>
      <c r="K451" t="n">
        <v>0.9</v>
      </c>
      <c r="L451" t="n">
        <v>3</v>
      </c>
      <c r="M451" t="n">
        <v>2</v>
      </c>
      <c r="N451" t="n">
        <v>4.6</v>
      </c>
      <c r="O451" t="n">
        <v>0</v>
      </c>
      <c r="P451" t="n">
        <v>27</v>
      </c>
      <c r="Q451" t="n">
        <v>31</v>
      </c>
      <c r="R451" t="n">
        <v>91</v>
      </c>
      <c r="S451" t="inlineStr">
        <is>
          <t>B0D91B9G9P</t>
        </is>
      </c>
      <c r="U451" t="n">
        <v>1.7196036</v>
      </c>
      <c r="V451" t="n">
        <v>7.7</v>
      </c>
      <c r="W451" t="inlineStr"/>
      <c r="X451" t="inlineStr">
        <is>
          <t>197609922304</t>
        </is>
      </c>
      <c r="Y451" t="inlineStr">
        <is>
          <t>JH7321</t>
        </is>
      </c>
      <c r="Z451" t="inlineStr">
        <is>
          <t>NJG82</t>
        </is>
      </c>
      <c r="AA451" t="inlineStr">
        <is>
          <t>Solid Grey/Matte Silver/Grey</t>
        </is>
      </c>
      <c r="AB451" t="inlineStr">
        <is>
          <t>0197609922304</t>
        </is>
      </c>
      <c r="AC451" t="inlineStr">
        <is>
          <t>no Amazon offer exists</t>
        </is>
      </c>
      <c r="AD451" t="inlineStr">
        <is>
          <t>adidas</t>
        </is>
      </c>
      <c r="AE451" t="inlineStr">
        <is>
          <t>9</t>
        </is>
      </c>
      <c r="AF451" t="inlineStr">
        <is>
          <t>https://m.media-amazon.com/images/I/71+G50QPzFL.jpg;https://m.media-amazon.com/images/I/61PLKCxhXIL.jpg;https://m.media-amazon.com/images/I/51czjRX0UBL.jpg;https://m.media-amazon.com/images/I/7191SMO1XrL.jpg;https://m.media-amazon.com/images/I/71YgPJJrgcL.jpg;https://m.media-amazon.com/images/I/713x1LCojrL.jpg</t>
        </is>
      </c>
      <c r="AG451"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2">
      <c r="A452" t="inlineStr">
        <is>
          <t>com</t>
        </is>
      </c>
      <c r="B452" t="inlineStr">
        <is>
          <t>B0CM81WCMK</t>
        </is>
      </c>
      <c r="C452" t="inlineStr">
        <is>
          <t>adidas Women's Run 72 Sneaker, Solid Grey/Matte Silver/Grey, 9.5</t>
        </is>
      </c>
      <c r="D452" t="n">
        <v>78.05</v>
      </c>
      <c r="E452" t="n">
        <v>78.05</v>
      </c>
      <c r="F452" t="n">
        <v>22531</v>
      </c>
      <c r="G452" t="n">
        <v>34837</v>
      </c>
      <c r="H452" t="n">
        <v>69.95</v>
      </c>
      <c r="I452" t="n">
        <v>72.41</v>
      </c>
      <c r="J452" t="n">
        <v>0</v>
      </c>
      <c r="K452" t="n">
        <v>0.91</v>
      </c>
      <c r="L452" t="n">
        <v>3</v>
      </c>
      <c r="M452" t="n">
        <v>2</v>
      </c>
      <c r="N452" t="n">
        <v>4.6</v>
      </c>
      <c r="O452" t="n">
        <v>0</v>
      </c>
      <c r="P452" t="n">
        <v>27</v>
      </c>
      <c r="Q452" t="n">
        <v>37</v>
      </c>
      <c r="R452" t="n">
        <v>106</v>
      </c>
      <c r="S452" t="inlineStr">
        <is>
          <t>B0D91B9G9P</t>
        </is>
      </c>
      <c r="U452" t="n">
        <v>2.5794054</v>
      </c>
      <c r="V452" t="n">
        <v>7.7</v>
      </c>
      <c r="W452" t="inlineStr"/>
      <c r="X452" t="inlineStr">
        <is>
          <t>197609997791</t>
        </is>
      </c>
      <c r="Y452" t="inlineStr">
        <is>
          <t>JH7321</t>
        </is>
      </c>
      <c r="Z452" t="inlineStr">
        <is>
          <t>NJG82</t>
        </is>
      </c>
      <c r="AA452" t="inlineStr">
        <is>
          <t>Solid Grey/Matte Silver/Grey</t>
        </is>
      </c>
      <c r="AB452" t="inlineStr">
        <is>
          <t>0197609997791</t>
        </is>
      </c>
      <c r="AC452" t="inlineStr">
        <is>
          <t>no Amazon offer exists</t>
        </is>
      </c>
      <c r="AD452" t="inlineStr">
        <is>
          <t>adidas</t>
        </is>
      </c>
      <c r="AE452" t="inlineStr">
        <is>
          <t>9.5</t>
        </is>
      </c>
      <c r="AF452" t="inlineStr">
        <is>
          <t>https://m.media-amazon.com/images/I/71+G50QPzFL.jpg;https://m.media-amazon.com/images/I/61PLKCxhXIL.jpg;https://m.media-amazon.com/images/I/51czjRX0UBL.jpg;https://m.media-amazon.com/images/I/7191SMO1XrL.jpg;https://m.media-amazon.com/images/I/71YgPJJrgcL.jpg;https://m.media-amazon.com/images/I/713x1LCojrL.jpg</t>
        </is>
      </c>
      <c r="AG452"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3">
      <c r="A453" t="inlineStr">
        <is>
          <t>com</t>
        </is>
      </c>
      <c r="B453" t="inlineStr">
        <is>
          <t>B0CM7LBYGJ</t>
        </is>
      </c>
      <c r="C453" t="inlineStr">
        <is>
          <t>adidas Women's Run 72 Sneaker, Solid Grey/Matte Silver/Grey, 10</t>
        </is>
      </c>
      <c r="D453" t="n">
        <v>78.05</v>
      </c>
      <c r="E453" t="n">
        <v>78.05</v>
      </c>
      <c r="F453" t="n">
        <v>22531</v>
      </c>
      <c r="G453" t="n">
        <v>34680</v>
      </c>
      <c r="H453" t="n">
        <v>69.95</v>
      </c>
      <c r="I453" t="n">
        <v>73.42</v>
      </c>
      <c r="J453" t="n">
        <v>0</v>
      </c>
      <c r="K453" t="n">
        <v>0.91</v>
      </c>
      <c r="L453" t="n">
        <v>3</v>
      </c>
      <c r="M453" t="n">
        <v>2</v>
      </c>
      <c r="N453" t="n">
        <v>4.6</v>
      </c>
      <c r="O453" t="n">
        <v>0</v>
      </c>
      <c r="P453" t="n">
        <v>27</v>
      </c>
      <c r="Q453" t="n">
        <v>23</v>
      </c>
      <c r="R453" t="n">
        <v>82</v>
      </c>
      <c r="S453" t="inlineStr">
        <is>
          <t>B0D91B9G9P</t>
        </is>
      </c>
      <c r="U453" t="n">
        <v>2.55956382</v>
      </c>
      <c r="V453" t="n">
        <v>7.78</v>
      </c>
      <c r="W453" t="inlineStr"/>
      <c r="X453" t="inlineStr">
        <is>
          <t>197609922274</t>
        </is>
      </c>
      <c r="Y453" t="inlineStr">
        <is>
          <t>JH7321</t>
        </is>
      </c>
      <c r="Z453" t="inlineStr">
        <is>
          <t>NJG82</t>
        </is>
      </c>
      <c r="AA453" t="inlineStr">
        <is>
          <t>Solid Grey/Matte Silver/Grey</t>
        </is>
      </c>
      <c r="AB453" t="inlineStr">
        <is>
          <t>0197609922274</t>
        </is>
      </c>
      <c r="AC453" t="inlineStr">
        <is>
          <t>no Amazon offer exists</t>
        </is>
      </c>
      <c r="AD453" t="inlineStr">
        <is>
          <t>adidas</t>
        </is>
      </c>
      <c r="AE453" t="inlineStr">
        <is>
          <t>10</t>
        </is>
      </c>
      <c r="AF453" t="inlineStr">
        <is>
          <t>https://m.media-amazon.com/images/I/71+G50QPzFL.jpg;https://m.media-amazon.com/images/I/61PLKCxhXIL.jpg;https://m.media-amazon.com/images/I/51czjRX0UBL.jpg;https://m.media-amazon.com/images/I/7191SMO1XrL.jpg;https://m.media-amazon.com/images/I/71YgPJJrgcL.jpg;https://m.media-amazon.com/images/I/713x1LCojrL.jpg</t>
        </is>
      </c>
      <c r="AG453"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4">
      <c r="A454" t="inlineStr">
        <is>
          <t>com</t>
        </is>
      </c>
      <c r="B454" t="inlineStr">
        <is>
          <t>B0CM882J8N</t>
        </is>
      </c>
      <c r="C454" t="inlineStr">
        <is>
          <t>adidas Women's Run 72 Sneaker, Solid Grey/Matte Silver/Grey, 11</t>
        </is>
      </c>
      <c r="D454" t="n">
        <v>78.05</v>
      </c>
      <c r="E454" t="n">
        <v>78.05</v>
      </c>
      <c r="F454" t="n">
        <v>22531</v>
      </c>
      <c r="G454" t="n">
        <v>35091</v>
      </c>
      <c r="H454" t="n">
        <v>69.95</v>
      </c>
      <c r="I454" t="n">
        <v>69.95</v>
      </c>
      <c r="J454" t="n">
        <v>0.02</v>
      </c>
      <c r="K454" t="n">
        <v>0.91</v>
      </c>
      <c r="L454" t="n">
        <v>2</v>
      </c>
      <c r="M454" t="n">
        <v>2</v>
      </c>
      <c r="N454" t="n">
        <v>4.6</v>
      </c>
      <c r="O454" t="n">
        <v>0</v>
      </c>
      <c r="P454" t="n">
        <v>27</v>
      </c>
      <c r="Q454" t="n">
        <v>23</v>
      </c>
      <c r="R454" t="n">
        <v>69</v>
      </c>
      <c r="S454" t="inlineStr">
        <is>
          <t>B0D91B9G9P</t>
        </is>
      </c>
      <c r="U454" t="n">
        <v>1.92022402</v>
      </c>
      <c r="V454" t="n">
        <v>7.94</v>
      </c>
      <c r="W454" t="inlineStr"/>
      <c r="X454" t="inlineStr">
        <is>
          <t>197609922250</t>
        </is>
      </c>
      <c r="Y454" t="inlineStr">
        <is>
          <t>JH7321</t>
        </is>
      </c>
      <c r="Z454" t="inlineStr">
        <is>
          <t>NJG82</t>
        </is>
      </c>
      <c r="AA454" t="inlineStr">
        <is>
          <t>Solid Grey/Matte Silver/Grey</t>
        </is>
      </c>
      <c r="AB454" t="inlineStr">
        <is>
          <t>0197609922250</t>
        </is>
      </c>
      <c r="AC454" t="inlineStr">
        <is>
          <t>no Amazon offer exists</t>
        </is>
      </c>
      <c r="AD454" t="inlineStr">
        <is>
          <t>adidas</t>
        </is>
      </c>
      <c r="AE454" t="inlineStr">
        <is>
          <t>11</t>
        </is>
      </c>
      <c r="AF454" t="inlineStr">
        <is>
          <t>https://m.media-amazon.com/images/I/71+G50QPzFL.jpg;https://m.media-amazon.com/images/I/61PLKCxhXIL.jpg;https://m.media-amazon.com/images/I/51czjRX0UBL.jpg;https://m.media-amazon.com/images/I/7191SMO1XrL.jpg;https://m.media-amazon.com/images/I/71YgPJJrgcL.jpg;https://m.media-amazon.com/images/I/713x1LCojrL.jpg</t>
        </is>
      </c>
      <c r="AG454" t="inlineStr">
        <is>
          <t>Description
Vintage vibes with modern detailing. These adidas shoes give you a retro sporty look without sacrificing comfort. Wear these running-inspired icons on casual days when you want to get stuff done and look good doing it. Classic 3-Stripes and low-key graphics on the tongue and heel tab provide the finishing touches.</t>
        </is>
      </c>
    </row>
    <row r="455">
      <c r="A455" t="inlineStr">
        <is>
          <t>com</t>
        </is>
      </c>
      <c r="B455" t="inlineStr">
        <is>
          <t>B0BG6B24Q8</t>
        </is>
      </c>
      <c r="C455" t="inlineStr">
        <is>
          <t>adidas Women's Duramo SL Running Sneaker, Black/White/Carbon, 5 Wide</t>
        </is>
      </c>
      <c r="D455" t="n">
        <v>59.45</v>
      </c>
      <c r="E455" t="n">
        <v>59.45</v>
      </c>
      <c r="F455" t="n">
        <v>183905</v>
      </c>
      <c r="G455" t="n">
        <v>195381</v>
      </c>
      <c r="H455" t="n">
        <v>56.95</v>
      </c>
      <c r="I455" t="n">
        <v>51.92</v>
      </c>
      <c r="J455" t="n">
        <v>0</v>
      </c>
      <c r="K455" t="n">
        <v>0</v>
      </c>
      <c r="L455" t="n">
        <v>1</v>
      </c>
      <c r="M455" t="n">
        <v>1</v>
      </c>
      <c r="N455" t="n">
        <v>4.7</v>
      </c>
      <c r="O455" t="n">
        <v>1</v>
      </c>
      <c r="P455" t="n">
        <v>37</v>
      </c>
      <c r="Q455" t="n">
        <v>21</v>
      </c>
      <c r="R455" t="n">
        <v>63</v>
      </c>
      <c r="S455" t="inlineStr">
        <is>
          <t>B0D918HH2M</t>
        </is>
      </c>
      <c r="U455" t="n">
        <v>1.322772</v>
      </c>
      <c r="V455" t="n">
        <v>7.31</v>
      </c>
      <c r="W455" t="n">
        <v>8.92</v>
      </c>
      <c r="X455" t="inlineStr">
        <is>
          <t>196465788673</t>
        </is>
      </c>
      <c r="Y455" t="inlineStr">
        <is>
          <t>LZX58</t>
        </is>
      </c>
      <c r="Z455" t="inlineStr">
        <is>
          <t>LZX58</t>
        </is>
      </c>
      <c r="AA455" t="inlineStr">
        <is>
          <t>Black/White/Carbon</t>
        </is>
      </c>
      <c r="AB455" t="inlineStr">
        <is>
          <t>0196465788673</t>
        </is>
      </c>
      <c r="AC455" t="inlineStr">
        <is>
          <t>Amazon offer is in stock and shippable</t>
        </is>
      </c>
      <c r="AD455" t="inlineStr">
        <is>
          <t>adidas</t>
        </is>
      </c>
      <c r="AE455" t="inlineStr">
        <is>
          <t>5 Wide</t>
        </is>
      </c>
      <c r="AF455"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55"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56">
      <c r="A456" t="inlineStr">
        <is>
          <t>com</t>
        </is>
      </c>
      <c r="B456" t="inlineStr">
        <is>
          <t>B0BG6FWDSN</t>
        </is>
      </c>
      <c r="C456" t="inlineStr">
        <is>
          <t>adidas Women's Duramo SL Running Sneaker, Black/White/Carbon, 5.5 Wide</t>
        </is>
      </c>
      <c r="D456" t="n">
        <v>59.45</v>
      </c>
      <c r="E456" t="n">
        <v>59.45</v>
      </c>
      <c r="F456" t="n">
        <v>183905</v>
      </c>
      <c r="G456" t="n">
        <v>198588</v>
      </c>
      <c r="H456" t="n">
        <v>55.92</v>
      </c>
      <c r="I456" t="n">
        <v>54.86</v>
      </c>
      <c r="J456" t="n">
        <v>0</v>
      </c>
      <c r="K456" t="n">
        <v>0</v>
      </c>
      <c r="L456" t="n">
        <v>3</v>
      </c>
      <c r="M456" t="n">
        <v>2</v>
      </c>
      <c r="N456" t="n">
        <v>4.7</v>
      </c>
      <c r="O456" t="n">
        <v>1</v>
      </c>
      <c r="P456" t="n">
        <v>37</v>
      </c>
      <c r="Q456" t="n">
        <v>19</v>
      </c>
      <c r="R456" t="n">
        <v>76</v>
      </c>
      <c r="S456" t="inlineStr">
        <is>
          <t>B0D918HH2M</t>
        </is>
      </c>
      <c r="U456" t="n">
        <v>1.32056738</v>
      </c>
      <c r="V456" t="n">
        <v>7.31</v>
      </c>
      <c r="W456" t="n">
        <v>8.92</v>
      </c>
      <c r="X456" t="inlineStr">
        <is>
          <t>196465788680</t>
        </is>
      </c>
      <c r="Y456" t="inlineStr">
        <is>
          <t>LZX58</t>
        </is>
      </c>
      <c r="Z456" t="inlineStr">
        <is>
          <t>LZX58</t>
        </is>
      </c>
      <c r="AA456" t="inlineStr">
        <is>
          <t>Black/White/Carbon</t>
        </is>
      </c>
      <c r="AB456" t="inlineStr">
        <is>
          <t>0196465788680</t>
        </is>
      </c>
      <c r="AC456" t="inlineStr">
        <is>
          <t>Amazon offer is in stock and shippable</t>
        </is>
      </c>
      <c r="AD456" t="inlineStr">
        <is>
          <t>adidas</t>
        </is>
      </c>
      <c r="AE456" t="inlineStr">
        <is>
          <t>5.5 Wide</t>
        </is>
      </c>
      <c r="AF456" t="inlineStr">
        <is>
          <t>https://m.media-amazon.com/images/I/212yMcR+C3L.jpg;https://m.media-amazon.com/images/I/31Tjizo9KZL.jpg;https://m.media-amazon.com/images/I/31gakSoGPAL.jpg;https://m.media-amazon.com/images/I/31PtvgHIavL.jpg;https://m.media-amazon.com/images/I/31iTLIZyNRL.jpg;https://m.media-amazon.com/images/I/31ZxOCy3gbL.jpg;https://m.media-amazon.com/images/I/41tjquZ3ITL.jpg;https://m.media-amazon.com/images/I/41WuYF+b6AL.jpg;https://m.media-amazon.com/images/I/313VqoKxW9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56"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57">
      <c r="A457" t="inlineStr">
        <is>
          <t>com</t>
        </is>
      </c>
      <c r="B457" t="inlineStr">
        <is>
          <t>B0BG6BJWS8</t>
        </is>
      </c>
      <c r="C457" t="inlineStr">
        <is>
          <t>adidas Women's Duramo SL Running Sneaker, Black/White/Carbon, 6 Wide</t>
        </is>
      </c>
      <c r="D457" t="n">
        <v>59.45</v>
      </c>
      <c r="E457" t="n">
        <v>59.45</v>
      </c>
      <c r="F457" t="n">
        <v>183905</v>
      </c>
      <c r="G457" t="n">
        <v>190006</v>
      </c>
      <c r="H457" t="n">
        <v>51</v>
      </c>
      <c r="I457" t="n">
        <v>53.17</v>
      </c>
      <c r="J457" t="n">
        <v>0</v>
      </c>
      <c r="K457" t="n">
        <v>0</v>
      </c>
      <c r="L457" t="n">
        <v>2</v>
      </c>
      <c r="M457" t="n">
        <v>2</v>
      </c>
      <c r="N457" t="n">
        <v>4.7</v>
      </c>
      <c r="O457" t="n">
        <v>0</v>
      </c>
      <c r="P457" t="n">
        <v>35</v>
      </c>
      <c r="Q457" t="n">
        <v>10</v>
      </c>
      <c r="R457" t="n">
        <v>41</v>
      </c>
      <c r="S457" t="inlineStr">
        <is>
          <t>B0D918HH2M</t>
        </is>
      </c>
      <c r="U457" t="n">
        <v>1.17065322</v>
      </c>
      <c r="V457" t="n">
        <v>7.62</v>
      </c>
      <c r="W457" t="n">
        <v>8.92</v>
      </c>
      <c r="X457" t="inlineStr">
        <is>
          <t>196465788802</t>
        </is>
      </c>
      <c r="Y457" t="inlineStr">
        <is>
          <t>LZX58</t>
        </is>
      </c>
      <c r="Z457" t="inlineStr">
        <is>
          <t>LZX58</t>
        </is>
      </c>
      <c r="AA457" t="inlineStr">
        <is>
          <t>Black/White/Carbon</t>
        </is>
      </c>
      <c r="AB457" t="inlineStr">
        <is>
          <t>0196465788802</t>
        </is>
      </c>
      <c r="AC457" t="inlineStr">
        <is>
          <t>Amazon offer is in stock and shippable</t>
        </is>
      </c>
      <c r="AD457" t="inlineStr">
        <is>
          <t>adidas</t>
        </is>
      </c>
      <c r="AE457" t="inlineStr">
        <is>
          <t>6 Wide</t>
        </is>
      </c>
      <c r="AF457"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57"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58">
      <c r="A458" t="inlineStr">
        <is>
          <t>com</t>
        </is>
      </c>
      <c r="B458" t="inlineStr">
        <is>
          <t>B0BG6CG2KN</t>
        </is>
      </c>
      <c r="C458" t="inlineStr">
        <is>
          <t>adidas Women's Duramo SL Running Sneaker, Black/White/Carbon, 6.5 Wide</t>
        </is>
      </c>
      <c r="D458" t="n">
        <v>59.45</v>
      </c>
      <c r="E458" t="n">
        <v>59.45</v>
      </c>
      <c r="F458" t="n">
        <v>183905</v>
      </c>
      <c r="G458" t="n">
        <v>182083</v>
      </c>
      <c r="H458" t="n">
        <v>60.34</v>
      </c>
      <c r="I458" t="n">
        <v>58.94</v>
      </c>
      <c r="J458" t="n">
        <v>0.63</v>
      </c>
      <c r="K458" t="n">
        <v>0.66</v>
      </c>
      <c r="L458" t="n">
        <v>1</v>
      </c>
      <c r="M458" t="n">
        <v>1</v>
      </c>
      <c r="N458" t="n">
        <v>4.7</v>
      </c>
      <c r="O458" t="n">
        <v>2</v>
      </c>
      <c r="P458" t="n">
        <v>37</v>
      </c>
      <c r="Q458" t="n">
        <v>14</v>
      </c>
      <c r="R458" t="n">
        <v>27</v>
      </c>
      <c r="S458" t="inlineStr">
        <is>
          <t>B0D918HH2M</t>
        </is>
      </c>
      <c r="U458" t="n">
        <v>1.3668644</v>
      </c>
      <c r="V458" t="n">
        <v>7.62</v>
      </c>
      <c r="W458" t="n">
        <v>8.92</v>
      </c>
      <c r="X458" t="inlineStr">
        <is>
          <t>196465788758</t>
        </is>
      </c>
      <c r="Y458" t="inlineStr">
        <is>
          <t>LZX58</t>
        </is>
      </c>
      <c r="Z458" t="inlineStr">
        <is>
          <t>LZX58</t>
        </is>
      </c>
      <c r="AA458" t="inlineStr">
        <is>
          <t>Black/White/Carbon</t>
        </is>
      </c>
      <c r="AB458" t="inlineStr">
        <is>
          <t>0196465788758</t>
        </is>
      </c>
      <c r="AC458" t="inlineStr">
        <is>
          <t>Amazon offer is in stock and shippable</t>
        </is>
      </c>
      <c r="AD458" t="inlineStr">
        <is>
          <t>adidas</t>
        </is>
      </c>
      <c r="AE458" t="inlineStr">
        <is>
          <t>6.5 Wide</t>
        </is>
      </c>
      <c r="AF458"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58"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59">
      <c r="A459" t="inlineStr">
        <is>
          <t>com</t>
        </is>
      </c>
      <c r="B459" t="inlineStr">
        <is>
          <t>B0BG6C3TRK</t>
        </is>
      </c>
      <c r="C459" t="inlineStr">
        <is>
          <t>adidas Women's Duramo SL Running Sneaker, Black/White/Carbon, 7 Wide</t>
        </is>
      </c>
      <c r="D459" t="n">
        <v>59.45</v>
      </c>
      <c r="E459" t="n">
        <v>59.45</v>
      </c>
      <c r="F459" t="n">
        <v>183905</v>
      </c>
      <c r="G459" t="n">
        <v>186620</v>
      </c>
      <c r="H459" t="n">
        <v>65.88</v>
      </c>
      <c r="I459" t="n">
        <v>60.18</v>
      </c>
      <c r="J459" t="n">
        <v>0.1</v>
      </c>
      <c r="K459" t="n">
        <v>0.43</v>
      </c>
      <c r="L459" t="n">
        <v>2</v>
      </c>
      <c r="M459" t="n">
        <v>1</v>
      </c>
      <c r="N459" t="n">
        <v>4.7</v>
      </c>
      <c r="O459" t="n">
        <v>0</v>
      </c>
      <c r="P459" t="n">
        <v>37</v>
      </c>
      <c r="Q459" t="n">
        <v>13</v>
      </c>
      <c r="R459" t="n">
        <v>42</v>
      </c>
      <c r="S459" t="inlineStr">
        <is>
          <t>B0D918HH2M</t>
        </is>
      </c>
      <c r="U459" t="n">
        <v>1.3889106</v>
      </c>
      <c r="V459" t="n">
        <v>7.7</v>
      </c>
      <c r="W459" t="n">
        <v>8.92</v>
      </c>
      <c r="X459" t="inlineStr">
        <is>
          <t>196465788635</t>
        </is>
      </c>
      <c r="Y459" t="inlineStr">
        <is>
          <t>LZX58</t>
        </is>
      </c>
      <c r="Z459" t="inlineStr">
        <is>
          <t>LZX58</t>
        </is>
      </c>
      <c r="AA459" t="inlineStr">
        <is>
          <t>Black/White/Carbon</t>
        </is>
      </c>
      <c r="AB459" t="inlineStr">
        <is>
          <t>0196465788635</t>
        </is>
      </c>
      <c r="AC459" t="inlineStr">
        <is>
          <t>Amazon offer is in stock and shippable</t>
        </is>
      </c>
      <c r="AD459" t="inlineStr">
        <is>
          <t>adidas</t>
        </is>
      </c>
      <c r="AE459" t="inlineStr">
        <is>
          <t>7 Wide</t>
        </is>
      </c>
      <c r="AF459"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59"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0">
      <c r="A460" t="inlineStr">
        <is>
          <t>com</t>
        </is>
      </c>
      <c r="B460" t="inlineStr">
        <is>
          <t>B0BG6DG14Y</t>
        </is>
      </c>
      <c r="C460" t="inlineStr">
        <is>
          <t>adidas Women's Duramo SL Running Sneaker, Black/White/Carbon, 7.5 Wide</t>
        </is>
      </c>
      <c r="D460" t="n">
        <v>59.45</v>
      </c>
      <c r="E460" t="n">
        <v>59.45</v>
      </c>
      <c r="F460" t="n">
        <v>148456</v>
      </c>
      <c r="G460" t="n">
        <v>190138</v>
      </c>
      <c r="H460" t="n">
        <v>68.62</v>
      </c>
      <c r="I460" t="n">
        <v>63.6</v>
      </c>
      <c r="J460" t="n">
        <v>0.09</v>
      </c>
      <c r="K460" t="n">
        <v>0.66</v>
      </c>
      <c r="L460" t="n">
        <v>2</v>
      </c>
      <c r="M460" t="n">
        <v>2</v>
      </c>
      <c r="N460" t="n">
        <v>4.7</v>
      </c>
      <c r="O460" t="n">
        <v>2</v>
      </c>
      <c r="P460" t="n">
        <v>37</v>
      </c>
      <c r="Q460" t="n">
        <v>24</v>
      </c>
      <c r="R460" t="n">
        <v>69</v>
      </c>
      <c r="S460" t="inlineStr">
        <is>
          <t>B0D918HH2M</t>
        </is>
      </c>
      <c r="U460" t="n">
        <v>0.7936632</v>
      </c>
      <c r="V460" t="n">
        <v>7.7</v>
      </c>
      <c r="W460" t="n">
        <v>8.92</v>
      </c>
      <c r="X460" t="inlineStr">
        <is>
          <t>196465788789</t>
        </is>
      </c>
      <c r="Y460" t="inlineStr">
        <is>
          <t>LZX58</t>
        </is>
      </c>
      <c r="Z460" t="inlineStr">
        <is>
          <t>LZX58</t>
        </is>
      </c>
      <c r="AA460" t="inlineStr">
        <is>
          <t>Black/White/Carbon</t>
        </is>
      </c>
      <c r="AB460" t="inlineStr">
        <is>
          <t>0196465788789</t>
        </is>
      </c>
      <c r="AC460" t="inlineStr">
        <is>
          <t>Amazon offer is in stock and shippable</t>
        </is>
      </c>
      <c r="AD460" t="inlineStr">
        <is>
          <t>adidas</t>
        </is>
      </c>
      <c r="AE460" t="inlineStr">
        <is>
          <t>7.5 Wide</t>
        </is>
      </c>
      <c r="AF460"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0"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1">
      <c r="A461" t="inlineStr">
        <is>
          <t>com</t>
        </is>
      </c>
      <c r="B461" t="inlineStr">
        <is>
          <t>B0BG6B4ZYW</t>
        </is>
      </c>
      <c r="C461" t="inlineStr">
        <is>
          <t>adidas Women's Duramo SL Running Sneaker, Black/White/Carbon, 8 Wide</t>
        </is>
      </c>
      <c r="D461" t="n">
        <v>49.9</v>
      </c>
      <c r="E461" t="n">
        <v>49.9</v>
      </c>
      <c r="F461" t="n">
        <v>183905</v>
      </c>
      <c r="G461" t="n">
        <v>194803</v>
      </c>
      <c r="H461" t="n">
        <v>55.97</v>
      </c>
      <c r="I461" t="n">
        <v>54.46</v>
      </c>
      <c r="J461" t="n">
        <v>0</v>
      </c>
      <c r="K461" t="n">
        <v>0</v>
      </c>
      <c r="L461" t="n">
        <v>5</v>
      </c>
      <c r="M461" t="n">
        <v>4</v>
      </c>
      <c r="N461" t="n">
        <v>4.7</v>
      </c>
      <c r="O461" t="n">
        <v>3</v>
      </c>
      <c r="P461" t="n">
        <v>37</v>
      </c>
      <c r="Q461" t="n">
        <v>30</v>
      </c>
      <c r="R461" t="n">
        <v>90</v>
      </c>
      <c r="S461" t="inlineStr">
        <is>
          <t>B0D918HH2M</t>
        </is>
      </c>
      <c r="U461" t="n">
        <v>1.4991416</v>
      </c>
      <c r="V461" t="n">
        <v>6.31</v>
      </c>
      <c r="W461" t="n">
        <v>7.49</v>
      </c>
      <c r="X461" t="inlineStr">
        <is>
          <t>196465788710</t>
        </is>
      </c>
      <c r="Y461" t="inlineStr">
        <is>
          <t>LZX58</t>
        </is>
      </c>
      <c r="Z461" t="inlineStr">
        <is>
          <t>LZX58</t>
        </is>
      </c>
      <c r="AA461" t="inlineStr">
        <is>
          <t>Black/White/Carbon</t>
        </is>
      </c>
      <c r="AB461" t="inlineStr">
        <is>
          <t>0196465788710</t>
        </is>
      </c>
      <c r="AC461" t="inlineStr">
        <is>
          <t>Amazon offer is in stock and shippable</t>
        </is>
      </c>
      <c r="AD461" t="inlineStr">
        <is>
          <t>adidas</t>
        </is>
      </c>
      <c r="AE461" t="inlineStr">
        <is>
          <t>8 Wide</t>
        </is>
      </c>
      <c r="AF461"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1"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2">
      <c r="A462" t="inlineStr">
        <is>
          <t>com</t>
        </is>
      </c>
      <c r="B462" t="inlineStr">
        <is>
          <t>B0BG6BXKS4</t>
        </is>
      </c>
      <c r="C462" t="inlineStr">
        <is>
          <t>adidas Women's Duramo SL Running Sneaker, Black/White/Carbon, 8.5 Wide</t>
        </is>
      </c>
      <c r="D462" t="n">
        <v>59.45</v>
      </c>
      <c r="E462" t="n">
        <v>59.45</v>
      </c>
      <c r="F462" t="n">
        <v>161122</v>
      </c>
      <c r="G462" t="n">
        <v>192887</v>
      </c>
      <c r="H462" t="n">
        <v>53.33</v>
      </c>
      <c r="I462" t="n">
        <v>53.52</v>
      </c>
      <c r="J462" t="n">
        <v>0</v>
      </c>
      <c r="K462" t="n">
        <v>0</v>
      </c>
      <c r="L462" t="n">
        <v>3</v>
      </c>
      <c r="M462" t="n">
        <v>2</v>
      </c>
      <c r="N462" t="n">
        <v>4.7</v>
      </c>
      <c r="O462" t="n">
        <v>1</v>
      </c>
      <c r="P462" t="n">
        <v>37</v>
      </c>
      <c r="Q462" t="n">
        <v>32</v>
      </c>
      <c r="R462" t="n">
        <v>93</v>
      </c>
      <c r="S462" t="inlineStr">
        <is>
          <t>B0D918HH2M</t>
        </is>
      </c>
      <c r="U462" t="n">
        <v>1.4991416</v>
      </c>
      <c r="V462" t="n">
        <v>7.47</v>
      </c>
      <c r="W462" t="n">
        <v>8.92</v>
      </c>
      <c r="X462" t="inlineStr">
        <is>
          <t>196465788840</t>
        </is>
      </c>
      <c r="Y462" t="inlineStr">
        <is>
          <t>LZX58</t>
        </is>
      </c>
      <c r="Z462" t="inlineStr">
        <is>
          <t>LZX58</t>
        </is>
      </c>
      <c r="AA462" t="inlineStr">
        <is>
          <t>Black/White/Carbon</t>
        </is>
      </c>
      <c r="AB462" t="inlineStr">
        <is>
          <t>0196465788840</t>
        </is>
      </c>
      <c r="AC462" t="inlineStr">
        <is>
          <t>Amazon offer is in stock and shippable</t>
        </is>
      </c>
      <c r="AD462" t="inlineStr">
        <is>
          <t>adidas</t>
        </is>
      </c>
      <c r="AE462" t="inlineStr">
        <is>
          <t>8.5 Wide</t>
        </is>
      </c>
      <c r="AF462" t="inlineStr">
        <is>
          <t>https://m.media-amazon.com/images/I/212yMcR+C3L.jpg;https://m.media-amazon.com/images/I/31Tjizo9KZL.jpg;https://m.media-amazon.com/images/I/31gakSoGPAL.jpg;https://m.media-amazon.com/images/I/31PtvgHIavL.jpg;https://m.media-amazon.com/images/I/31iTLIZyNRL.jpg;https://m.media-amazon.com/images/I/31ZxOCy3gbL.jpg;https://m.media-amazon.com/images/I/41tjquZ3ITL.jpg;https://m.media-amazon.com/images/I/41WuYF+b6AL.jpg;https://m.media-amazon.com/images/I/313VqoKxW9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2"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3">
      <c r="A463" t="inlineStr">
        <is>
          <t>com</t>
        </is>
      </c>
      <c r="B463" t="inlineStr">
        <is>
          <t>B0BG6CLSYW</t>
        </is>
      </c>
      <c r="C463" t="inlineStr">
        <is>
          <t>adidas Women's Duramo SL Lightmotion Shoes Sneaker, Black/White/Carbon, 9 Wide</t>
        </is>
      </c>
      <c r="D463" t="n">
        <v>51.44</v>
      </c>
      <c r="E463" t="n">
        <v>49.9</v>
      </c>
      <c r="F463" t="n">
        <v>161122</v>
      </c>
      <c r="G463" t="n">
        <v>198219</v>
      </c>
      <c r="H463" t="n">
        <v>50.62</v>
      </c>
      <c r="I463" t="n">
        <v>49.95</v>
      </c>
      <c r="J463" t="n">
        <v>0</v>
      </c>
      <c r="K463" t="n">
        <v>0</v>
      </c>
      <c r="L463" t="n">
        <v>5</v>
      </c>
      <c r="M463" t="n">
        <v>5</v>
      </c>
      <c r="N463" t="n">
        <v>4.7</v>
      </c>
      <c r="O463" t="n">
        <v>2</v>
      </c>
      <c r="P463" t="n">
        <v>37</v>
      </c>
      <c r="Q463" t="n">
        <v>28</v>
      </c>
      <c r="R463" t="n">
        <v>76</v>
      </c>
      <c r="S463" t="inlineStr">
        <is>
          <t>B0D918HH2M</t>
        </is>
      </c>
      <c r="U463" t="n">
        <v>1.4991416</v>
      </c>
      <c r="V463" t="n">
        <v>6.31</v>
      </c>
      <c r="W463" t="n">
        <v>7.72</v>
      </c>
      <c r="X463" t="inlineStr">
        <is>
          <t>196465788703</t>
        </is>
      </c>
      <c r="Y463" t="inlineStr">
        <is>
          <t>LZX58</t>
        </is>
      </c>
      <c r="Z463" t="inlineStr">
        <is>
          <t>LZX58</t>
        </is>
      </c>
      <c r="AA463" t="inlineStr">
        <is>
          <t>Black/White/Carbon</t>
        </is>
      </c>
      <c r="AB463" t="inlineStr">
        <is>
          <t>0196465788703</t>
        </is>
      </c>
      <c r="AC463" t="inlineStr">
        <is>
          <t>Amazon offer is in stock and shippable</t>
        </is>
      </c>
      <c r="AD463" t="inlineStr">
        <is>
          <t>adidas</t>
        </is>
      </c>
      <c r="AE463" t="inlineStr">
        <is>
          <t>9 Wide</t>
        </is>
      </c>
      <c r="AF463"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3"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4">
      <c r="A464" t="inlineStr">
        <is>
          <t>com</t>
        </is>
      </c>
      <c r="B464" t="inlineStr">
        <is>
          <t>B0BG699CXQ</t>
        </is>
      </c>
      <c r="C464" t="inlineStr">
        <is>
          <t>adidas Women's Duramo SL Running Sneaker, Black/White/Carbon, 9.5 Wide</t>
        </is>
      </c>
      <c r="D464" t="n">
        <v>49.9</v>
      </c>
      <c r="E464" t="n">
        <v>49.9</v>
      </c>
      <c r="F464" t="n">
        <v>148456</v>
      </c>
      <c r="G464" t="n">
        <v>199751</v>
      </c>
      <c r="H464" t="n">
        <v>49.52</v>
      </c>
      <c r="I464" t="n">
        <v>51.19</v>
      </c>
      <c r="J464" t="n">
        <v>0</v>
      </c>
      <c r="K464" t="n">
        <v>0</v>
      </c>
      <c r="L464" t="n">
        <v>3</v>
      </c>
      <c r="M464" t="n">
        <v>3</v>
      </c>
      <c r="N464" t="n">
        <v>4.7</v>
      </c>
      <c r="O464" t="n">
        <v>0</v>
      </c>
      <c r="P464" t="n">
        <v>37</v>
      </c>
      <c r="Q464" t="n">
        <v>14</v>
      </c>
      <c r="R464" t="n">
        <v>59</v>
      </c>
      <c r="S464" t="inlineStr">
        <is>
          <t>B0D918HH2M</t>
        </is>
      </c>
      <c r="U464" t="n">
        <v>1.4991416</v>
      </c>
      <c r="V464" t="n">
        <v>7.86</v>
      </c>
      <c r="W464" t="n">
        <v>7.48</v>
      </c>
      <c r="X464" t="inlineStr">
        <is>
          <t>196465788659</t>
        </is>
      </c>
      <c r="Y464" t="inlineStr">
        <is>
          <t>LZX58</t>
        </is>
      </c>
      <c r="Z464" t="inlineStr">
        <is>
          <t>LZX58</t>
        </is>
      </c>
      <c r="AA464" t="inlineStr">
        <is>
          <t>Black/White/Carbon</t>
        </is>
      </c>
      <c r="AB464" t="inlineStr">
        <is>
          <t>0196465788659</t>
        </is>
      </c>
      <c r="AC464" t="inlineStr">
        <is>
          <t>Amazon offer is in stock and shippable</t>
        </is>
      </c>
      <c r="AD464" t="inlineStr">
        <is>
          <t>adidas</t>
        </is>
      </c>
      <c r="AE464" t="inlineStr">
        <is>
          <t>9.5 Wide</t>
        </is>
      </c>
      <c r="AF464" t="inlineStr">
        <is>
          <t>https://m.media-amazon.com/images/I/61locq63YIL.jpg;https://m.media-amazon.com/images/I/71HqOU5x1rL.jpg;https://m.media-amazon.com/images/I/71tUPX9vSaL.jpg;https://m.media-amazon.com/images/I/51Mi60lrkEL.jpg;https://m.media-amazon.com/images/I/51UlDHrY4-L.jpg;https://m.media-amazon.com/images/I/516VuUTskhL.jpg;https://m.media-amazon.com/images/I/51lOmlD9iNL.jpg;https://m.media-amazon.com/images/I/51xZiC3d5rL.jpg;https://m.media-amazon.com/images/I/51FAAjW1JA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4"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5">
      <c r="A465" t="inlineStr">
        <is>
          <t>com</t>
        </is>
      </c>
      <c r="B465" t="inlineStr">
        <is>
          <t>B0BG6C92F2</t>
        </is>
      </c>
      <c r="C465" t="inlineStr">
        <is>
          <t>adidas Women's Duramo SL Running Sneaker, Black/White/Carbon, 10 Wide</t>
        </is>
      </c>
      <c r="D465" t="n">
        <v>53.34</v>
      </c>
      <c r="E465" t="n">
        <v>53.34</v>
      </c>
      <c r="F465" t="n">
        <v>183905</v>
      </c>
      <c r="G465" t="n">
        <v>199456</v>
      </c>
      <c r="H465" t="n">
        <v>61.51</v>
      </c>
      <c r="I465" t="n">
        <v>58.48</v>
      </c>
      <c r="J465" t="n">
        <v>0.02</v>
      </c>
      <c r="K465" t="n">
        <v>0.02</v>
      </c>
      <c r="L465" t="n">
        <v>1</v>
      </c>
      <c r="M465" t="n">
        <v>1</v>
      </c>
      <c r="N465" t="n">
        <v>4.7</v>
      </c>
      <c r="O465" t="n">
        <v>1</v>
      </c>
      <c r="P465" t="n">
        <v>37</v>
      </c>
      <c r="Q465" t="n">
        <v>16</v>
      </c>
      <c r="R465" t="n">
        <v>56</v>
      </c>
      <c r="S465" t="inlineStr">
        <is>
          <t>B0D918HH2M</t>
        </is>
      </c>
      <c r="U465" t="n">
        <v>1.2786796</v>
      </c>
      <c r="V465" t="n">
        <v>7.47</v>
      </c>
      <c r="W465" t="n">
        <v>8</v>
      </c>
      <c r="X465" t="inlineStr">
        <is>
          <t>196465788741</t>
        </is>
      </c>
      <c r="Y465" t="inlineStr">
        <is>
          <t>LZX58</t>
        </is>
      </c>
      <c r="Z465" t="inlineStr">
        <is>
          <t>LZX58</t>
        </is>
      </c>
      <c r="AA465" t="inlineStr">
        <is>
          <t>Black/White/Carbon</t>
        </is>
      </c>
      <c r="AB465" t="inlineStr">
        <is>
          <t>0196465788741</t>
        </is>
      </c>
      <c r="AC465" t="inlineStr">
        <is>
          <t>Amazon offer is in stock and shippable</t>
        </is>
      </c>
      <c r="AD465" t="inlineStr">
        <is>
          <t>adidas</t>
        </is>
      </c>
      <c r="AE465" t="inlineStr">
        <is>
          <t>10 Wide</t>
        </is>
      </c>
      <c r="AF465" t="inlineStr">
        <is>
          <t>https://m.media-amazon.com/images/I/212yMcR+C3L.jpg;https://m.media-amazon.com/images/I/31Tjizo9KZL.jpg;https://m.media-amazon.com/images/I/31gakSoGPAL.jpg;https://m.media-amazon.com/images/I/31PtvgHIavL.jpg;https://m.media-amazon.com/images/I/31iTLIZyNRL.jpg;https://m.media-amazon.com/images/I/31ZxOCy3gbL.jpg;https://m.media-amazon.com/images/I/41tjquZ3ITL.jpg;https://m.media-amazon.com/images/I/41WuYF+b6AL.jpg;https://m.media-amazon.com/images/I/313VqoKxW9L.jpg;https://m.media-amazon.com/images/I/31GWPtk1z3L.jpg;https://m.media-amazon.com/images/I/21zIAByyfsL.jpg;https://m.media-amazon.com/images/I/216YkN8tPVL.jpg;https://m.media-amazon.com/images/I/31XajG-xuDL.jpg;https://m.media-amazon.com/images/I/31OB8s5bacL.jpg;https://m.media-amazon.com/images/I/21IlH4F8V5L.jpg;https://m.media-amazon.com/images/I/31xxgD4zeQL.jpg;https://m.media-amazon.com/images/I/31eMNqzKTTL.jpg</t>
        </is>
      </c>
      <c r="AG465" t="inlineStr">
        <is>
          <t>Description
Whether you're hitting the treadmill or the streets, these wide-fit running shoes for women are ready. The upper is super light and breathable, and an Adiwear outsole stands up to heavy use. adidas LIGHTMOTION delivers responsive cushioning and dynamic movement with every stride.</t>
        </is>
      </c>
    </row>
    <row r="466">
      <c r="A466" t="inlineStr">
        <is>
          <t>com</t>
        </is>
      </c>
      <c r="B466" t="inlineStr">
        <is>
          <t>B0BG6D4ZRT</t>
        </is>
      </c>
      <c r="C466" t="inlineStr">
        <is>
          <t>adidas Women's Duramo SL Running Sneaker, Black/White/Carbon, 11 Wide</t>
        </is>
      </c>
      <c r="D466" t="n">
        <v>59.45</v>
      </c>
      <c r="E466" t="n">
        <v>59.45</v>
      </c>
      <c r="F466" t="n">
        <v>3887810</v>
      </c>
      <c r="G466" t="n">
        <v>3121945</v>
      </c>
      <c r="H466" t="n">
        <v>55.52</v>
      </c>
      <c r="I466" t="n">
        <v>55.07</v>
      </c>
      <c r="J466" t="n">
        <v>0.01</v>
      </c>
      <c r="K466" t="n">
        <v>0.01</v>
      </c>
      <c r="L466" t="n">
        <v>1</v>
      </c>
      <c r="M466" t="n">
        <v>1</v>
      </c>
      <c r="O466" t="n">
        <v>0</v>
      </c>
      <c r="Q466" t="n">
        <v>1</v>
      </c>
      <c r="R466" t="n">
        <v>11</v>
      </c>
      <c r="S466" t="inlineStr"/>
      <c r="U466" t="n">
        <v>1.4991416</v>
      </c>
      <c r="V466" t="n">
        <v>6.44</v>
      </c>
      <c r="W466" t="n">
        <v>8.92</v>
      </c>
      <c r="X466" t="inlineStr">
        <is>
          <t>196465788666</t>
        </is>
      </c>
      <c r="Y466" t="inlineStr">
        <is>
          <t>LZX58</t>
        </is>
      </c>
      <c r="Z466" t="inlineStr">
        <is>
          <t>LZX58</t>
        </is>
      </c>
      <c r="AA466" t="inlineStr">
        <is>
          <t>Black/White/Carbon</t>
        </is>
      </c>
      <c r="AB466" t="inlineStr">
        <is>
          <t>0196465788666</t>
        </is>
      </c>
      <c r="AC466" t="inlineStr">
        <is>
          <t>Amazon offer is in stock and shippable</t>
        </is>
      </c>
      <c r="AD466" t="inlineStr">
        <is>
          <t>adidas</t>
        </is>
      </c>
      <c r="AE466" t="inlineStr">
        <is>
          <t>11 Wide</t>
        </is>
      </c>
      <c r="AF466" t="inlineStr">
        <is>
          <t>https://m.media-amazon.com/images/I/51WkO7ijWBL.jpg;https://m.media-amazon.com/images/I/51qpzsRTAnL.jpg;https://m.media-amazon.com/images/I/510POpOm59L.jpg;https://m.media-amazon.com/images/I/41rz3dpslcL.jpg;https://m.media-amazon.com/images/I/51HjFcvUMrL.jpg;https://m.media-amazon.com/images/I/51eI6LcwJ7L.jpg;https://m.media-amazon.com/images/I/41a8EUX+isL.jpg;https://m.media-amazon.com/images/I/61wBwitYlbL.jpg;https://m.media-amazon.com/images/I/919dXFuYQhL.jpg</t>
        </is>
      </c>
      <c r="AG466" t="inlineStr">
        <is>
          <t>Description
Whether you're hitting the treadmill or the streets, these wide-fit running shoes for women are ready. The synthetic upper is super light and breathable, and the Adiwear outsole stands up to heavy use. adidas LIGHTMOTION delivers responsive cushioning and dynamic movement with every stride.</t>
        </is>
      </c>
    </row>
    <row r="467">
      <c r="A467" t="inlineStr">
        <is>
          <t>com</t>
        </is>
      </c>
      <c r="B467" t="inlineStr">
        <is>
          <t>B0CKMNTB5V</t>
        </is>
      </c>
      <c r="C467" t="inlineStr">
        <is>
          <t>adidas Women's Breaknet Sleek Sneaker, Black/White/Black, 5</t>
        </is>
      </c>
      <c r="D467" t="n">
        <v>49.08</v>
      </c>
      <c r="E467" t="inlineStr"/>
      <c r="F467" t="n">
        <v>36594</v>
      </c>
      <c r="G467" t="n">
        <v>27107</v>
      </c>
      <c r="H467" t="n">
        <v>49.08</v>
      </c>
      <c r="I467" t="n">
        <v>50.9</v>
      </c>
      <c r="J467" t="n">
        <v>0.54</v>
      </c>
      <c r="K467" t="n">
        <v>0.54</v>
      </c>
      <c r="L467" t="n">
        <v>1</v>
      </c>
      <c r="N467" t="n">
        <v>4.6</v>
      </c>
      <c r="O467" t="n">
        <v>0</v>
      </c>
      <c r="P467" t="n">
        <v>55</v>
      </c>
      <c r="Q467" t="n">
        <v>13</v>
      </c>
      <c r="R467" t="n">
        <v>68</v>
      </c>
      <c r="S467" t="inlineStr">
        <is>
          <t>B0CKMTZM44</t>
        </is>
      </c>
      <c r="U467" t="n">
        <v>1.4109568</v>
      </c>
      <c r="V467" t="n">
        <v>6.61</v>
      </c>
      <c r="W467" t="inlineStr"/>
      <c r="X467" t="inlineStr">
        <is>
          <t>196477626154</t>
        </is>
      </c>
      <c r="Y467" t="inlineStr">
        <is>
          <t>NKA01</t>
        </is>
      </c>
      <c r="Z467" t="inlineStr">
        <is>
          <t>NKA01</t>
        </is>
      </c>
      <c r="AA467" t="inlineStr">
        <is>
          <t>Black/White/Black</t>
        </is>
      </c>
      <c r="AB467" t="inlineStr">
        <is>
          <t>0196477626154</t>
        </is>
      </c>
      <c r="AC467" t="inlineStr">
        <is>
          <t>no Amazon offer exists</t>
        </is>
      </c>
      <c r="AD467" t="inlineStr">
        <is>
          <t>adidas</t>
        </is>
      </c>
      <c r="AE467" t="inlineStr">
        <is>
          <t>5</t>
        </is>
      </c>
      <c r="AF467"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67" t="inlineStr">
        <is>
          <t>Description
adidas womens Breaknet Sleek</t>
        </is>
      </c>
    </row>
    <row r="468">
      <c r="A468" t="inlineStr">
        <is>
          <t>com</t>
        </is>
      </c>
      <c r="B468" t="inlineStr">
        <is>
          <t>B0CKMMDRLT</t>
        </is>
      </c>
      <c r="C468" t="inlineStr">
        <is>
          <t>adidas Women's Breaknet Sleek Sneaker, Black/White/Black, 5.5</t>
        </is>
      </c>
      <c r="D468" t="n">
        <v>50.62</v>
      </c>
      <c r="E468" t="inlineStr"/>
      <c r="F468" t="n">
        <v>33964</v>
      </c>
      <c r="G468" t="n">
        <v>27682</v>
      </c>
      <c r="H468" t="n">
        <v>50.62</v>
      </c>
      <c r="I468" t="n">
        <v>55.68</v>
      </c>
      <c r="J468" t="n">
        <v>0.74</v>
      </c>
      <c r="K468" t="n">
        <v>0.74</v>
      </c>
      <c r="L468" t="n">
        <v>1</v>
      </c>
      <c r="N468" t="n">
        <v>4.6</v>
      </c>
      <c r="O468" t="n">
        <v>0</v>
      </c>
      <c r="P468" t="n">
        <v>43</v>
      </c>
      <c r="Q468" t="n">
        <v>7</v>
      </c>
      <c r="R468" t="n">
        <v>48</v>
      </c>
      <c r="S468" t="inlineStr">
        <is>
          <t>B0CKMTZM44</t>
        </is>
      </c>
      <c r="U468" t="n">
        <v>1.58953102</v>
      </c>
      <c r="V468" t="n">
        <v>7.03</v>
      </c>
      <c r="W468" t="inlineStr"/>
      <c r="X468" t="inlineStr">
        <is>
          <t>196477626130</t>
        </is>
      </c>
      <c r="Y468" t="inlineStr">
        <is>
          <t>NKA01</t>
        </is>
      </c>
      <c r="Z468" t="inlineStr">
        <is>
          <t>NKA01</t>
        </is>
      </c>
      <c r="AA468" t="inlineStr">
        <is>
          <t>Black/White/Black</t>
        </is>
      </c>
      <c r="AB468" t="inlineStr">
        <is>
          <t>0196477626130</t>
        </is>
      </c>
      <c r="AC468" t="inlineStr">
        <is>
          <t>no Amazon offer exists</t>
        </is>
      </c>
      <c r="AD468" t="inlineStr">
        <is>
          <t>adidas</t>
        </is>
      </c>
      <c r="AE468" t="inlineStr">
        <is>
          <t>5.5</t>
        </is>
      </c>
      <c r="AF468"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68" t="inlineStr">
        <is>
          <t>Description
adidas womens Breaknet Sleek</t>
        </is>
      </c>
    </row>
    <row r="469">
      <c r="A469" t="inlineStr">
        <is>
          <t>com</t>
        </is>
      </c>
      <c r="B469" t="inlineStr">
        <is>
          <t>B0CKMP3RPY</t>
        </is>
      </c>
      <c r="C469" t="inlineStr">
        <is>
          <t>adidas Women's Breaknet Sleek Sneaker, Black/White/Black, 6</t>
        </is>
      </c>
      <c r="D469" t="n">
        <v>79.98999999999999</v>
      </c>
      <c r="E469" t="n">
        <v>79.98999999999999</v>
      </c>
      <c r="F469" t="n">
        <v>37577</v>
      </c>
      <c r="G469" t="n">
        <v>27008</v>
      </c>
      <c r="H469" t="n">
        <v>48.21</v>
      </c>
      <c r="I469" t="n">
        <v>51.91</v>
      </c>
      <c r="J469" t="n">
        <v>0.17</v>
      </c>
      <c r="K469" t="n">
        <v>0.35</v>
      </c>
      <c r="L469" t="n">
        <v>1</v>
      </c>
      <c r="M469" t="n">
        <v>1</v>
      </c>
      <c r="N469" t="n">
        <v>4.6</v>
      </c>
      <c r="O469" t="n">
        <v>0</v>
      </c>
      <c r="P469" t="n">
        <v>55</v>
      </c>
      <c r="Q469" t="n">
        <v>22</v>
      </c>
      <c r="R469" t="n">
        <v>83</v>
      </c>
      <c r="S469" t="inlineStr">
        <is>
          <t>B0CKMTZM44</t>
        </is>
      </c>
      <c r="U469" t="n">
        <v>1.56968944</v>
      </c>
      <c r="V469" t="n">
        <v>7.03</v>
      </c>
      <c r="W469" t="inlineStr"/>
      <c r="X469" t="inlineStr">
        <is>
          <t>196477626147</t>
        </is>
      </c>
      <c r="Y469" t="inlineStr">
        <is>
          <t>NKA01</t>
        </is>
      </c>
      <c r="Z469" t="inlineStr">
        <is>
          <t>NKA01</t>
        </is>
      </c>
      <c r="AA469" t="inlineStr">
        <is>
          <t>Black/White/Black</t>
        </is>
      </c>
      <c r="AB469" t="inlineStr">
        <is>
          <t>0196477626147</t>
        </is>
      </c>
      <c r="AC469" t="inlineStr">
        <is>
          <t>no Amazon offer exists</t>
        </is>
      </c>
      <c r="AD469" t="inlineStr">
        <is>
          <t>adidas</t>
        </is>
      </c>
      <c r="AE469" t="inlineStr">
        <is>
          <t>6</t>
        </is>
      </c>
      <c r="AF469"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69" t="inlineStr">
        <is>
          <t>Description
adidas womens Breaknet Sleek</t>
        </is>
      </c>
    </row>
    <row r="470">
      <c r="A470" t="inlineStr">
        <is>
          <t>com</t>
        </is>
      </c>
      <c r="B470" t="inlineStr">
        <is>
          <t>B0CKMMLR2C</t>
        </is>
      </c>
      <c r="C470" t="inlineStr">
        <is>
          <t>adidas Women's Breaknet Sleek Sneaker, Black/White/Black, 6.5</t>
        </is>
      </c>
      <c r="D470" t="n">
        <v>79.98999999999999</v>
      </c>
      <c r="E470" t="n">
        <v>79.98999999999999</v>
      </c>
      <c r="F470" t="n">
        <v>37577</v>
      </c>
      <c r="G470" t="n">
        <v>26457</v>
      </c>
      <c r="H470" t="n">
        <v>48.61</v>
      </c>
      <c r="I470" t="n">
        <v>52.71</v>
      </c>
      <c r="J470" t="n">
        <v>0.2</v>
      </c>
      <c r="K470" t="n">
        <v>0.47</v>
      </c>
      <c r="L470" t="n">
        <v>1</v>
      </c>
      <c r="M470" t="n">
        <v>1</v>
      </c>
      <c r="N470" t="n">
        <v>4.6</v>
      </c>
      <c r="O470" t="n">
        <v>1</v>
      </c>
      <c r="P470" t="n">
        <v>55</v>
      </c>
      <c r="Q470" t="n">
        <v>22</v>
      </c>
      <c r="R470" t="n">
        <v>76</v>
      </c>
      <c r="S470" t="inlineStr">
        <is>
          <t>B0CKMTZM44</t>
        </is>
      </c>
      <c r="U470" t="n">
        <v>1.69976202</v>
      </c>
      <c r="V470" t="n">
        <v>6.61</v>
      </c>
      <c r="W470" t="inlineStr"/>
      <c r="X470" t="inlineStr">
        <is>
          <t>196477626161</t>
        </is>
      </c>
      <c r="Y470" t="inlineStr">
        <is>
          <t>NKA01</t>
        </is>
      </c>
      <c r="Z470" t="inlineStr">
        <is>
          <t>NKA01</t>
        </is>
      </c>
      <c r="AA470" t="inlineStr">
        <is>
          <t>Black/White/Black</t>
        </is>
      </c>
      <c r="AB470" t="inlineStr">
        <is>
          <t>0196477626161</t>
        </is>
      </c>
      <c r="AC470" t="inlineStr">
        <is>
          <t>no Amazon offer exists</t>
        </is>
      </c>
      <c r="AD470" t="inlineStr">
        <is>
          <t>adidas</t>
        </is>
      </c>
      <c r="AE470" t="inlineStr">
        <is>
          <t>6.5</t>
        </is>
      </c>
      <c r="AF470"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0" t="inlineStr">
        <is>
          <t>Description
adidas womens Breaknet Sleek</t>
        </is>
      </c>
    </row>
    <row r="471">
      <c r="A471" t="inlineStr">
        <is>
          <t>com</t>
        </is>
      </c>
      <c r="B471" t="inlineStr">
        <is>
          <t>B0CKMNCNJT</t>
        </is>
      </c>
      <c r="C471" t="inlineStr">
        <is>
          <t>adidas Women's Breaknet Sleek Sneaker, Black/White/Black, 7</t>
        </is>
      </c>
      <c r="D471" t="n">
        <v>79.98999999999999</v>
      </c>
      <c r="E471" t="n">
        <v>79.98999999999999</v>
      </c>
      <c r="F471" t="n">
        <v>37577</v>
      </c>
      <c r="G471" t="n">
        <v>26911</v>
      </c>
      <c r="H471" t="n">
        <v>50.98</v>
      </c>
      <c r="I471" t="n">
        <v>54.45</v>
      </c>
      <c r="J471" t="n">
        <v>0.34</v>
      </c>
      <c r="K471" t="n">
        <v>0.59</v>
      </c>
      <c r="L471" t="n">
        <v>1</v>
      </c>
      <c r="M471" t="n">
        <v>1</v>
      </c>
      <c r="N471" t="n">
        <v>4.6</v>
      </c>
      <c r="O471" t="n">
        <v>0</v>
      </c>
      <c r="P471" t="n">
        <v>55</v>
      </c>
      <c r="Q471" t="n">
        <v>26</v>
      </c>
      <c r="R471" t="n">
        <v>70</v>
      </c>
      <c r="S471" t="inlineStr">
        <is>
          <t>B0CKMTZM44</t>
        </is>
      </c>
      <c r="U471" t="n">
        <v>1.6314188</v>
      </c>
      <c r="V471" t="n">
        <v>7.03</v>
      </c>
      <c r="W471" t="inlineStr"/>
      <c r="X471" t="inlineStr">
        <is>
          <t>196477626192</t>
        </is>
      </c>
      <c r="Y471" t="inlineStr">
        <is>
          <t>NKA01</t>
        </is>
      </c>
      <c r="Z471" t="inlineStr">
        <is>
          <t>NKA01</t>
        </is>
      </c>
      <c r="AA471" t="inlineStr">
        <is>
          <t>Black/White/Black</t>
        </is>
      </c>
      <c r="AB471" t="inlineStr">
        <is>
          <t>0196477626192</t>
        </is>
      </c>
      <c r="AC471" t="inlineStr">
        <is>
          <t>no Amazon offer exists</t>
        </is>
      </c>
      <c r="AD471" t="inlineStr">
        <is>
          <t>adidas</t>
        </is>
      </c>
      <c r="AE471" t="inlineStr">
        <is>
          <t>7</t>
        </is>
      </c>
      <c r="AF471"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1" t="inlineStr">
        <is>
          <t>Description
adidas womens Breaknet Sleek</t>
        </is>
      </c>
    </row>
    <row r="472">
      <c r="A472" t="inlineStr">
        <is>
          <t>com</t>
        </is>
      </c>
      <c r="B472" t="inlineStr">
        <is>
          <t>B0CKMPKG23</t>
        </is>
      </c>
      <c r="C472" t="inlineStr">
        <is>
          <t>adidas Women's Breaknet Sleek Sneaker, Black/White/Black, 7.5</t>
        </is>
      </c>
      <c r="D472" t="n">
        <v>52.66</v>
      </c>
      <c r="E472" t="inlineStr"/>
      <c r="F472" t="n">
        <v>34792</v>
      </c>
      <c r="G472" t="n">
        <v>26778</v>
      </c>
      <c r="H472" t="n">
        <v>52.66</v>
      </c>
      <c r="I472" t="n">
        <v>55.64</v>
      </c>
      <c r="J472" t="n">
        <v>0.46</v>
      </c>
      <c r="K472" t="n">
        <v>0.64</v>
      </c>
      <c r="L472" t="n">
        <v>1</v>
      </c>
      <c r="M472" t="n">
        <v>1</v>
      </c>
      <c r="N472" t="n">
        <v>4.6</v>
      </c>
      <c r="O472" t="n">
        <v>1</v>
      </c>
      <c r="P472" t="n">
        <v>55</v>
      </c>
      <c r="Q472" t="n">
        <v>21</v>
      </c>
      <c r="R472" t="n">
        <v>63</v>
      </c>
      <c r="S472" t="inlineStr">
        <is>
          <t>B0CKMTZM44</t>
        </is>
      </c>
      <c r="U472" t="n">
        <v>1.6093726</v>
      </c>
      <c r="V472" t="n">
        <v>6.61</v>
      </c>
      <c r="W472" t="inlineStr"/>
      <c r="X472" t="inlineStr">
        <is>
          <t>196477626178</t>
        </is>
      </c>
      <c r="Y472" t="inlineStr">
        <is>
          <t>NKA01</t>
        </is>
      </c>
      <c r="Z472" t="inlineStr">
        <is>
          <t>NKA01</t>
        </is>
      </c>
      <c r="AA472" t="inlineStr">
        <is>
          <t>Black/White/Black</t>
        </is>
      </c>
      <c r="AB472" t="inlineStr">
        <is>
          <t>0196477626178</t>
        </is>
      </c>
      <c r="AC472" t="inlineStr">
        <is>
          <t>no Amazon offer exists</t>
        </is>
      </c>
      <c r="AD472" t="inlineStr">
        <is>
          <t>adidas</t>
        </is>
      </c>
      <c r="AE472" t="inlineStr">
        <is>
          <t>7.5</t>
        </is>
      </c>
      <c r="AF472"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2" t="inlineStr">
        <is>
          <t>Description
adidas womens Breaknet Sleek</t>
        </is>
      </c>
    </row>
    <row r="473">
      <c r="A473" t="inlineStr">
        <is>
          <t>com</t>
        </is>
      </c>
      <c r="B473" t="inlineStr">
        <is>
          <t>B0CKMQ71KB</t>
        </is>
      </c>
      <c r="C473" t="inlineStr">
        <is>
          <t>adidas Women's Breaknet Sleek Sneaker, Black/White/Black, 8</t>
        </is>
      </c>
      <c r="D473" t="n">
        <v>79.98999999999999</v>
      </c>
      <c r="E473" t="n">
        <v>79.98999999999999</v>
      </c>
      <c r="F473" t="n">
        <v>36594</v>
      </c>
      <c r="G473" t="n">
        <v>27147</v>
      </c>
      <c r="H473" t="n">
        <v>57.25</v>
      </c>
      <c r="I473" t="n">
        <v>59.25</v>
      </c>
      <c r="J473" t="n">
        <v>0.09</v>
      </c>
      <c r="K473" t="n">
        <v>0.51</v>
      </c>
      <c r="L473" t="n">
        <v>2</v>
      </c>
      <c r="M473" t="n">
        <v>2</v>
      </c>
      <c r="N473" t="n">
        <v>4.6</v>
      </c>
      <c r="O473" t="n">
        <v>0</v>
      </c>
      <c r="P473" t="n">
        <v>55</v>
      </c>
      <c r="Q473" t="n">
        <v>29</v>
      </c>
      <c r="R473" t="n">
        <v>97</v>
      </c>
      <c r="S473" t="inlineStr">
        <is>
          <t>B0CKMTZM44</t>
        </is>
      </c>
      <c r="U473" t="n">
        <v>1.64905576</v>
      </c>
      <c r="V473" t="n">
        <v>7.54</v>
      </c>
      <c r="W473" t="inlineStr"/>
      <c r="X473" t="inlineStr">
        <is>
          <t>196477626185</t>
        </is>
      </c>
      <c r="Y473" t="inlineStr">
        <is>
          <t>NKA01</t>
        </is>
      </c>
      <c r="Z473" t="inlineStr">
        <is>
          <t>NKA01</t>
        </is>
      </c>
      <c r="AA473" t="inlineStr">
        <is>
          <t>Black/White/Black</t>
        </is>
      </c>
      <c r="AB473" t="inlineStr">
        <is>
          <t>0196477626185</t>
        </is>
      </c>
      <c r="AC473" t="inlineStr">
        <is>
          <t>no Amazon offer exists</t>
        </is>
      </c>
      <c r="AD473" t="inlineStr">
        <is>
          <t>adidas</t>
        </is>
      </c>
      <c r="AE473" t="inlineStr">
        <is>
          <t>8</t>
        </is>
      </c>
      <c r="AF473"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3" t="inlineStr">
        <is>
          <t>Description
adidas womens Breaknet Sleek</t>
        </is>
      </c>
    </row>
    <row r="474">
      <c r="A474" t="inlineStr">
        <is>
          <t>com</t>
        </is>
      </c>
      <c r="B474" t="inlineStr">
        <is>
          <t>B0CKMNRG16</t>
        </is>
      </c>
      <c r="C474" t="inlineStr">
        <is>
          <t>adidas Women's Breaknet Sleek Sneaker, Black/White/Black, 8.5</t>
        </is>
      </c>
      <c r="D474" t="n">
        <v>90</v>
      </c>
      <c r="E474" t="n">
        <v>90</v>
      </c>
      <c r="F474" t="n">
        <v>36594</v>
      </c>
      <c r="G474" t="n">
        <v>26808</v>
      </c>
      <c r="H474" t="n">
        <v>54.54</v>
      </c>
      <c r="I474" t="n">
        <v>56.7</v>
      </c>
      <c r="J474" t="n">
        <v>0.22</v>
      </c>
      <c r="K474" t="n">
        <v>0.58</v>
      </c>
      <c r="L474" t="n">
        <v>2</v>
      </c>
      <c r="M474" t="n">
        <v>1</v>
      </c>
      <c r="N474" t="n">
        <v>4.6</v>
      </c>
      <c r="O474" t="n">
        <v>2</v>
      </c>
      <c r="P474" t="n">
        <v>56</v>
      </c>
      <c r="Q474" t="n">
        <v>32</v>
      </c>
      <c r="R474" t="n">
        <v>81</v>
      </c>
      <c r="S474" t="inlineStr">
        <is>
          <t>B0CKMTZM44</t>
        </is>
      </c>
      <c r="U474" t="n">
        <v>1.653465</v>
      </c>
      <c r="V474" t="n">
        <v>7.62</v>
      </c>
      <c r="W474" t="inlineStr"/>
      <c r="X474" t="inlineStr">
        <is>
          <t>196477626239</t>
        </is>
      </c>
      <c r="Y474" t="inlineStr">
        <is>
          <t>NKA01</t>
        </is>
      </c>
      <c r="Z474" t="inlineStr">
        <is>
          <t>NKA01</t>
        </is>
      </c>
      <c r="AA474" t="inlineStr">
        <is>
          <t>Black/White/Black</t>
        </is>
      </c>
      <c r="AB474" t="inlineStr">
        <is>
          <t>0196477626239</t>
        </is>
      </c>
      <c r="AC474" t="inlineStr">
        <is>
          <t>no Amazon offer exists</t>
        </is>
      </c>
      <c r="AD474" t="inlineStr">
        <is>
          <t>adidas</t>
        </is>
      </c>
      <c r="AE474" t="inlineStr">
        <is>
          <t>8.5</t>
        </is>
      </c>
      <c r="AF474"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4" t="inlineStr">
        <is>
          <t>Description
adidas womens Breaknet Sleek</t>
        </is>
      </c>
    </row>
    <row r="475">
      <c r="A475" t="inlineStr">
        <is>
          <t>com</t>
        </is>
      </c>
      <c r="B475" t="inlineStr">
        <is>
          <t>B0CKMMWV63</t>
        </is>
      </c>
      <c r="C475" t="inlineStr">
        <is>
          <t>adidas Women's Breaknet Sleek Sneaker, Black/White/Black, 9</t>
        </is>
      </c>
      <c r="D475" t="n">
        <v>54.3</v>
      </c>
      <c r="E475" t="inlineStr"/>
      <c r="F475" t="n">
        <v>37577</v>
      </c>
      <c r="G475" t="n">
        <v>26985</v>
      </c>
      <c r="H475" t="n">
        <v>54.3</v>
      </c>
      <c r="I475" t="n">
        <v>56.44</v>
      </c>
      <c r="J475" t="n">
        <v>0.33</v>
      </c>
      <c r="K475" t="n">
        <v>0.5600000000000001</v>
      </c>
      <c r="L475" t="n">
        <v>1</v>
      </c>
      <c r="M475" t="n">
        <v>1</v>
      </c>
      <c r="N475" t="n">
        <v>4.6</v>
      </c>
      <c r="O475" t="n">
        <v>2</v>
      </c>
      <c r="P475" t="n">
        <v>55</v>
      </c>
      <c r="Q475" t="n">
        <v>22</v>
      </c>
      <c r="R475" t="n">
        <v>93</v>
      </c>
      <c r="S475" t="inlineStr">
        <is>
          <t>B0CKMTZM44</t>
        </is>
      </c>
      <c r="U475" t="n">
        <v>1.763696</v>
      </c>
      <c r="V475" t="n">
        <v>7.62</v>
      </c>
      <c r="W475" t="inlineStr"/>
      <c r="X475" t="inlineStr">
        <is>
          <t>196477626215</t>
        </is>
      </c>
      <c r="Y475" t="inlineStr">
        <is>
          <t>NKA01</t>
        </is>
      </c>
      <c r="Z475" t="inlineStr">
        <is>
          <t>NKA01</t>
        </is>
      </c>
      <c r="AA475" t="inlineStr">
        <is>
          <t>Black/White/Black</t>
        </is>
      </c>
      <c r="AB475" t="inlineStr">
        <is>
          <t>0196477626215</t>
        </is>
      </c>
      <c r="AC475" t="inlineStr">
        <is>
          <t>no Amazon offer exists</t>
        </is>
      </c>
      <c r="AD475" t="inlineStr">
        <is>
          <t>adidas</t>
        </is>
      </c>
      <c r="AE475" t="inlineStr">
        <is>
          <t>9</t>
        </is>
      </c>
      <c r="AF475"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5" t="inlineStr">
        <is>
          <t>Description
adidas womens Breaknet Sleek</t>
        </is>
      </c>
    </row>
    <row r="476">
      <c r="A476" t="inlineStr">
        <is>
          <t>com</t>
        </is>
      </c>
      <c r="B476" t="inlineStr">
        <is>
          <t>B0CKMKMNTL</t>
        </is>
      </c>
      <c r="C476" t="inlineStr">
        <is>
          <t>adidas Women's Breaknet Sleek Sneaker, Black/White/Black, 9.5</t>
        </is>
      </c>
      <c r="D476" t="n">
        <v>65</v>
      </c>
      <c r="E476" t="n">
        <v>65</v>
      </c>
      <c r="F476" t="n">
        <v>37577</v>
      </c>
      <c r="G476" t="n">
        <v>26707</v>
      </c>
      <c r="H476" t="n">
        <v>50.27</v>
      </c>
      <c r="I476" t="n">
        <v>54.07</v>
      </c>
      <c r="J476" t="n">
        <v>0.31</v>
      </c>
      <c r="K476" t="n">
        <v>0.48</v>
      </c>
      <c r="L476" t="n">
        <v>1</v>
      </c>
      <c r="M476" t="n">
        <v>2</v>
      </c>
      <c r="N476" t="n">
        <v>4.6</v>
      </c>
      <c r="O476" t="n">
        <v>0</v>
      </c>
      <c r="P476" t="n">
        <v>56</v>
      </c>
      <c r="Q476" t="n">
        <v>25</v>
      </c>
      <c r="R476" t="n">
        <v>90</v>
      </c>
      <c r="S476" t="inlineStr">
        <is>
          <t>B0CKMTZM44</t>
        </is>
      </c>
      <c r="U476" t="n">
        <v>1.7857422</v>
      </c>
      <c r="V476" t="n">
        <v>7.54</v>
      </c>
      <c r="W476" t="n">
        <v>9.75</v>
      </c>
      <c r="X476" t="inlineStr">
        <is>
          <t>196477626208</t>
        </is>
      </c>
      <c r="Y476" t="inlineStr">
        <is>
          <t>NKA01</t>
        </is>
      </c>
      <c r="Z476" t="inlineStr">
        <is>
          <t>NKA01</t>
        </is>
      </c>
      <c r="AA476" t="inlineStr">
        <is>
          <t>Black/White/Black</t>
        </is>
      </c>
      <c r="AB476" t="inlineStr">
        <is>
          <t>0196477626208</t>
        </is>
      </c>
      <c r="AC476" t="inlineStr">
        <is>
          <t>Amazon offer is back-ordered</t>
        </is>
      </c>
      <c r="AD476" t="inlineStr">
        <is>
          <t>adidas</t>
        </is>
      </c>
      <c r="AE476" t="inlineStr">
        <is>
          <t>9.5</t>
        </is>
      </c>
      <c r="AF476"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6" t="inlineStr">
        <is>
          <t>Description
adidas womens Breaknet Sleek</t>
        </is>
      </c>
    </row>
    <row r="477">
      <c r="A477" t="inlineStr">
        <is>
          <t>com</t>
        </is>
      </c>
      <c r="B477" t="inlineStr">
        <is>
          <t>B0CKMP4SVT</t>
        </is>
      </c>
      <c r="C477" t="inlineStr">
        <is>
          <t>adidas Women's Breaknet Sleek Sneaker, Black/White/Black, 10</t>
        </is>
      </c>
      <c r="D477" t="n">
        <v>65</v>
      </c>
      <c r="E477" t="n">
        <v>65</v>
      </c>
      <c r="F477" t="n">
        <v>33792</v>
      </c>
      <c r="G477" t="n">
        <v>26842</v>
      </c>
      <c r="H477" t="n">
        <v>59.82</v>
      </c>
      <c r="I477" t="n">
        <v>59.9</v>
      </c>
      <c r="J477" t="n">
        <v>0</v>
      </c>
      <c r="K477" t="n">
        <v>0.12</v>
      </c>
      <c r="L477" t="n">
        <v>2</v>
      </c>
      <c r="M477" t="n">
        <v>1</v>
      </c>
      <c r="N477" t="n">
        <v>4.6</v>
      </c>
      <c r="O477" t="n">
        <v>1</v>
      </c>
      <c r="P477" t="n">
        <v>56</v>
      </c>
      <c r="Q477" t="n">
        <v>43</v>
      </c>
      <c r="R477" t="n">
        <v>109</v>
      </c>
      <c r="S477" t="inlineStr">
        <is>
          <t>B0CKMTZM44</t>
        </is>
      </c>
      <c r="U477" t="n">
        <v>1.7857422</v>
      </c>
      <c r="V477" t="n">
        <v>7.62</v>
      </c>
      <c r="W477" t="n">
        <v>9.75</v>
      </c>
      <c r="X477" t="inlineStr">
        <is>
          <t>196477626222</t>
        </is>
      </c>
      <c r="Y477" t="inlineStr">
        <is>
          <t>NKA01</t>
        </is>
      </c>
      <c r="Z477" t="inlineStr">
        <is>
          <t>NKA01</t>
        </is>
      </c>
      <c r="AA477" t="inlineStr">
        <is>
          <t>Black/White/Black</t>
        </is>
      </c>
      <c r="AB477" t="inlineStr">
        <is>
          <t>0196477626222</t>
        </is>
      </c>
      <c r="AC477" t="inlineStr">
        <is>
          <t>Amazon offer is back-ordered</t>
        </is>
      </c>
      <c r="AD477" t="inlineStr">
        <is>
          <t>adidas</t>
        </is>
      </c>
      <c r="AE477" t="inlineStr">
        <is>
          <t>10</t>
        </is>
      </c>
      <c r="AF477"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7" t="inlineStr">
        <is>
          <t>Description
adidas womens Breaknet Sleek</t>
        </is>
      </c>
    </row>
    <row r="478">
      <c r="A478" t="inlineStr">
        <is>
          <t>com</t>
        </is>
      </c>
      <c r="B478" t="inlineStr">
        <is>
          <t>B0CKMMS26N</t>
        </is>
      </c>
      <c r="C478" t="inlineStr">
        <is>
          <t>adidas Women's Breaknet Sleek Sneaker, Black/White/Black, 11</t>
        </is>
      </c>
      <c r="D478" t="n">
        <v>46.62</v>
      </c>
      <c r="E478" t="n">
        <v>46.62</v>
      </c>
      <c r="F478" t="n">
        <v>37577</v>
      </c>
      <c r="G478" t="n">
        <v>26348</v>
      </c>
      <c r="H478" t="n">
        <v>48.49</v>
      </c>
      <c r="I478" t="n">
        <v>52.92</v>
      </c>
      <c r="J478" t="n">
        <v>0.11</v>
      </c>
      <c r="K478" t="n">
        <v>0.11</v>
      </c>
      <c r="L478" t="n">
        <v>1</v>
      </c>
      <c r="N478" t="n">
        <v>4.6</v>
      </c>
      <c r="O478" t="n">
        <v>0</v>
      </c>
      <c r="P478" t="n">
        <v>55</v>
      </c>
      <c r="Q478" t="n">
        <v>24</v>
      </c>
      <c r="R478" t="n">
        <v>86</v>
      </c>
      <c r="S478" t="inlineStr">
        <is>
          <t>B0CKMTZM44</t>
        </is>
      </c>
      <c r="U478" t="n">
        <v>2.03045502</v>
      </c>
      <c r="V478" t="n">
        <v>7.62</v>
      </c>
      <c r="W478" t="n">
        <v>6.99</v>
      </c>
      <c r="X478" t="inlineStr">
        <is>
          <t>196477626123</t>
        </is>
      </c>
      <c r="Y478" t="inlineStr">
        <is>
          <t>NKA01</t>
        </is>
      </c>
      <c r="Z478" t="inlineStr">
        <is>
          <t>NKA01</t>
        </is>
      </c>
      <c r="AA478" t="inlineStr">
        <is>
          <t>Black/White/Black</t>
        </is>
      </c>
      <c r="AB478" t="inlineStr">
        <is>
          <t>0196477626123</t>
        </is>
      </c>
      <c r="AC478" t="inlineStr">
        <is>
          <t>Amazon offer is back-ordered</t>
        </is>
      </c>
      <c r="AD478" t="inlineStr">
        <is>
          <t>adidas</t>
        </is>
      </c>
      <c r="AE478" t="inlineStr">
        <is>
          <t>11</t>
        </is>
      </c>
      <c r="AF478" t="inlineStr">
        <is>
          <t>https://m.media-amazon.com/images/I/61c2VNRWHuL.jpg;https://m.media-amazon.com/images/I/71FhlPEBUAL.jpg;https://m.media-amazon.com/images/I/71RylPyaUNL.jpg;https://m.media-amazon.com/images/I/81jgMwxkCpL.jpg;https://m.media-amazon.com/images/I/71jBS-I-GoL.jpg;https://m.media-amazon.com/images/I/71MbpOjKD-L.jpg;https://m.media-amazon.com/images/I/71ok17MQGhL.jpg</t>
        </is>
      </c>
      <c r="AG478" t="inlineStr">
        <is>
          <t>Description
adidas womens Breaknet Sleek</t>
        </is>
      </c>
    </row>
    <row r="479">
      <c r="A479" t="inlineStr">
        <is>
          <t>com</t>
        </is>
      </c>
      <c r="B479" t="inlineStr">
        <is>
          <t>B0CPRGTZRJ</t>
        </is>
      </c>
      <c r="C479" t="inlineStr">
        <is>
          <t>Adidas Breaknet Sleek Shoes</t>
        </is>
      </c>
      <c r="D479" t="n">
        <v>65</v>
      </c>
      <c r="E479" t="n">
        <v>65</v>
      </c>
      <c r="F479" t="n">
        <v>699084</v>
      </c>
      <c r="G479" t="n">
        <v>989160</v>
      </c>
      <c r="H479" t="n">
        <v>65</v>
      </c>
      <c r="I479" t="n">
        <v>65</v>
      </c>
      <c r="J479" t="n">
        <v>0</v>
      </c>
      <c r="K479" t="n">
        <v>1</v>
      </c>
      <c r="L479" t="n">
        <v>1</v>
      </c>
      <c r="M479" t="n">
        <v>1</v>
      </c>
      <c r="N479" t="n">
        <v>3.7</v>
      </c>
      <c r="O479" t="n">
        <v>0</v>
      </c>
      <c r="P479" t="n">
        <v>3</v>
      </c>
      <c r="Q479" t="n">
        <v>1</v>
      </c>
      <c r="R479" t="n">
        <v>1</v>
      </c>
      <c r="S479" t="inlineStr">
        <is>
          <t>B0D61T1PJB</t>
        </is>
      </c>
      <c r="U479" t="n">
        <v>1.433003</v>
      </c>
      <c r="V479" t="n">
        <v>6.61</v>
      </c>
      <c r="W479" t="n">
        <v>9.75</v>
      </c>
      <c r="X479" t="inlineStr">
        <is>
          <t>196477610757</t>
        </is>
      </c>
      <c r="Y479" t="inlineStr">
        <is>
          <t>IH5470</t>
        </is>
      </c>
      <c r="Z479" t="inlineStr">
        <is>
          <t>IH5470</t>
        </is>
      </c>
      <c r="AA479" t="inlineStr">
        <is>
          <t>Preloved Scarlet/Core White/Cloud Wh</t>
        </is>
      </c>
      <c r="AB479" t="inlineStr">
        <is>
          <t>0196477610757</t>
        </is>
      </c>
      <c r="AC479" t="inlineStr">
        <is>
          <t>no Amazon offer exists</t>
        </is>
      </c>
      <c r="AD479" t="inlineStr">
        <is>
          <t>Adidas</t>
        </is>
      </c>
      <c r="AE479" t="inlineStr">
        <is>
          <t>6</t>
        </is>
      </c>
      <c r="AF479"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79"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0">
      <c r="A480" t="inlineStr">
        <is>
          <t>com</t>
        </is>
      </c>
      <c r="B480" t="inlineStr">
        <is>
          <t>B0CPRQN27M</t>
        </is>
      </c>
      <c r="C480" t="inlineStr">
        <is>
          <t>Adidas Breaknet Sleek Shoes</t>
        </is>
      </c>
      <c r="D480" t="n">
        <v>65</v>
      </c>
      <c r="E480" t="n">
        <v>65</v>
      </c>
      <c r="F480" t="n">
        <v>699084</v>
      </c>
      <c r="G480" t="n">
        <v>988957</v>
      </c>
      <c r="H480" t="n">
        <v>65</v>
      </c>
      <c r="I480" t="n">
        <v>65</v>
      </c>
      <c r="J480" t="n">
        <v>0</v>
      </c>
      <c r="K480" t="n">
        <v>1</v>
      </c>
      <c r="L480" t="n">
        <v>1</v>
      </c>
      <c r="M480" t="n">
        <v>1</v>
      </c>
      <c r="N480" t="n">
        <v>3.7</v>
      </c>
      <c r="O480" t="n">
        <v>0</v>
      </c>
      <c r="P480" t="n">
        <v>3</v>
      </c>
      <c r="Q480" t="n">
        <v>1</v>
      </c>
      <c r="R480" t="n">
        <v>1</v>
      </c>
      <c r="S480" t="inlineStr">
        <is>
          <t>B0D61T1PJB</t>
        </is>
      </c>
      <c r="U480" t="n">
        <v>1.34040896</v>
      </c>
      <c r="V480" t="n">
        <v>6.61</v>
      </c>
      <c r="W480" t="n">
        <v>9.75</v>
      </c>
      <c r="X480" t="inlineStr">
        <is>
          <t>196477610665</t>
        </is>
      </c>
      <c r="Y480" t="inlineStr">
        <is>
          <t>IH5470</t>
        </is>
      </c>
      <c r="Z480" t="inlineStr">
        <is>
          <t>IH5470</t>
        </is>
      </c>
      <c r="AA480" t="inlineStr">
        <is>
          <t>Preloved Scarlet/Core White/Cloud Wh</t>
        </is>
      </c>
      <c r="AB480" t="inlineStr">
        <is>
          <t>0196477610665</t>
        </is>
      </c>
      <c r="AC480" t="inlineStr">
        <is>
          <t>no Amazon offer exists</t>
        </is>
      </c>
      <c r="AD480" t="inlineStr">
        <is>
          <t>Adidas</t>
        </is>
      </c>
      <c r="AE480" t="inlineStr">
        <is>
          <t>6.5</t>
        </is>
      </c>
      <c r="AF480"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0"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1">
      <c r="A481" t="inlineStr">
        <is>
          <t>com</t>
        </is>
      </c>
      <c r="B481" t="inlineStr">
        <is>
          <t>B0CPRPMFQM</t>
        </is>
      </c>
      <c r="C481" t="inlineStr">
        <is>
          <t>Adidas Breaknet Sleek Shoes</t>
        </is>
      </c>
      <c r="D481" t="n">
        <v>65</v>
      </c>
      <c r="E481" t="n">
        <v>65</v>
      </c>
      <c r="F481" t="n">
        <v>675461</v>
      </c>
      <c r="G481" t="n">
        <v>999162</v>
      </c>
      <c r="H481" t="n">
        <v>65</v>
      </c>
      <c r="I481" t="n">
        <v>65</v>
      </c>
      <c r="J481" t="n">
        <v>0</v>
      </c>
      <c r="K481" t="n">
        <v>1</v>
      </c>
      <c r="L481" t="n">
        <v>1</v>
      </c>
      <c r="M481" t="n">
        <v>1</v>
      </c>
      <c r="N481" t="n">
        <v>3.7</v>
      </c>
      <c r="O481" t="n">
        <v>0</v>
      </c>
      <c r="P481" t="n">
        <v>3</v>
      </c>
      <c r="Q481" t="n">
        <v>1</v>
      </c>
      <c r="R481" t="n">
        <v>1</v>
      </c>
      <c r="S481" t="inlineStr">
        <is>
          <t>B0D61T1PJB</t>
        </is>
      </c>
      <c r="U481" t="n">
        <v>1.4550492</v>
      </c>
      <c r="V481" t="n">
        <v>6.61</v>
      </c>
      <c r="W481" t="n">
        <v>9.75</v>
      </c>
      <c r="X481" t="inlineStr">
        <is>
          <t>196477610740</t>
        </is>
      </c>
      <c r="Y481" t="inlineStr">
        <is>
          <t>IH5470</t>
        </is>
      </c>
      <c r="Z481" t="inlineStr">
        <is>
          <t>IH5470</t>
        </is>
      </c>
      <c r="AA481" t="inlineStr">
        <is>
          <t>Preloved Scarlet/Core White/Cloud Wh</t>
        </is>
      </c>
      <c r="AB481" t="inlineStr">
        <is>
          <t>0196477610740</t>
        </is>
      </c>
      <c r="AC481" t="inlineStr">
        <is>
          <t>no Amazon offer exists</t>
        </is>
      </c>
      <c r="AD481" t="inlineStr">
        <is>
          <t>Adidas</t>
        </is>
      </c>
      <c r="AE481" t="inlineStr">
        <is>
          <t>7</t>
        </is>
      </c>
      <c r="AF481"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1"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2">
      <c r="A482" t="inlineStr">
        <is>
          <t>com</t>
        </is>
      </c>
      <c r="B482" t="inlineStr">
        <is>
          <t>B0CPRNBW43</t>
        </is>
      </c>
      <c r="C482" t="inlineStr">
        <is>
          <t>Adidas Breaknet Sleek Shoes</t>
        </is>
      </c>
      <c r="D482" t="n">
        <v>65</v>
      </c>
      <c r="E482" t="n">
        <v>65</v>
      </c>
      <c r="F482" t="n">
        <v>699084</v>
      </c>
      <c r="G482" t="n">
        <v>988957</v>
      </c>
      <c r="H482" t="n">
        <v>65</v>
      </c>
      <c r="I482" t="n">
        <v>65</v>
      </c>
      <c r="J482" t="n">
        <v>0</v>
      </c>
      <c r="K482" t="n">
        <v>1</v>
      </c>
      <c r="L482" t="n">
        <v>1</v>
      </c>
      <c r="M482" t="n">
        <v>1</v>
      </c>
      <c r="N482" t="n">
        <v>3.7</v>
      </c>
      <c r="O482" t="n">
        <v>0</v>
      </c>
      <c r="P482" t="n">
        <v>3</v>
      </c>
      <c r="Q482" t="n">
        <v>1</v>
      </c>
      <c r="R482" t="n">
        <v>1</v>
      </c>
      <c r="S482" t="inlineStr">
        <is>
          <t>B0D61T1PJB</t>
        </is>
      </c>
      <c r="U482" t="n">
        <v>1.543234</v>
      </c>
      <c r="V482" t="n">
        <v>6.61</v>
      </c>
      <c r="W482" t="n">
        <v>9.75</v>
      </c>
      <c r="X482" t="inlineStr">
        <is>
          <t>196477607047</t>
        </is>
      </c>
      <c r="Y482" t="inlineStr">
        <is>
          <t>IH5470</t>
        </is>
      </c>
      <c r="Z482" t="inlineStr">
        <is>
          <t>IH5470</t>
        </is>
      </c>
      <c r="AA482" t="inlineStr">
        <is>
          <t>Preloved Scarlet/Core White/Cloud Wh</t>
        </is>
      </c>
      <c r="AB482" t="inlineStr">
        <is>
          <t>0196477607047</t>
        </is>
      </c>
      <c r="AC482" t="inlineStr">
        <is>
          <t>no Amazon offer exists</t>
        </is>
      </c>
      <c r="AD482" t="inlineStr">
        <is>
          <t>Adidas</t>
        </is>
      </c>
      <c r="AE482" t="inlineStr">
        <is>
          <t>7.5</t>
        </is>
      </c>
      <c r="AF482"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2"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3">
      <c r="A483" t="inlineStr">
        <is>
          <t>com</t>
        </is>
      </c>
      <c r="B483" t="inlineStr">
        <is>
          <t>B0CPRP89R7</t>
        </is>
      </c>
      <c r="C483" t="inlineStr">
        <is>
          <t>Adidas Breaknet Sleek Shoes</t>
        </is>
      </c>
      <c r="D483" t="n">
        <v>65</v>
      </c>
      <c r="E483" t="n">
        <v>65</v>
      </c>
      <c r="F483" t="n">
        <v>699084</v>
      </c>
      <c r="G483" t="n">
        <v>989160</v>
      </c>
      <c r="H483" t="n">
        <v>65</v>
      </c>
      <c r="I483" t="n">
        <v>65</v>
      </c>
      <c r="J483" t="n">
        <v>0</v>
      </c>
      <c r="K483" t="n">
        <v>1</v>
      </c>
      <c r="L483" t="n">
        <v>1</v>
      </c>
      <c r="M483" t="n">
        <v>1</v>
      </c>
      <c r="N483" t="n">
        <v>3.7</v>
      </c>
      <c r="O483" t="n">
        <v>0</v>
      </c>
      <c r="P483" t="n">
        <v>3</v>
      </c>
      <c r="Q483" t="n">
        <v>1</v>
      </c>
      <c r="R483" t="n">
        <v>1</v>
      </c>
      <c r="S483" t="inlineStr">
        <is>
          <t>B0D61T1PJB</t>
        </is>
      </c>
      <c r="U483" t="n">
        <v>1.5873264</v>
      </c>
      <c r="V483" t="n">
        <v>7.54</v>
      </c>
      <c r="W483" t="n">
        <v>9.75</v>
      </c>
      <c r="X483" t="inlineStr">
        <is>
          <t>196477610726</t>
        </is>
      </c>
      <c r="Y483" t="inlineStr">
        <is>
          <t>IH5470</t>
        </is>
      </c>
      <c r="Z483" t="inlineStr">
        <is>
          <t>IH5470</t>
        </is>
      </c>
      <c r="AA483" t="inlineStr">
        <is>
          <t>Preloved Scarlet/Core White/Cloud Wh</t>
        </is>
      </c>
      <c r="AB483" t="inlineStr">
        <is>
          <t>0196477610726</t>
        </is>
      </c>
      <c r="AC483" t="inlineStr">
        <is>
          <t>no Amazon offer exists</t>
        </is>
      </c>
      <c r="AD483" t="inlineStr">
        <is>
          <t>Adidas</t>
        </is>
      </c>
      <c r="AE483" t="inlineStr">
        <is>
          <t>8</t>
        </is>
      </c>
      <c r="AF483"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3"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4">
      <c r="A484" t="inlineStr">
        <is>
          <t>com</t>
        </is>
      </c>
      <c r="B484" t="inlineStr">
        <is>
          <t>B0CPRYM5SX</t>
        </is>
      </c>
      <c r="C484" t="inlineStr">
        <is>
          <t>Adidas Breaknet Sleek Shoes</t>
        </is>
      </c>
      <c r="D484" t="n">
        <v>65</v>
      </c>
      <c r="E484" t="n">
        <v>65</v>
      </c>
      <c r="F484" t="n">
        <v>699084</v>
      </c>
      <c r="G484" t="n">
        <v>988595</v>
      </c>
      <c r="H484" t="n">
        <v>65</v>
      </c>
      <c r="I484" t="n">
        <v>65</v>
      </c>
      <c r="J484" t="n">
        <v>0</v>
      </c>
      <c r="K484" t="n">
        <v>1</v>
      </c>
      <c r="L484" t="n">
        <v>1</v>
      </c>
      <c r="M484" t="n">
        <v>1</v>
      </c>
      <c r="N484" t="n">
        <v>3.7</v>
      </c>
      <c r="O484" t="n">
        <v>0</v>
      </c>
      <c r="P484" t="n">
        <v>3</v>
      </c>
      <c r="Q484" t="n">
        <v>1</v>
      </c>
      <c r="R484" t="n">
        <v>1</v>
      </c>
      <c r="S484" t="inlineStr">
        <is>
          <t>B0D61T1PJB</t>
        </is>
      </c>
      <c r="U484" t="n">
        <v>1.6314188</v>
      </c>
      <c r="V484" t="n">
        <v>7.62</v>
      </c>
      <c r="W484" t="n">
        <v>9.75</v>
      </c>
      <c r="X484" t="inlineStr">
        <is>
          <t>196477610719</t>
        </is>
      </c>
      <c r="Y484" t="inlineStr">
        <is>
          <t>IH5470</t>
        </is>
      </c>
      <c r="Z484" t="inlineStr">
        <is>
          <t>IH5470</t>
        </is>
      </c>
      <c r="AA484" t="inlineStr">
        <is>
          <t>Preloved Scarlet/Core White/Cloud Wh</t>
        </is>
      </c>
      <c r="AB484" t="inlineStr">
        <is>
          <t>0196477610719</t>
        </is>
      </c>
      <c r="AC484" t="inlineStr">
        <is>
          <t>no Amazon offer exists</t>
        </is>
      </c>
      <c r="AD484" t="inlineStr">
        <is>
          <t>Adidas</t>
        </is>
      </c>
      <c r="AE484" t="inlineStr">
        <is>
          <t>8.5</t>
        </is>
      </c>
      <c r="AF484"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4"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5">
      <c r="A485" t="inlineStr">
        <is>
          <t>com</t>
        </is>
      </c>
      <c r="B485" t="inlineStr">
        <is>
          <t>B0CPR9X2SK</t>
        </is>
      </c>
      <c r="C485" t="inlineStr">
        <is>
          <t>Adidas Breaknet Sleek Shoes</t>
        </is>
      </c>
      <c r="D485" t="n">
        <v>65</v>
      </c>
      <c r="E485" t="n">
        <v>65</v>
      </c>
      <c r="F485" t="n">
        <v>740210</v>
      </c>
      <c r="G485" t="n">
        <v>821421</v>
      </c>
      <c r="H485" t="n">
        <v>65</v>
      </c>
      <c r="I485" t="n">
        <v>65</v>
      </c>
      <c r="J485" t="n">
        <v>0</v>
      </c>
      <c r="K485" t="n">
        <v>1</v>
      </c>
      <c r="L485" t="n">
        <v>1</v>
      </c>
      <c r="M485" t="n">
        <v>1</v>
      </c>
      <c r="N485" t="n">
        <v>3.7</v>
      </c>
      <c r="O485" t="n">
        <v>0</v>
      </c>
      <c r="P485" t="n">
        <v>3</v>
      </c>
      <c r="Q485" t="n">
        <v>1</v>
      </c>
      <c r="R485" t="n">
        <v>1</v>
      </c>
      <c r="S485" t="inlineStr">
        <is>
          <t>B0D61T1PJB</t>
        </is>
      </c>
      <c r="U485" t="n">
        <v>1.6755112</v>
      </c>
      <c r="V485" t="n">
        <v>7.7</v>
      </c>
      <c r="W485" t="n">
        <v>9.75</v>
      </c>
      <c r="X485" t="inlineStr">
        <is>
          <t>196477607054</t>
        </is>
      </c>
      <c r="Y485" t="inlineStr">
        <is>
          <t>IH5470</t>
        </is>
      </c>
      <c r="Z485" t="inlineStr">
        <is>
          <t>IH5470</t>
        </is>
      </c>
      <c r="AA485" t="inlineStr">
        <is>
          <t>Preloved Scarlet/Core White/Cloud Wh</t>
        </is>
      </c>
      <c r="AB485" t="inlineStr">
        <is>
          <t>0196477607054</t>
        </is>
      </c>
      <c r="AC485" t="inlineStr">
        <is>
          <t>no Amazon offer exists</t>
        </is>
      </c>
      <c r="AD485" t="inlineStr">
        <is>
          <t>Adidas</t>
        </is>
      </c>
      <c r="AE485" t="inlineStr">
        <is>
          <t>9</t>
        </is>
      </c>
      <c r="AF485"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5"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6">
      <c r="A486" t="inlineStr">
        <is>
          <t>com</t>
        </is>
      </c>
      <c r="B486" t="inlineStr">
        <is>
          <t>B0CPRPVYYH</t>
        </is>
      </c>
      <c r="C486" t="inlineStr">
        <is>
          <t>Adidas Breaknet Sleek Shoes</t>
        </is>
      </c>
      <c r="D486" t="n">
        <v>65</v>
      </c>
      <c r="E486" t="n">
        <v>65</v>
      </c>
      <c r="F486" t="n">
        <v>740210</v>
      </c>
      <c r="G486" t="n">
        <v>970744</v>
      </c>
      <c r="H486" t="n">
        <v>65</v>
      </c>
      <c r="I486" t="n">
        <v>65</v>
      </c>
      <c r="J486" t="n">
        <v>0</v>
      </c>
      <c r="K486" t="n">
        <v>1</v>
      </c>
      <c r="L486" t="n">
        <v>1</v>
      </c>
      <c r="M486" t="n">
        <v>1</v>
      </c>
      <c r="N486" t="n">
        <v>3.7</v>
      </c>
      <c r="O486" t="n">
        <v>0</v>
      </c>
      <c r="P486" t="n">
        <v>3</v>
      </c>
      <c r="Q486" t="n">
        <v>0</v>
      </c>
      <c r="R486" t="n">
        <v>0</v>
      </c>
      <c r="S486" t="inlineStr">
        <is>
          <t>B0D61T1PJB</t>
        </is>
      </c>
      <c r="U486" t="n">
        <v>1.7857422</v>
      </c>
      <c r="V486" t="n">
        <v>7.54</v>
      </c>
      <c r="W486" t="n">
        <v>9.75</v>
      </c>
      <c r="X486" t="inlineStr">
        <is>
          <t>196477610702</t>
        </is>
      </c>
      <c r="Y486" t="inlineStr">
        <is>
          <t>IH5470</t>
        </is>
      </c>
      <c r="Z486" t="inlineStr">
        <is>
          <t>IH5470</t>
        </is>
      </c>
      <c r="AA486" t="inlineStr">
        <is>
          <t>Preloved Scarlet/Core White/Cloud Wh</t>
        </is>
      </c>
      <c r="AB486" t="inlineStr">
        <is>
          <t>0196477610702</t>
        </is>
      </c>
      <c r="AC486" t="inlineStr">
        <is>
          <t>no Amazon offer exists</t>
        </is>
      </c>
      <c r="AD486" t="inlineStr">
        <is>
          <t>Adidas</t>
        </is>
      </c>
      <c r="AE486" t="inlineStr">
        <is>
          <t>9.5</t>
        </is>
      </c>
      <c r="AF486"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6"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7">
      <c r="A487" t="inlineStr">
        <is>
          <t>com</t>
        </is>
      </c>
      <c r="B487" t="inlineStr">
        <is>
          <t>B0CPRVK85S</t>
        </is>
      </c>
      <c r="C487" t="inlineStr">
        <is>
          <t>Adidas Breaknet Sleek Shoes</t>
        </is>
      </c>
      <c r="D487" t="n">
        <v>65</v>
      </c>
      <c r="E487" t="n">
        <v>65</v>
      </c>
      <c r="F487" t="n">
        <v>699084</v>
      </c>
      <c r="G487" t="n">
        <v>989160</v>
      </c>
      <c r="H487" t="n">
        <v>65</v>
      </c>
      <c r="I487" t="n">
        <v>65</v>
      </c>
      <c r="J487" t="n">
        <v>0</v>
      </c>
      <c r="K487" t="n">
        <v>1</v>
      </c>
      <c r="L487" t="n">
        <v>1</v>
      </c>
      <c r="M487" t="n">
        <v>1</v>
      </c>
      <c r="N487" t="n">
        <v>3.7</v>
      </c>
      <c r="O487" t="n">
        <v>0</v>
      </c>
      <c r="P487" t="n">
        <v>3</v>
      </c>
      <c r="Q487" t="n">
        <v>1</v>
      </c>
      <c r="R487" t="n">
        <v>1</v>
      </c>
      <c r="S487" t="inlineStr">
        <is>
          <t>B0D61T1PJB</t>
        </is>
      </c>
      <c r="U487" t="n">
        <v>1.7196036</v>
      </c>
      <c r="V487" t="n">
        <v>7.62</v>
      </c>
      <c r="W487" t="n">
        <v>9.75</v>
      </c>
      <c r="X487" t="inlineStr">
        <is>
          <t>196477610689</t>
        </is>
      </c>
      <c r="Y487" t="inlineStr">
        <is>
          <t>IH5470</t>
        </is>
      </c>
      <c r="Z487" t="inlineStr">
        <is>
          <t>IH5470</t>
        </is>
      </c>
      <c r="AA487" t="inlineStr">
        <is>
          <t>Preloved Scarlet/Core White/Cloud Wh</t>
        </is>
      </c>
      <c r="AB487" t="inlineStr">
        <is>
          <t>0196477610689</t>
        </is>
      </c>
      <c r="AC487" t="inlineStr">
        <is>
          <t>no Amazon offer exists</t>
        </is>
      </c>
      <c r="AD487" t="inlineStr">
        <is>
          <t>Adidas</t>
        </is>
      </c>
      <c r="AE487" t="inlineStr">
        <is>
          <t>10</t>
        </is>
      </c>
      <c r="AF487" t="inlineStr">
        <is>
          <t>https://m.media-amazon.com/images/I/513AU0jt2IL.jpg;https://m.media-amazon.com/images/I/41xOMDMGYdL.jpg;https://m.media-amazon.com/images/I/41vmtmI1jTL.jpg;https://m.media-amazon.com/images/I/41aigDcwM8L.jpg;https://m.media-amazon.com/images/I/41sfD8G1cYL.jpg;https://m.media-amazon.com/images/I/51wtDx3zYcL.jpg;https://m.media-amazon.com/images/I/41lMMtU-gLL.jpg;https://m.media-amazon.com/images/I/61xL76VZMBL.jpg;https://m.media-amazon.com/images/I/51f4USYfuwL.jpg</t>
        </is>
      </c>
      <c r="AG487" t="inlineStr">
        <is>
          <t>Description
Elevate your everyday style. The sleek, contoured shape and sporty details make these adidas sneakers a must-have addition to your collection. The faux leather upper is durable and smooth while the classic rubber outsole keeps you grounded. Perforated details allow air to circulate around the foot, ensuring you stay comfortable even on the busiest days. Pair these kicks with everything from dresses to jeans for a look that's polished yet playful.</t>
        </is>
      </c>
    </row>
    <row r="488">
      <c r="A488" t="inlineStr">
        <is>
          <t>com</t>
        </is>
      </c>
      <c r="B488" t="inlineStr">
        <is>
          <t>B0CRCXLMC3</t>
        </is>
      </c>
      <c r="C488" t="inlineStr">
        <is>
          <t>adidas Women's Ultimashow 2.0 Sneaker, Black/Carbon/Black, 5</t>
        </is>
      </c>
      <c r="D488" t="inlineStr"/>
      <c r="E488" t="inlineStr"/>
      <c r="F488" t="n">
        <v>2000078</v>
      </c>
      <c r="G488" t="n">
        <v>1750578</v>
      </c>
      <c r="H488" t="inlineStr"/>
      <c r="I488" t="inlineStr"/>
      <c r="J488" t="n">
        <v>1</v>
      </c>
      <c r="K488" t="n">
        <v>1</v>
      </c>
      <c r="O488" t="n">
        <v>0</v>
      </c>
      <c r="Q488" t="n">
        <v>1</v>
      </c>
      <c r="R488" t="n">
        <v>1</v>
      </c>
      <c r="S488" t="inlineStr">
        <is>
          <t>B0CRCX2XRD</t>
        </is>
      </c>
      <c r="U488" t="n">
        <v>1.00089748</v>
      </c>
      <c r="V488" t="n">
        <v>8.1</v>
      </c>
      <c r="W488" t="inlineStr"/>
      <c r="X488" t="inlineStr">
        <is>
          <t>197607762728</t>
        </is>
      </c>
      <c r="Y488" t="inlineStr">
        <is>
          <t>NLG38</t>
        </is>
      </c>
      <c r="Z488" t="inlineStr">
        <is>
          <t>NLG38</t>
        </is>
      </c>
      <c r="AA488" t="inlineStr">
        <is>
          <t>Black/Carbon/Black</t>
        </is>
      </c>
      <c r="AB488" t="inlineStr">
        <is>
          <t>0197607762728</t>
        </is>
      </c>
      <c r="AC488" t="inlineStr">
        <is>
          <t>no Amazon offer exists</t>
        </is>
      </c>
      <c r="AD488" t="inlineStr">
        <is>
          <t>adidas</t>
        </is>
      </c>
      <c r="AE488" t="inlineStr">
        <is>
          <t>5</t>
        </is>
      </c>
      <c r="AF488"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88" t="inlineStr"/>
    </row>
    <row r="489">
      <c r="A489" t="inlineStr">
        <is>
          <t>com</t>
        </is>
      </c>
      <c r="B489" t="inlineStr">
        <is>
          <t>B0CRCY94PC</t>
        </is>
      </c>
      <c r="C489" t="inlineStr">
        <is>
          <t>adidas Women's Ultimashow 2.0 Sneaker, Black/Carbon/Black, 5.5</t>
        </is>
      </c>
      <c r="D489" t="n">
        <v>53.34</v>
      </c>
      <c r="E489" t="n">
        <v>53.34</v>
      </c>
      <c r="F489" t="n">
        <v>2000078</v>
      </c>
      <c r="G489" t="n">
        <v>1344609</v>
      </c>
      <c r="H489" t="inlineStr"/>
      <c r="I489" t="inlineStr"/>
      <c r="J489" t="n">
        <v>1</v>
      </c>
      <c r="K489" t="n">
        <v>1</v>
      </c>
      <c r="O489" t="n">
        <v>0</v>
      </c>
      <c r="Q489" t="n">
        <v>1</v>
      </c>
      <c r="R489" t="n">
        <v>2</v>
      </c>
      <c r="S489" t="inlineStr">
        <is>
          <t>B0CRCX2XRD</t>
        </is>
      </c>
      <c r="U489" t="n">
        <v>1.00089748</v>
      </c>
      <c r="V489" t="n">
        <v>8.1</v>
      </c>
      <c r="W489" t="n">
        <v>8</v>
      </c>
      <c r="X489" t="inlineStr">
        <is>
          <t>197607762797</t>
        </is>
      </c>
      <c r="Y489" t="inlineStr">
        <is>
          <t>IE8902_540</t>
        </is>
      </c>
      <c r="Z489" t="inlineStr">
        <is>
          <t>NLG38</t>
        </is>
      </c>
      <c r="AA489" t="inlineStr">
        <is>
          <t>Black/Carbon/Black</t>
        </is>
      </c>
      <c r="AB489" t="inlineStr">
        <is>
          <t>0197607762797</t>
        </is>
      </c>
      <c r="AC489" t="inlineStr">
        <is>
          <t>Amazon offer is in stock and shippable</t>
        </is>
      </c>
      <c r="AD489" t="inlineStr">
        <is>
          <t>adidas</t>
        </is>
      </c>
      <c r="AE489" t="inlineStr">
        <is>
          <t>5.5</t>
        </is>
      </c>
      <c r="AF489"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89" t="inlineStr">
        <is>
          <t>Description
adidas Women's Ultimashow 2.0</t>
        </is>
      </c>
    </row>
    <row r="490">
      <c r="A490" t="inlineStr">
        <is>
          <t>com</t>
        </is>
      </c>
      <c r="B490" t="inlineStr">
        <is>
          <t>B0CRDDW3WQ</t>
        </is>
      </c>
      <c r="C490" t="inlineStr">
        <is>
          <t>adidas Women's Ultimashow 2.0 Sneaker, Black/Carbon/Black, 6</t>
        </is>
      </c>
      <c r="D490" t="inlineStr"/>
      <c r="E490" t="inlineStr"/>
      <c r="F490" t="n">
        <v>2000078</v>
      </c>
      <c r="G490" t="n">
        <v>1385007</v>
      </c>
      <c r="H490" t="inlineStr"/>
      <c r="I490" t="inlineStr"/>
      <c r="J490" t="n">
        <v>1</v>
      </c>
      <c r="K490" t="n">
        <v>1</v>
      </c>
      <c r="O490" t="n">
        <v>0</v>
      </c>
      <c r="Q490" t="n">
        <v>1</v>
      </c>
      <c r="R490" t="n">
        <v>1</v>
      </c>
      <c r="S490" t="inlineStr">
        <is>
          <t>B0CRCX2XRD</t>
        </is>
      </c>
      <c r="U490" t="n">
        <v>1.00089748</v>
      </c>
      <c r="V490" t="n">
        <v>8.1</v>
      </c>
      <c r="W490" t="inlineStr"/>
      <c r="X490" t="inlineStr">
        <is>
          <t>197607762773</t>
        </is>
      </c>
      <c r="Y490" t="inlineStr">
        <is>
          <t>IE8902_550</t>
        </is>
      </c>
      <c r="Z490" t="inlineStr">
        <is>
          <t>NLG38</t>
        </is>
      </c>
      <c r="AA490" t="inlineStr">
        <is>
          <t>Black/Carbon/Black</t>
        </is>
      </c>
      <c r="AB490" t="inlineStr">
        <is>
          <t>0197607762773</t>
        </is>
      </c>
      <c r="AC490" t="inlineStr">
        <is>
          <t>no Amazon offer exists</t>
        </is>
      </c>
      <c r="AD490" t="inlineStr">
        <is>
          <t>adidas</t>
        </is>
      </c>
      <c r="AE490" t="inlineStr">
        <is>
          <t>6</t>
        </is>
      </c>
      <c r="AF490"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0" t="inlineStr"/>
    </row>
    <row r="491">
      <c r="A491" t="inlineStr">
        <is>
          <t>com</t>
        </is>
      </c>
      <c r="B491" t="inlineStr">
        <is>
          <t>B0CRCW5GNL</t>
        </is>
      </c>
      <c r="C491" t="inlineStr">
        <is>
          <t>adidas Women's Ultimashow 2.0 Sneaker, Black/Carbon/Black, 6.5</t>
        </is>
      </c>
      <c r="D491" t="inlineStr"/>
      <c r="E491" t="inlineStr"/>
      <c r="G491" t="n">
        <v>1381172</v>
      </c>
      <c r="H491" t="inlineStr"/>
      <c r="I491" t="inlineStr"/>
      <c r="J491" t="n">
        <v>1</v>
      </c>
      <c r="K491" t="n">
        <v>1</v>
      </c>
      <c r="O491" t="n">
        <v>0</v>
      </c>
      <c r="Q491" t="n">
        <v>1</v>
      </c>
      <c r="R491" t="n">
        <v>1</v>
      </c>
      <c r="S491" t="inlineStr">
        <is>
          <t>B0CRCX2XRD</t>
        </is>
      </c>
      <c r="U491" t="n">
        <v>1.00089748</v>
      </c>
      <c r="V491" t="n">
        <v>8.1</v>
      </c>
      <c r="W491" t="inlineStr"/>
      <c r="X491" t="inlineStr">
        <is>
          <t>197607762810</t>
        </is>
      </c>
      <c r="Y491" t="inlineStr">
        <is>
          <t>NLG38</t>
        </is>
      </c>
      <c r="Z491" t="inlineStr">
        <is>
          <t>NLG38</t>
        </is>
      </c>
      <c r="AA491" t="inlineStr">
        <is>
          <t>Black/Carbon/Black</t>
        </is>
      </c>
      <c r="AB491" t="inlineStr">
        <is>
          <t>0197607762810</t>
        </is>
      </c>
      <c r="AC491" t="inlineStr">
        <is>
          <t>no Amazon offer exists</t>
        </is>
      </c>
      <c r="AD491" t="inlineStr">
        <is>
          <t>adidas</t>
        </is>
      </c>
      <c r="AE491" t="inlineStr">
        <is>
          <t>6.5</t>
        </is>
      </c>
      <c r="AF491"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1" t="inlineStr"/>
    </row>
    <row r="492">
      <c r="A492" t="inlineStr">
        <is>
          <t>com</t>
        </is>
      </c>
      <c r="B492" t="inlineStr">
        <is>
          <t>B0CRD1HXXG</t>
        </is>
      </c>
      <c r="C492" t="inlineStr">
        <is>
          <t>adidas Women's Ultimashow 2.0 Sneaker, Black/Carbon/Black, 7</t>
        </is>
      </c>
      <c r="D492" t="n">
        <v>63.53</v>
      </c>
      <c r="E492" t="inlineStr"/>
      <c r="F492" t="n">
        <v>2000078</v>
      </c>
      <c r="G492" t="n">
        <v>1311222</v>
      </c>
      <c r="H492" t="n">
        <v>63.53</v>
      </c>
      <c r="I492" t="n">
        <v>63.53</v>
      </c>
      <c r="J492" t="n">
        <v>0.88</v>
      </c>
      <c r="K492" t="n">
        <v>0.99</v>
      </c>
      <c r="L492" t="n">
        <v>1</v>
      </c>
      <c r="O492" t="n">
        <v>0</v>
      </c>
      <c r="Q492" t="n">
        <v>1</v>
      </c>
      <c r="R492" t="n">
        <v>3</v>
      </c>
      <c r="S492" t="inlineStr">
        <is>
          <t>B0CRCX2XRD</t>
        </is>
      </c>
      <c r="U492" t="n">
        <v>1.00089748</v>
      </c>
      <c r="V492" t="n">
        <v>8.1</v>
      </c>
      <c r="W492" t="inlineStr"/>
      <c r="X492" t="inlineStr">
        <is>
          <t>197607762711</t>
        </is>
      </c>
      <c r="Y492" t="inlineStr">
        <is>
          <t>NLG38</t>
        </is>
      </c>
      <c r="Z492" t="inlineStr">
        <is>
          <t>NLG38</t>
        </is>
      </c>
      <c r="AA492" t="inlineStr">
        <is>
          <t>Black/Carbon/Black</t>
        </is>
      </c>
      <c r="AB492" t="inlineStr">
        <is>
          <t>0197607762711</t>
        </is>
      </c>
      <c r="AC492" t="inlineStr">
        <is>
          <t>no Amazon offer exists</t>
        </is>
      </c>
      <c r="AD492" t="inlineStr">
        <is>
          <t>adidas</t>
        </is>
      </c>
      <c r="AE492" t="inlineStr">
        <is>
          <t>7</t>
        </is>
      </c>
      <c r="AF492"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2" t="inlineStr">
        <is>
          <t>Description
adidas Women's Ultimashow 2.0</t>
        </is>
      </c>
    </row>
    <row r="493">
      <c r="A493" t="inlineStr">
        <is>
          <t>com</t>
        </is>
      </c>
      <c r="B493" t="inlineStr">
        <is>
          <t>B0CRD87SSX</t>
        </is>
      </c>
      <c r="C493" t="inlineStr">
        <is>
          <t>adidas Women's Ultimashow 2.0 Sneaker, Black/Carbon/Black, 7.5</t>
        </is>
      </c>
      <c r="D493" t="n">
        <v>65</v>
      </c>
      <c r="E493" t="inlineStr"/>
      <c r="F493" t="n">
        <v>2000078</v>
      </c>
      <c r="G493" t="n">
        <v>1368041</v>
      </c>
      <c r="H493" t="n">
        <v>65</v>
      </c>
      <c r="I493" t="n">
        <v>65</v>
      </c>
      <c r="J493" t="n">
        <v>1</v>
      </c>
      <c r="K493" t="n">
        <v>1</v>
      </c>
      <c r="L493" t="n">
        <v>1</v>
      </c>
      <c r="O493" t="n">
        <v>0</v>
      </c>
      <c r="Q493" t="n">
        <v>1</v>
      </c>
      <c r="R493" t="n">
        <v>1</v>
      </c>
      <c r="S493" t="inlineStr">
        <is>
          <t>B0CRCX2XRD</t>
        </is>
      </c>
      <c r="U493" t="n">
        <v>1.00089748</v>
      </c>
      <c r="V493" t="n">
        <v>8.1</v>
      </c>
      <c r="W493" t="inlineStr"/>
      <c r="X493" t="inlineStr">
        <is>
          <t>197607762780</t>
        </is>
      </c>
      <c r="Y493" t="inlineStr">
        <is>
          <t>IE8902_580</t>
        </is>
      </c>
      <c r="Z493" t="inlineStr">
        <is>
          <t>NLG38</t>
        </is>
      </c>
      <c r="AA493" t="inlineStr">
        <is>
          <t>Black/Carbon/Black</t>
        </is>
      </c>
      <c r="AB493" t="inlineStr">
        <is>
          <t>0197607762780</t>
        </is>
      </c>
      <c r="AC493" t="inlineStr">
        <is>
          <t>no Amazon offer exists</t>
        </is>
      </c>
      <c r="AD493" t="inlineStr">
        <is>
          <t>adidas</t>
        </is>
      </c>
      <c r="AE493" t="inlineStr">
        <is>
          <t>7.5</t>
        </is>
      </c>
      <c r="AF493"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3" t="inlineStr">
        <is>
          <t>Description
adidas Women's Ultimashow 2.0</t>
        </is>
      </c>
    </row>
    <row r="494">
      <c r="A494" t="inlineStr">
        <is>
          <t>com</t>
        </is>
      </c>
      <c r="B494" t="inlineStr">
        <is>
          <t>B0CRCVNRS1</t>
        </is>
      </c>
      <c r="C494" t="inlineStr">
        <is>
          <t>adidas Women's Ultimashow 2.0 Sneaker, Black/Carbon/Black, 8</t>
        </is>
      </c>
      <c r="D494" t="n">
        <v>58.22</v>
      </c>
      <c r="E494" t="n">
        <v>58.22</v>
      </c>
      <c r="F494" t="n">
        <v>1980374</v>
      </c>
      <c r="G494" t="n">
        <v>1239257</v>
      </c>
      <c r="H494" t="n">
        <v>54.93</v>
      </c>
      <c r="I494" t="n">
        <v>54.93</v>
      </c>
      <c r="J494" t="n">
        <v>0</v>
      </c>
      <c r="K494" t="n">
        <v>0</v>
      </c>
      <c r="L494" t="n">
        <v>1</v>
      </c>
      <c r="M494" t="n">
        <v>1</v>
      </c>
      <c r="O494" t="n">
        <v>0</v>
      </c>
      <c r="Q494" t="n">
        <v>5</v>
      </c>
      <c r="R494" t="n">
        <v>11</v>
      </c>
      <c r="S494" t="inlineStr">
        <is>
          <t>B0CRCX2XRD</t>
        </is>
      </c>
      <c r="U494" t="n">
        <v>1.79015144</v>
      </c>
      <c r="V494" t="n">
        <v>7.78</v>
      </c>
      <c r="W494" t="n">
        <v>8.73</v>
      </c>
      <c r="X494" t="inlineStr">
        <is>
          <t>197607762803</t>
        </is>
      </c>
      <c r="Y494" t="inlineStr">
        <is>
          <t>NLG38</t>
        </is>
      </c>
      <c r="Z494" t="inlineStr">
        <is>
          <t>NLG38</t>
        </is>
      </c>
      <c r="AA494" t="inlineStr">
        <is>
          <t>Black/Carbon/Black</t>
        </is>
      </c>
      <c r="AB494" t="inlineStr">
        <is>
          <t>0197607762803</t>
        </is>
      </c>
      <c r="AC494" t="inlineStr">
        <is>
          <t>Amazon offer is in stock and shippable</t>
        </is>
      </c>
      <c r="AD494" t="inlineStr">
        <is>
          <t>adidas</t>
        </is>
      </c>
      <c r="AE494" t="inlineStr">
        <is>
          <t>8</t>
        </is>
      </c>
      <c r="AF494"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4" t="inlineStr">
        <is>
          <t>Description
adidas Women's Ultimashow 2.0</t>
        </is>
      </c>
    </row>
    <row r="495">
      <c r="A495" t="inlineStr">
        <is>
          <t>com</t>
        </is>
      </c>
      <c r="B495" t="inlineStr">
        <is>
          <t>B0CRD633K1</t>
        </is>
      </c>
      <c r="C495" t="inlineStr">
        <is>
          <t>adidas Women's Ultimashow 2.0 Sneaker, Black/Carbon/Black, 8.5</t>
        </is>
      </c>
      <c r="D495" t="inlineStr"/>
      <c r="E495" t="inlineStr"/>
      <c r="G495" t="n">
        <v>1363165</v>
      </c>
      <c r="H495" t="inlineStr"/>
      <c r="I495" t="inlineStr"/>
      <c r="J495" t="n">
        <v>1</v>
      </c>
      <c r="K495" t="n">
        <v>1</v>
      </c>
      <c r="O495" t="n">
        <v>0</v>
      </c>
      <c r="Q495" t="n">
        <v>1</v>
      </c>
      <c r="R495" t="n">
        <v>1</v>
      </c>
      <c r="S495" t="inlineStr">
        <is>
          <t>B0CRCX2XRD</t>
        </is>
      </c>
      <c r="U495" t="n">
        <v>1.00089748</v>
      </c>
      <c r="V495" t="n">
        <v>8.1</v>
      </c>
      <c r="W495" t="inlineStr"/>
      <c r="X495" t="inlineStr">
        <is>
          <t>197607762698</t>
        </is>
      </c>
      <c r="Y495" t="inlineStr">
        <is>
          <t>NLG38</t>
        </is>
      </c>
      <c r="Z495" t="inlineStr">
        <is>
          <t>NLG38</t>
        </is>
      </c>
      <c r="AA495" t="inlineStr">
        <is>
          <t>Black/Carbon/Black</t>
        </is>
      </c>
      <c r="AB495" t="inlineStr">
        <is>
          <t>0197607762698</t>
        </is>
      </c>
      <c r="AC495" t="inlineStr">
        <is>
          <t>no Amazon offer exists</t>
        </is>
      </c>
      <c r="AD495" t="inlineStr">
        <is>
          <t>adidas</t>
        </is>
      </c>
      <c r="AE495" t="inlineStr">
        <is>
          <t>8.5</t>
        </is>
      </c>
      <c r="AF495"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5" t="inlineStr"/>
    </row>
    <row r="496">
      <c r="A496" t="inlineStr">
        <is>
          <t>com</t>
        </is>
      </c>
      <c r="B496" t="inlineStr">
        <is>
          <t>B0CRD33GDR</t>
        </is>
      </c>
      <c r="C496" t="inlineStr">
        <is>
          <t>adidas Women's Ultimashow 2.0 Sneaker, Black/Carbon/Black, 9</t>
        </is>
      </c>
      <c r="D496" t="inlineStr"/>
      <c r="E496" t="inlineStr"/>
      <c r="G496" t="n">
        <v>1335389</v>
      </c>
      <c r="H496" t="inlineStr"/>
      <c r="I496" t="inlineStr"/>
      <c r="J496" t="n">
        <v>1</v>
      </c>
      <c r="K496" t="n">
        <v>1</v>
      </c>
      <c r="O496" t="n">
        <v>0</v>
      </c>
      <c r="Q496" t="n">
        <v>1</v>
      </c>
      <c r="R496" t="n">
        <v>2</v>
      </c>
      <c r="S496" t="inlineStr">
        <is>
          <t>B0CRCX2XRD</t>
        </is>
      </c>
      <c r="U496" t="n">
        <v>1.84967618</v>
      </c>
      <c r="V496" t="n">
        <v>7.86</v>
      </c>
      <c r="W496" t="inlineStr"/>
      <c r="X496" t="inlineStr">
        <is>
          <t>197607762735</t>
        </is>
      </c>
      <c r="Y496" t="inlineStr">
        <is>
          <t>IE8902_610</t>
        </is>
      </c>
      <c r="Z496" t="inlineStr">
        <is>
          <t>NLG38</t>
        </is>
      </c>
      <c r="AA496" t="inlineStr">
        <is>
          <t>Black/Carbon/Black</t>
        </is>
      </c>
      <c r="AB496" t="inlineStr">
        <is>
          <t>0197607762735</t>
        </is>
      </c>
      <c r="AC496" t="inlineStr">
        <is>
          <t>no Amazon offer exists</t>
        </is>
      </c>
      <c r="AD496" t="inlineStr">
        <is>
          <t>adidas</t>
        </is>
      </c>
      <c r="AE496" t="inlineStr">
        <is>
          <t>9</t>
        </is>
      </c>
      <c r="AF496"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6" t="inlineStr"/>
    </row>
    <row r="497">
      <c r="A497" t="inlineStr">
        <is>
          <t>com</t>
        </is>
      </c>
      <c r="B497" t="inlineStr">
        <is>
          <t>B0CRD84T8S</t>
        </is>
      </c>
      <c r="C497" t="inlineStr">
        <is>
          <t>adidas Women's Ultimashow 2.0 Sneaker, Black/Carbon/Black, 9.5</t>
        </is>
      </c>
      <c r="D497" t="inlineStr"/>
      <c r="E497" t="inlineStr"/>
      <c r="G497" t="n">
        <v>1363053</v>
      </c>
      <c r="H497" t="inlineStr"/>
      <c r="I497" t="inlineStr"/>
      <c r="J497" t="n">
        <v>1</v>
      </c>
      <c r="K497" t="n">
        <v>1</v>
      </c>
      <c r="O497" t="n">
        <v>0</v>
      </c>
      <c r="Q497" t="n">
        <v>1</v>
      </c>
      <c r="R497" t="n">
        <v>1</v>
      </c>
      <c r="S497" t="inlineStr">
        <is>
          <t>B0CRCX2XRD</t>
        </is>
      </c>
      <c r="U497" t="n">
        <v>1.00089748</v>
      </c>
      <c r="V497" t="n">
        <v>8.1</v>
      </c>
      <c r="W497" t="inlineStr"/>
      <c r="X497" t="inlineStr">
        <is>
          <t>197607762759</t>
        </is>
      </c>
      <c r="Y497" t="inlineStr">
        <is>
          <t>NLG38</t>
        </is>
      </c>
      <c r="Z497" t="inlineStr">
        <is>
          <t>NLG38</t>
        </is>
      </c>
      <c r="AA497" t="inlineStr">
        <is>
          <t>Black/Carbon/Black</t>
        </is>
      </c>
      <c r="AB497" t="inlineStr">
        <is>
          <t>0197607762759</t>
        </is>
      </c>
      <c r="AC497" t="inlineStr">
        <is>
          <t>no Amazon offer exists</t>
        </is>
      </c>
      <c r="AD497" t="inlineStr">
        <is>
          <t>adidas</t>
        </is>
      </c>
      <c r="AE497" t="inlineStr">
        <is>
          <t>9.5</t>
        </is>
      </c>
      <c r="AF497"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7" t="inlineStr"/>
    </row>
    <row r="498">
      <c r="A498" t="inlineStr">
        <is>
          <t>com</t>
        </is>
      </c>
      <c r="B498" t="inlineStr">
        <is>
          <t>B0CRCY94P9</t>
        </is>
      </c>
      <c r="C498" t="inlineStr">
        <is>
          <t>adidas Women's Ultimashow 2.0 Sneaker, Black/Carbon/Black, 10</t>
        </is>
      </c>
      <c r="D498" t="inlineStr"/>
      <c r="E498" t="inlineStr"/>
      <c r="G498" t="n">
        <v>1362048</v>
      </c>
      <c r="H498" t="inlineStr"/>
      <c r="I498" t="inlineStr"/>
      <c r="J498" t="n">
        <v>1</v>
      </c>
      <c r="K498" t="n">
        <v>1</v>
      </c>
      <c r="O498" t="n">
        <v>0</v>
      </c>
      <c r="Q498" t="n">
        <v>1</v>
      </c>
      <c r="R498" t="n">
        <v>2</v>
      </c>
      <c r="S498" t="inlineStr">
        <is>
          <t>B0CRCX2XRD</t>
        </is>
      </c>
      <c r="U498" t="n">
        <v>1.00089748</v>
      </c>
      <c r="V498" t="n">
        <v>8.1</v>
      </c>
      <c r="W498" t="inlineStr"/>
      <c r="X498" t="inlineStr">
        <is>
          <t>197607762742</t>
        </is>
      </c>
      <c r="Y498" t="inlineStr">
        <is>
          <t>NLG38</t>
        </is>
      </c>
      <c r="Z498" t="inlineStr">
        <is>
          <t>NLG38</t>
        </is>
      </c>
      <c r="AA498" t="inlineStr">
        <is>
          <t>Black/Carbon/Black</t>
        </is>
      </c>
      <c r="AB498" t="inlineStr">
        <is>
          <t>0197607762742</t>
        </is>
      </c>
      <c r="AC498" t="inlineStr">
        <is>
          <t>no Amazon offer exists</t>
        </is>
      </c>
      <c r="AD498" t="inlineStr">
        <is>
          <t>adidas</t>
        </is>
      </c>
      <c r="AE498" t="inlineStr">
        <is>
          <t>10</t>
        </is>
      </c>
      <c r="AF498"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8" t="inlineStr"/>
    </row>
    <row r="499">
      <c r="A499" t="inlineStr">
        <is>
          <t>com</t>
        </is>
      </c>
      <c r="B499" t="inlineStr">
        <is>
          <t>B0CRDFKMTJ</t>
        </is>
      </c>
      <c r="C499" t="inlineStr">
        <is>
          <t>adidas Women's Ultimashow 2.0 Sneaker, Black/Carbon/Black, 11</t>
        </is>
      </c>
      <c r="D499" t="inlineStr"/>
      <c r="E499" t="inlineStr"/>
      <c r="G499" t="n">
        <v>1362048</v>
      </c>
      <c r="H499" t="inlineStr"/>
      <c r="I499" t="inlineStr"/>
      <c r="J499" t="n">
        <v>1</v>
      </c>
      <c r="K499" t="n">
        <v>1</v>
      </c>
      <c r="O499" t="n">
        <v>0</v>
      </c>
      <c r="Q499" t="n">
        <v>1</v>
      </c>
      <c r="R499" t="n">
        <v>2</v>
      </c>
      <c r="S499" t="inlineStr">
        <is>
          <t>B0CRCX2XRD</t>
        </is>
      </c>
      <c r="U499" t="n">
        <v>1.00089748</v>
      </c>
      <c r="V499" t="n">
        <v>8.1</v>
      </c>
      <c r="W499" t="inlineStr"/>
      <c r="X499" t="inlineStr">
        <is>
          <t>197607762704</t>
        </is>
      </c>
      <c r="Y499" t="inlineStr">
        <is>
          <t>NLG38</t>
        </is>
      </c>
      <c r="Z499" t="inlineStr">
        <is>
          <t>NLG38</t>
        </is>
      </c>
      <c r="AA499" t="inlineStr">
        <is>
          <t>Black/Carbon/Black</t>
        </is>
      </c>
      <c r="AB499" t="inlineStr">
        <is>
          <t>0197607762704</t>
        </is>
      </c>
      <c r="AC499" t="inlineStr">
        <is>
          <t>no Amazon offer exists</t>
        </is>
      </c>
      <c r="AD499" t="inlineStr">
        <is>
          <t>adidas</t>
        </is>
      </c>
      <c r="AE499" t="inlineStr">
        <is>
          <t>11</t>
        </is>
      </c>
      <c r="AF499" t="inlineStr">
        <is>
          <t>https://m.media-amazon.com/images/I/51a-kUqVJ0L.jpg;https://m.media-amazon.com/images/I/41khzWhtfZL.jpg;https://m.media-amazon.com/images/I/41Ikz+zuTBL.jpg;https://m.media-amazon.com/images/I/41l7gYTF7RL.jpg;https://m.media-amazon.com/images/I/41gOmPC-X-L.jpg;https://m.media-amazon.com/images/I/61yF5ij9NXL.jpg;https://m.media-amazon.com/images/I/61bSBYEnBSL.jpg;https://m.media-amazon.com/images/I/41ww2iOxXpL.jpg</t>
        </is>
      </c>
      <c r="AG499" t="inlineStr"/>
    </row>
    <row r="500">
      <c r="A500" t="inlineStr">
        <is>
          <t>com</t>
        </is>
      </c>
      <c r="B500" t="inlineStr">
        <is>
          <t>B0CRDB9RC2</t>
        </is>
      </c>
      <c r="C500" t="inlineStr">
        <is>
          <t>adidas Women's Ultimashow 2.0 Sneaker, Linen Green/Chalk White/Chalk White, 5</t>
        </is>
      </c>
      <c r="D500" t="n">
        <v>65</v>
      </c>
      <c r="E500" t="inlineStr"/>
      <c r="G500" t="n">
        <v>1175228</v>
      </c>
      <c r="H500" t="n">
        <v>65</v>
      </c>
      <c r="I500" t="n">
        <v>65</v>
      </c>
      <c r="J500" t="n">
        <v>0.93</v>
      </c>
      <c r="K500" t="n">
        <v>1</v>
      </c>
      <c r="L500" t="n">
        <v>1</v>
      </c>
      <c r="O500" t="n">
        <v>0</v>
      </c>
      <c r="Q500" t="n">
        <v>1</v>
      </c>
      <c r="R500" t="n">
        <v>3</v>
      </c>
      <c r="S500" t="inlineStr">
        <is>
          <t>B0CRCX2XRD</t>
        </is>
      </c>
      <c r="U500" t="n">
        <v>1.00089748</v>
      </c>
      <c r="V500" t="n">
        <v>8.1</v>
      </c>
      <c r="W500" t="inlineStr"/>
      <c r="X500" t="inlineStr">
        <is>
          <t>197607926076</t>
        </is>
      </c>
      <c r="Y500" t="inlineStr">
        <is>
          <t>NLG38</t>
        </is>
      </c>
      <c r="Z500" t="inlineStr">
        <is>
          <t>NLG38</t>
        </is>
      </c>
      <c r="AA500" t="inlineStr">
        <is>
          <t>Linen Green/Chalk White/Chalk White</t>
        </is>
      </c>
      <c r="AB500" t="inlineStr">
        <is>
          <t>0197607926076</t>
        </is>
      </c>
      <c r="AC500" t="inlineStr">
        <is>
          <t>no Amazon offer exists</t>
        </is>
      </c>
      <c r="AD500" t="inlineStr">
        <is>
          <t>adidas</t>
        </is>
      </c>
      <c r="AE500" t="inlineStr">
        <is>
          <t>5</t>
        </is>
      </c>
      <c r="AF500"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0" t="inlineStr">
        <is>
          <t>Description
adidas Women's Ultimashow 2.0</t>
        </is>
      </c>
    </row>
    <row r="501">
      <c r="A501" t="inlineStr">
        <is>
          <t>com</t>
        </is>
      </c>
      <c r="B501" t="inlineStr">
        <is>
          <t>B0CRD6HP32</t>
        </is>
      </c>
      <c r="C501" t="inlineStr">
        <is>
          <t>adidas Women's Ultimashow 2.0 Sneaker, Linen Green/Chalk White/Chalk White, 5.5</t>
        </is>
      </c>
      <c r="D501" t="n">
        <v>56.45</v>
      </c>
      <c r="E501" t="inlineStr"/>
      <c r="G501" t="n">
        <v>1214667</v>
      </c>
      <c r="H501" t="n">
        <v>56.45</v>
      </c>
      <c r="I501" t="n">
        <v>56.45</v>
      </c>
      <c r="J501" t="n">
        <v>0.53</v>
      </c>
      <c r="K501" t="n">
        <v>1</v>
      </c>
      <c r="L501" t="n">
        <v>1</v>
      </c>
      <c r="O501" t="n">
        <v>0</v>
      </c>
      <c r="Q501" t="n">
        <v>1</v>
      </c>
      <c r="R501" t="n">
        <v>10</v>
      </c>
      <c r="S501" t="inlineStr">
        <is>
          <t>B0CRCX2XRD</t>
        </is>
      </c>
      <c r="U501" t="n">
        <v>1.00089748</v>
      </c>
      <c r="V501" t="n">
        <v>8.1</v>
      </c>
      <c r="W501" t="inlineStr"/>
      <c r="X501" t="inlineStr">
        <is>
          <t>197607922399</t>
        </is>
      </c>
      <c r="Y501" t="inlineStr">
        <is>
          <t>IE8911_540</t>
        </is>
      </c>
      <c r="Z501" t="inlineStr">
        <is>
          <t>NLG38</t>
        </is>
      </c>
      <c r="AA501" t="inlineStr">
        <is>
          <t>Linen Green/Chalk White/Chalk White</t>
        </is>
      </c>
      <c r="AB501" t="inlineStr">
        <is>
          <t>0197607922399</t>
        </is>
      </c>
      <c r="AC501" t="inlineStr">
        <is>
          <t>no Amazon offer exists</t>
        </is>
      </c>
      <c r="AD501" t="inlineStr">
        <is>
          <t>adidas</t>
        </is>
      </c>
      <c r="AE501" t="inlineStr">
        <is>
          <t>5.5</t>
        </is>
      </c>
      <c r="AF501"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1" t="inlineStr">
        <is>
          <t>Description
adidas Women's Ultimashow 2.0</t>
        </is>
      </c>
    </row>
    <row r="502">
      <c r="A502" t="inlineStr">
        <is>
          <t>com</t>
        </is>
      </c>
      <c r="B502" t="inlineStr">
        <is>
          <t>B0CRDCCDY8</t>
        </is>
      </c>
      <c r="C502" t="inlineStr">
        <is>
          <t>adidas Women's Ultimashow 2.0 Sneaker, Linen Green/Chalk White/Chalk White, 6</t>
        </is>
      </c>
      <c r="D502" t="inlineStr"/>
      <c r="E502" t="inlineStr"/>
      <c r="G502" t="n">
        <v>1312166</v>
      </c>
      <c r="H502" t="inlineStr"/>
      <c r="I502" t="inlineStr"/>
      <c r="J502" t="n">
        <v>0.66</v>
      </c>
      <c r="K502" t="n">
        <v>1</v>
      </c>
      <c r="L502" t="n">
        <v>1</v>
      </c>
      <c r="O502" t="n">
        <v>0</v>
      </c>
      <c r="Q502" t="n">
        <v>1</v>
      </c>
      <c r="R502" t="n">
        <v>6</v>
      </c>
      <c r="S502" t="inlineStr">
        <is>
          <t>B0CRCX2XRD</t>
        </is>
      </c>
      <c r="U502" t="n">
        <v>1.00089748</v>
      </c>
      <c r="V502" t="n">
        <v>8.1</v>
      </c>
      <c r="W502" t="inlineStr"/>
      <c r="X502" t="inlineStr">
        <is>
          <t>197607926069</t>
        </is>
      </c>
      <c r="Y502" t="inlineStr">
        <is>
          <t>NLG38</t>
        </is>
      </c>
      <c r="Z502" t="inlineStr">
        <is>
          <t>NLG38</t>
        </is>
      </c>
      <c r="AA502" t="inlineStr">
        <is>
          <t>Linen Green/Chalk White/Chalk White</t>
        </is>
      </c>
      <c r="AB502" t="inlineStr">
        <is>
          <t>0197607926069</t>
        </is>
      </c>
      <c r="AC502" t="inlineStr">
        <is>
          <t>no Amazon offer exists</t>
        </is>
      </c>
      <c r="AD502" t="inlineStr">
        <is>
          <t>adidas</t>
        </is>
      </c>
      <c r="AE502" t="inlineStr">
        <is>
          <t>6</t>
        </is>
      </c>
      <c r="AF502"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2" t="inlineStr"/>
    </row>
    <row r="503">
      <c r="A503" t="inlineStr">
        <is>
          <t>com</t>
        </is>
      </c>
      <c r="B503" t="inlineStr">
        <is>
          <t>B0CRCYNDG4</t>
        </is>
      </c>
      <c r="C503" t="inlineStr">
        <is>
          <t>adidas Women's Ultimashow 2.0 Sneaker, Linen Green/Chalk White/Chalk White, 6.5</t>
        </is>
      </c>
      <c r="D503" t="inlineStr"/>
      <c r="E503" t="inlineStr"/>
      <c r="G503" t="n">
        <v>1325266</v>
      </c>
      <c r="H503" t="inlineStr"/>
      <c r="I503" t="inlineStr"/>
      <c r="J503" t="n">
        <v>0.7</v>
      </c>
      <c r="K503" t="n">
        <v>1</v>
      </c>
      <c r="L503" t="n">
        <v>1</v>
      </c>
      <c r="O503" t="n">
        <v>0</v>
      </c>
      <c r="Q503" t="n">
        <v>1</v>
      </c>
      <c r="R503" t="n">
        <v>5</v>
      </c>
      <c r="S503" t="inlineStr">
        <is>
          <t>B0CRCX2XRD</t>
        </is>
      </c>
      <c r="U503" t="n">
        <v>1.00089748</v>
      </c>
      <c r="V503" t="n">
        <v>8.1</v>
      </c>
      <c r="W503" t="inlineStr"/>
      <c r="X503" t="inlineStr">
        <is>
          <t>197607922368</t>
        </is>
      </c>
      <c r="Y503" t="inlineStr">
        <is>
          <t>IE8911_560</t>
        </is>
      </c>
      <c r="Z503" t="inlineStr">
        <is>
          <t>NLG38</t>
        </is>
      </c>
      <c r="AA503" t="inlineStr">
        <is>
          <t>Linen Green/Chalk White/Chalk White</t>
        </is>
      </c>
      <c r="AB503" t="inlineStr">
        <is>
          <t>0197607922368</t>
        </is>
      </c>
      <c r="AC503" t="inlineStr">
        <is>
          <t>no Amazon offer exists</t>
        </is>
      </c>
      <c r="AD503" t="inlineStr">
        <is>
          <t>adidas</t>
        </is>
      </c>
      <c r="AE503" t="inlineStr">
        <is>
          <t>6.5</t>
        </is>
      </c>
      <c r="AF503"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3" t="inlineStr"/>
    </row>
    <row r="504">
      <c r="A504" t="inlineStr">
        <is>
          <t>com</t>
        </is>
      </c>
      <c r="B504" t="inlineStr">
        <is>
          <t>B0CRD72VVV</t>
        </is>
      </c>
      <c r="C504" t="inlineStr">
        <is>
          <t>adidas Women's Ultimashow 2.0 Sneaker, Linen Green/Chalk White/Chalk White, 7</t>
        </is>
      </c>
      <c r="D504" t="inlineStr"/>
      <c r="E504" t="inlineStr"/>
      <c r="G504" t="n">
        <v>1075482</v>
      </c>
      <c r="H504" t="inlineStr"/>
      <c r="I504" t="inlineStr"/>
      <c r="J504" t="n">
        <v>0.64</v>
      </c>
      <c r="K504" t="n">
        <v>1</v>
      </c>
      <c r="L504" t="n">
        <v>1</v>
      </c>
      <c r="O504" t="n">
        <v>0</v>
      </c>
      <c r="Q504" t="n">
        <v>1</v>
      </c>
      <c r="R504" t="n">
        <v>6</v>
      </c>
      <c r="S504" t="inlineStr">
        <is>
          <t>B0CRCX2XRD</t>
        </is>
      </c>
      <c r="U504" t="n">
        <v>1.00089748</v>
      </c>
      <c r="V504" t="n">
        <v>8.1</v>
      </c>
      <c r="W504" t="inlineStr"/>
      <c r="X504" t="inlineStr">
        <is>
          <t>197607922351</t>
        </is>
      </c>
      <c r="Y504" t="inlineStr">
        <is>
          <t>NLG38</t>
        </is>
      </c>
      <c r="Z504" t="inlineStr">
        <is>
          <t>NLG38</t>
        </is>
      </c>
      <c r="AA504" t="inlineStr">
        <is>
          <t>Linen Green/Chalk White/Chalk White</t>
        </is>
      </c>
      <c r="AB504" t="inlineStr">
        <is>
          <t>0197607922351</t>
        </is>
      </c>
      <c r="AC504" t="inlineStr">
        <is>
          <t>no Amazon offer exists</t>
        </is>
      </c>
      <c r="AD504" t="inlineStr">
        <is>
          <t>adidas</t>
        </is>
      </c>
      <c r="AE504" t="inlineStr">
        <is>
          <t>7</t>
        </is>
      </c>
      <c r="AF504"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4" t="inlineStr"/>
    </row>
    <row r="505">
      <c r="A505" t="inlineStr">
        <is>
          <t>com</t>
        </is>
      </c>
      <c r="B505" t="inlineStr">
        <is>
          <t>B0CRCX23XB</t>
        </is>
      </c>
      <c r="C505" t="inlineStr">
        <is>
          <t>adidas Women's Ultimashow 2.0 Sneaker, Linen Green/Chalk White/Chalk White, 7.5</t>
        </is>
      </c>
      <c r="D505" t="inlineStr"/>
      <c r="E505" t="inlineStr"/>
      <c r="G505" t="n">
        <v>1296090</v>
      </c>
      <c r="H505" t="inlineStr"/>
      <c r="I505" t="inlineStr"/>
      <c r="J505" t="n">
        <v>0.71</v>
      </c>
      <c r="K505" t="n">
        <v>1</v>
      </c>
      <c r="L505" t="n">
        <v>1</v>
      </c>
      <c r="O505" t="n">
        <v>0</v>
      </c>
      <c r="Q505" t="n">
        <v>1</v>
      </c>
      <c r="R505" t="n">
        <v>4</v>
      </c>
      <c r="S505" t="inlineStr">
        <is>
          <t>B0CRCX2XRD</t>
        </is>
      </c>
      <c r="U505" t="n">
        <v>1.00089748</v>
      </c>
      <c r="V505" t="n">
        <v>8.1</v>
      </c>
      <c r="W505" t="inlineStr"/>
      <c r="X505" t="inlineStr">
        <is>
          <t>197607922436</t>
        </is>
      </c>
      <c r="Y505" t="inlineStr">
        <is>
          <t>IE8911_580</t>
        </is>
      </c>
      <c r="Z505" t="inlineStr">
        <is>
          <t>NLG38</t>
        </is>
      </c>
      <c r="AA505" t="inlineStr">
        <is>
          <t>Linen Green/Chalk White/Chalk White</t>
        </is>
      </c>
      <c r="AB505" t="inlineStr">
        <is>
          <t>0197607922436</t>
        </is>
      </c>
      <c r="AC505" t="inlineStr">
        <is>
          <t>no Amazon offer exists</t>
        </is>
      </c>
      <c r="AD505" t="inlineStr">
        <is>
          <t>adidas</t>
        </is>
      </c>
      <c r="AE505" t="inlineStr">
        <is>
          <t>7.5</t>
        </is>
      </c>
      <c r="AF505"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5" t="inlineStr"/>
    </row>
    <row r="506">
      <c r="A506" t="inlineStr">
        <is>
          <t>com</t>
        </is>
      </c>
      <c r="B506" t="inlineStr">
        <is>
          <t>B0CRDBV841</t>
        </is>
      </c>
      <c r="C506" t="inlineStr">
        <is>
          <t>adidas Women's Ultimashow 2.0 Sneaker, Linen Green/Chalk White/Chalk White, 8</t>
        </is>
      </c>
      <c r="D506" t="n">
        <v>51.69</v>
      </c>
      <c r="E506" t="n">
        <v>51.69</v>
      </c>
      <c r="F506" t="n">
        <v>1980374</v>
      </c>
      <c r="G506" t="n">
        <v>1645581</v>
      </c>
      <c r="H506" t="n">
        <v>55.06</v>
      </c>
      <c r="I506" t="n">
        <v>55.06</v>
      </c>
      <c r="J506" t="n">
        <v>0.11</v>
      </c>
      <c r="K506" t="n">
        <v>0.14</v>
      </c>
      <c r="L506" t="n">
        <v>2</v>
      </c>
      <c r="M506" t="n">
        <v>1</v>
      </c>
      <c r="O506" t="n">
        <v>0</v>
      </c>
      <c r="Q506" t="n">
        <v>5</v>
      </c>
      <c r="R506" t="n">
        <v>15</v>
      </c>
      <c r="S506" t="inlineStr">
        <is>
          <t>B0CRCX2XRD</t>
        </is>
      </c>
      <c r="U506" t="n">
        <v>1.79015144</v>
      </c>
      <c r="V506" t="n">
        <v>7.78</v>
      </c>
      <c r="W506" t="n">
        <v>7.75</v>
      </c>
      <c r="X506" t="inlineStr">
        <is>
          <t>197607922375</t>
        </is>
      </c>
      <c r="Y506" t="inlineStr">
        <is>
          <t>NLG38</t>
        </is>
      </c>
      <c r="Z506" t="inlineStr">
        <is>
          <t>NLG38</t>
        </is>
      </c>
      <c r="AA506" t="inlineStr">
        <is>
          <t>Linen Green/Chalk White/Chalk White</t>
        </is>
      </c>
      <c r="AB506" t="inlineStr">
        <is>
          <t>0197607922375</t>
        </is>
      </c>
      <c r="AC506" t="inlineStr">
        <is>
          <t>Amazon offer is in stock and shippable</t>
        </is>
      </c>
      <c r="AD506" t="inlineStr">
        <is>
          <t>adidas</t>
        </is>
      </c>
      <c r="AE506" t="inlineStr">
        <is>
          <t>8</t>
        </is>
      </c>
      <c r="AF506" t="inlineStr">
        <is>
          <t>https://m.media-amazon.com/images/I/31jtglpF5R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6" t="inlineStr">
        <is>
          <t>Description
adidas Women's Ultimashow 2.0</t>
        </is>
      </c>
    </row>
    <row r="507">
      <c r="A507" t="inlineStr">
        <is>
          <t>com</t>
        </is>
      </c>
      <c r="B507" t="inlineStr">
        <is>
          <t>B0CRD29WGB</t>
        </is>
      </c>
      <c r="C507" t="inlineStr">
        <is>
          <t>adidas Women's Ultimashow 2.0 Sneaker, Linen Green/Chalk White/Chalk White, 8.5</t>
        </is>
      </c>
      <c r="D507" t="n">
        <v>46</v>
      </c>
      <c r="E507" t="inlineStr"/>
      <c r="G507" t="n">
        <v>891221</v>
      </c>
      <c r="H507" t="n">
        <v>46</v>
      </c>
      <c r="I507" t="n">
        <v>46</v>
      </c>
      <c r="J507" t="n">
        <v>0.61</v>
      </c>
      <c r="K507" t="n">
        <v>1</v>
      </c>
      <c r="L507" t="n">
        <v>1</v>
      </c>
      <c r="O507" t="n">
        <v>0</v>
      </c>
      <c r="Q507" t="n">
        <v>0</v>
      </c>
      <c r="R507" t="n">
        <v>7</v>
      </c>
      <c r="S507" t="inlineStr">
        <is>
          <t>B0CRCX2XRD</t>
        </is>
      </c>
      <c r="U507" t="n">
        <v>1.00089748</v>
      </c>
      <c r="V507" t="n">
        <v>8.1</v>
      </c>
      <c r="W507" t="inlineStr"/>
      <c r="X507" t="inlineStr">
        <is>
          <t>197607922412</t>
        </is>
      </c>
      <c r="Y507" t="inlineStr">
        <is>
          <t>NLG38</t>
        </is>
      </c>
      <c r="Z507" t="inlineStr">
        <is>
          <t>NLG38</t>
        </is>
      </c>
      <c r="AA507" t="inlineStr">
        <is>
          <t>Linen Green/Chalk White/Chalk White</t>
        </is>
      </c>
      <c r="AB507" t="inlineStr">
        <is>
          <t>0197607922412</t>
        </is>
      </c>
      <c r="AC507" t="inlineStr">
        <is>
          <t>no Amazon offer exists</t>
        </is>
      </c>
      <c r="AD507" t="inlineStr">
        <is>
          <t>adidas</t>
        </is>
      </c>
      <c r="AE507" t="inlineStr">
        <is>
          <t>8.5</t>
        </is>
      </c>
      <c r="AF507"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7" t="inlineStr">
        <is>
          <t>Description
adidas Women's Ultimashow 2.0</t>
        </is>
      </c>
    </row>
    <row r="508">
      <c r="A508" t="inlineStr">
        <is>
          <t>com</t>
        </is>
      </c>
      <c r="B508" t="inlineStr">
        <is>
          <t>B0CRDB84C4</t>
        </is>
      </c>
      <c r="C508" t="inlineStr">
        <is>
          <t>adidas Women's Ultimashow 2.0 Sneaker, Linen Green/Chalk White/Chalk White, 9</t>
        </is>
      </c>
      <c r="D508" t="n">
        <v>54.86</v>
      </c>
      <c r="E508" t="n">
        <v>54.86</v>
      </c>
      <c r="F508" t="n">
        <v>1987281</v>
      </c>
      <c r="G508" t="n">
        <v>1202415</v>
      </c>
      <c r="H508" t="n">
        <v>54.66</v>
      </c>
      <c r="I508" t="n">
        <v>54.66</v>
      </c>
      <c r="J508" t="n">
        <v>0</v>
      </c>
      <c r="K508" t="n">
        <v>0</v>
      </c>
      <c r="L508" t="n">
        <v>1</v>
      </c>
      <c r="M508" t="n">
        <v>1</v>
      </c>
      <c r="O508" t="n">
        <v>0</v>
      </c>
      <c r="Q508" t="n">
        <v>3</v>
      </c>
      <c r="R508" t="n">
        <v>9</v>
      </c>
      <c r="S508" t="inlineStr">
        <is>
          <t>B0CRCX2XRD</t>
        </is>
      </c>
      <c r="U508" t="n">
        <v>1.84967618</v>
      </c>
      <c r="V508" t="n">
        <v>7.86</v>
      </c>
      <c r="W508" t="n">
        <v>8.23</v>
      </c>
      <c r="X508" t="inlineStr">
        <is>
          <t>197607922405</t>
        </is>
      </c>
      <c r="Y508" t="inlineStr">
        <is>
          <t>IE8911_610</t>
        </is>
      </c>
      <c r="Z508" t="inlineStr">
        <is>
          <t>NLG38</t>
        </is>
      </c>
      <c r="AA508" t="inlineStr">
        <is>
          <t>Linen Green/Chalk White/Chalk White</t>
        </is>
      </c>
      <c r="AB508" t="inlineStr">
        <is>
          <t>0197607922405</t>
        </is>
      </c>
      <c r="AC508" t="inlineStr">
        <is>
          <t>Amazon offer is in stock and shippable</t>
        </is>
      </c>
      <c r="AD508" t="inlineStr">
        <is>
          <t>adidas</t>
        </is>
      </c>
      <c r="AE508" t="inlineStr">
        <is>
          <t>9</t>
        </is>
      </c>
      <c r="AF508" t="inlineStr">
        <is>
          <t>https://m.media-amazon.com/images/I/51mh28MI91L.jpg;https://m.media-amazon.com/images/I/41wtZUHaUf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8" t="inlineStr">
        <is>
          <t>Description
adidas Women's Ultimashow 2.0</t>
        </is>
      </c>
    </row>
    <row r="509">
      <c r="A509" t="inlineStr">
        <is>
          <t>com</t>
        </is>
      </c>
      <c r="B509" t="inlineStr">
        <is>
          <t>B0CRD1MFKT</t>
        </is>
      </c>
      <c r="C509" t="inlineStr">
        <is>
          <t>adidas Women's Ultimashow 2.0 Sneaker, Linen Green/Chalk White/Chalk White, 9.5</t>
        </is>
      </c>
      <c r="D509" t="inlineStr"/>
      <c r="E509" t="inlineStr"/>
      <c r="G509" t="n">
        <v>1268339</v>
      </c>
      <c r="H509" t="inlineStr"/>
      <c r="I509" t="inlineStr"/>
      <c r="J509" t="n">
        <v>0.75</v>
      </c>
      <c r="K509" t="n">
        <v>1</v>
      </c>
      <c r="L509" t="n">
        <v>1</v>
      </c>
      <c r="O509" t="n">
        <v>0</v>
      </c>
      <c r="Q509" t="n">
        <v>1</v>
      </c>
      <c r="R509" t="n">
        <v>4</v>
      </c>
      <c r="S509" t="inlineStr">
        <is>
          <t>B0CRCX2XRD</t>
        </is>
      </c>
      <c r="U509" t="n">
        <v>1.00089748</v>
      </c>
      <c r="V509" t="n">
        <v>8.1</v>
      </c>
      <c r="W509" t="inlineStr"/>
      <c r="X509" t="inlineStr">
        <is>
          <t>197607922382</t>
        </is>
      </c>
      <c r="Y509" t="inlineStr">
        <is>
          <t>NLG38</t>
        </is>
      </c>
      <c r="Z509" t="inlineStr">
        <is>
          <t>NLG38</t>
        </is>
      </c>
      <c r="AA509" t="inlineStr">
        <is>
          <t>Linen Green/Chalk White/Chalk White</t>
        </is>
      </c>
      <c r="AB509" t="inlineStr">
        <is>
          <t>0197607922382</t>
        </is>
      </c>
      <c r="AC509" t="inlineStr">
        <is>
          <t>no Amazon offer exists</t>
        </is>
      </c>
      <c r="AD509" t="inlineStr">
        <is>
          <t>adidas</t>
        </is>
      </c>
      <c r="AE509" t="inlineStr">
        <is>
          <t>9.5</t>
        </is>
      </c>
      <c r="AF509"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09" t="inlineStr"/>
    </row>
    <row r="510">
      <c r="A510" t="inlineStr">
        <is>
          <t>com</t>
        </is>
      </c>
      <c r="B510" t="inlineStr">
        <is>
          <t>B0CRDF3BK6</t>
        </is>
      </c>
      <c r="C510" t="inlineStr">
        <is>
          <t>adidas Women's Ultimashow 2.0 Sneaker, Linen Green/Chalk White/Chalk White, 10</t>
        </is>
      </c>
      <c r="D510" t="n">
        <v>59</v>
      </c>
      <c r="E510" t="n">
        <v>59</v>
      </c>
      <c r="F510" t="n">
        <v>1980374</v>
      </c>
      <c r="G510" t="n">
        <v>1122526</v>
      </c>
      <c r="H510" t="n">
        <v>56.98</v>
      </c>
      <c r="I510" t="n">
        <v>56.98</v>
      </c>
      <c r="J510" t="n">
        <v>0</v>
      </c>
      <c r="K510" t="n">
        <v>1</v>
      </c>
      <c r="L510" t="n">
        <v>1</v>
      </c>
      <c r="M510" t="n">
        <v>1</v>
      </c>
      <c r="O510" t="n">
        <v>0</v>
      </c>
      <c r="Q510" t="n">
        <v>4</v>
      </c>
      <c r="R510" t="n">
        <v>9</v>
      </c>
      <c r="S510" t="inlineStr">
        <is>
          <t>B0CRCX2XRD</t>
        </is>
      </c>
      <c r="U510" t="n">
        <v>1.00089748</v>
      </c>
      <c r="V510" t="n">
        <v>8.1</v>
      </c>
      <c r="W510" t="n">
        <v>8.85</v>
      </c>
      <c r="X510" t="inlineStr">
        <is>
          <t>197607922429</t>
        </is>
      </c>
      <c r="Y510" t="inlineStr">
        <is>
          <t>IE8911_630</t>
        </is>
      </c>
      <c r="Z510" t="inlineStr">
        <is>
          <t>NLG38</t>
        </is>
      </c>
      <c r="AA510" t="inlineStr">
        <is>
          <t>Linen Green/Chalk White/Chalk White</t>
        </is>
      </c>
      <c r="AB510" t="inlineStr">
        <is>
          <t>0197607922429</t>
        </is>
      </c>
      <c r="AC510" t="inlineStr">
        <is>
          <t>no Amazon offer exists</t>
        </is>
      </c>
      <c r="AD510" t="inlineStr">
        <is>
          <t>adidas</t>
        </is>
      </c>
      <c r="AE510" t="inlineStr">
        <is>
          <t>10</t>
        </is>
      </c>
      <c r="AF510" t="inlineStr">
        <is>
          <t>https://m.media-amazon.com/images/I/51mh28MI91L.jpg;https://m.media-amazon.com/images/I/41wtZUHaUf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10" t="inlineStr">
        <is>
          <t>Description
adidas Women's Ultimashow 2.0</t>
        </is>
      </c>
    </row>
    <row r="511">
      <c r="A511" t="inlineStr">
        <is>
          <t>com</t>
        </is>
      </c>
      <c r="B511" t="inlineStr">
        <is>
          <t>B0CRDCT5HK</t>
        </is>
      </c>
      <c r="C511" t="inlineStr">
        <is>
          <t>adidas Women's Ultimashow 2.0 Sneaker, Linen Green/Chalk White/Chalk White, 11</t>
        </is>
      </c>
      <c r="D511" t="inlineStr"/>
      <c r="E511" t="inlineStr"/>
      <c r="G511" t="n">
        <v>1364907</v>
      </c>
      <c r="H511" t="inlineStr"/>
      <c r="I511" t="inlineStr"/>
      <c r="J511" t="n">
        <v>0.76</v>
      </c>
      <c r="K511" t="n">
        <v>1</v>
      </c>
      <c r="L511" t="n">
        <v>1</v>
      </c>
      <c r="O511" t="n">
        <v>0</v>
      </c>
      <c r="Q511" t="n">
        <v>1</v>
      </c>
      <c r="R511" t="n">
        <v>5</v>
      </c>
      <c r="S511" t="inlineStr">
        <is>
          <t>B0CRCX2XRD</t>
        </is>
      </c>
      <c r="U511" t="n">
        <v>1.00089748</v>
      </c>
      <c r="V511" t="n">
        <v>8.1</v>
      </c>
      <c r="W511" t="inlineStr"/>
      <c r="X511" t="inlineStr">
        <is>
          <t>197607922450</t>
        </is>
      </c>
      <c r="Y511" t="inlineStr">
        <is>
          <t>NLG38</t>
        </is>
      </c>
      <c r="Z511" t="inlineStr">
        <is>
          <t>NLG38</t>
        </is>
      </c>
      <c r="AA511" t="inlineStr">
        <is>
          <t>Linen Green/Chalk White/Chalk White</t>
        </is>
      </c>
      <c r="AB511" t="inlineStr">
        <is>
          <t>0197607922450</t>
        </is>
      </c>
      <c r="AC511" t="inlineStr">
        <is>
          <t>no Amazon offer exists</t>
        </is>
      </c>
      <c r="AD511" t="inlineStr">
        <is>
          <t>adidas</t>
        </is>
      </c>
      <c r="AE511" t="inlineStr">
        <is>
          <t>11</t>
        </is>
      </c>
      <c r="AF511" t="inlineStr">
        <is>
          <t>https://m.media-amazon.com/images/I/51mh28MI91L.jpg;https://m.media-amazon.com/images/I/41wtZUHaUfL.jpg;https://m.media-amazon.com/images/I/41T+J+geuxL.jpg;https://m.media-amazon.com/images/I/41hVgqX01JL.jpg;https://m.media-amazon.com/images/I/41l0jifAUxL.jpg;https://m.media-amazon.com/images/I/515GARTmxlL.jpg;https://m.media-amazon.com/images/I/61x+BapZWbL.jpg;https://m.media-amazon.com/images/I/417NJvLpghL.jpg</t>
        </is>
      </c>
      <c r="AG511" t="inlineStr"/>
    </row>
    <row r="512">
      <c r="A512" t="inlineStr">
        <is>
          <t>com</t>
        </is>
      </c>
      <c r="B512" t="inlineStr">
        <is>
          <t>B0DJ636N6W</t>
        </is>
      </c>
      <c r="C512" t="inlineStr">
        <is>
          <t>Puma - Womens Carina 2.0 Sd Shoes, Color Black/Cast Iron, Size: 5.5 M US</t>
        </is>
      </c>
      <c r="D512" t="n">
        <v>74.98999999999999</v>
      </c>
      <c r="E512" t="n">
        <v>70</v>
      </c>
      <c r="H512" t="n">
        <v>74.98999999999999</v>
      </c>
      <c r="I512" t="n">
        <v>74.98999999999999</v>
      </c>
      <c r="J512" t="n">
        <v>0</v>
      </c>
      <c r="K512" t="n">
        <v>1</v>
      </c>
      <c r="L512" t="n">
        <v>1</v>
      </c>
      <c r="M512" t="n">
        <v>1</v>
      </c>
      <c r="Q512" t="n">
        <v>-1</v>
      </c>
      <c r="R512" t="n">
        <v>-1</v>
      </c>
      <c r="S512" t="inlineStr">
        <is>
          <t>B0DGB1BDWN</t>
        </is>
      </c>
      <c r="V512" t="inlineStr"/>
      <c r="W512" t="inlineStr"/>
      <c r="X512" t="inlineStr">
        <is>
          <t>197670757317</t>
        </is>
      </c>
      <c r="Y512" t="inlineStr"/>
      <c r="Z512" t="inlineStr"/>
      <c r="AA512" t="inlineStr">
        <is>
          <t>Black/Cast Iron</t>
        </is>
      </c>
      <c r="AB512" t="inlineStr">
        <is>
          <t>0197670757317</t>
        </is>
      </c>
      <c r="AC512" t="inlineStr">
        <is>
          <t>no Amazon offer exists</t>
        </is>
      </c>
      <c r="AD512" t="inlineStr">
        <is>
          <t>Puma</t>
        </is>
      </c>
      <c r="AE512" t="inlineStr">
        <is>
          <t>5.5</t>
        </is>
      </c>
      <c r="AF512" t="inlineStr">
        <is>
          <t>https://m.media-amazon.com/images/I/51qIG0ZioWL.jpg;https://m.media-amazon.com/images/I/61BoMDp5VTL.jpg;https://m.media-amazon.com/images/I/41wKyOW1TtL.jpg;https://m.media-amazon.com/images/I/61ARsvBTCzL.jpg</t>
        </is>
      </c>
      <c r="AG512" t="inlineStr"/>
    </row>
    <row r="513">
      <c r="A513" t="inlineStr">
        <is>
          <t>com</t>
        </is>
      </c>
      <c r="B513" t="inlineStr">
        <is>
          <t>B0DJ64BVJR</t>
        </is>
      </c>
      <c r="C513" t="inlineStr">
        <is>
          <t>Puma - Womens Carina 2.0 Sd Shoes, Color Black/Cast Iron, Size: 6 M US</t>
        </is>
      </c>
      <c r="D513" t="n">
        <v>74.98999999999999</v>
      </c>
      <c r="E513" t="inlineStr"/>
      <c r="H513" t="n">
        <v>74.98999999999999</v>
      </c>
      <c r="I513" t="n">
        <v>74.98999999999999</v>
      </c>
      <c r="J513" t="n">
        <v>0.62</v>
      </c>
      <c r="K513" t="n">
        <v>1</v>
      </c>
      <c r="L513" t="n">
        <v>1</v>
      </c>
      <c r="Q513" t="n">
        <v>-1</v>
      </c>
      <c r="R513" t="n">
        <v>-1</v>
      </c>
      <c r="S513" t="inlineStr">
        <is>
          <t>B0DGB1BDWN</t>
        </is>
      </c>
      <c r="V513" t="inlineStr"/>
      <c r="W513" t="inlineStr"/>
      <c r="X513" t="inlineStr">
        <is>
          <t>197670757324</t>
        </is>
      </c>
      <c r="Y513" t="inlineStr"/>
      <c r="Z513" t="inlineStr"/>
      <c r="AA513" t="inlineStr">
        <is>
          <t>Black/Cast Iron</t>
        </is>
      </c>
      <c r="AB513" t="inlineStr">
        <is>
          <t>0197670757324</t>
        </is>
      </c>
      <c r="AC513" t="inlineStr">
        <is>
          <t>no Amazon offer exists</t>
        </is>
      </c>
      <c r="AD513" t="inlineStr">
        <is>
          <t>Puma</t>
        </is>
      </c>
      <c r="AE513" t="inlineStr">
        <is>
          <t>6</t>
        </is>
      </c>
      <c r="AF513" t="inlineStr">
        <is>
          <t>https://m.media-amazon.com/images/I/51qIG0ZioWL.jpg;https://m.media-amazon.com/images/I/61BoMDp5VTL.jpg;https://m.media-amazon.com/images/I/41wKyOW1TtL.jpg;https://m.media-amazon.com/images/I/61ARsvBTCzL.jpg</t>
        </is>
      </c>
      <c r="AG513" t="inlineStr"/>
    </row>
    <row r="514">
      <c r="A514" t="inlineStr">
        <is>
          <t>com</t>
        </is>
      </c>
      <c r="B514" t="inlineStr">
        <is>
          <t>B0DJ64ZG3V</t>
        </is>
      </c>
      <c r="C514" t="inlineStr">
        <is>
          <t>Puma - Womens Carina 2.0 Sd Shoes, Color Black/Cast Iron, Size: 6.5 M US</t>
        </is>
      </c>
      <c r="D514" t="n">
        <v>74.98999999999999</v>
      </c>
      <c r="E514" t="n">
        <v>70</v>
      </c>
      <c r="H514" t="n">
        <v>74.98999999999999</v>
      </c>
      <c r="I514" t="n">
        <v>74.98999999999999</v>
      </c>
      <c r="J514" t="n">
        <v>0</v>
      </c>
      <c r="K514" t="n">
        <v>1</v>
      </c>
      <c r="L514" t="n">
        <v>1</v>
      </c>
      <c r="M514" t="n">
        <v>1</v>
      </c>
      <c r="Q514" t="n">
        <v>-1</v>
      </c>
      <c r="R514" t="n">
        <v>-1</v>
      </c>
      <c r="S514" t="inlineStr">
        <is>
          <t>B0DGB1BDWN</t>
        </is>
      </c>
      <c r="V514" t="inlineStr"/>
      <c r="W514" t="inlineStr"/>
      <c r="X514" t="inlineStr">
        <is>
          <t>197670757331</t>
        </is>
      </c>
      <c r="Y514" t="inlineStr"/>
      <c r="Z514" t="inlineStr"/>
      <c r="AA514" t="inlineStr">
        <is>
          <t>Black/Cast Iron</t>
        </is>
      </c>
      <c r="AB514" t="inlineStr">
        <is>
          <t>0197670757331</t>
        </is>
      </c>
      <c r="AC514" t="inlineStr">
        <is>
          <t>no Amazon offer exists</t>
        </is>
      </c>
      <c r="AD514" t="inlineStr">
        <is>
          <t>Puma</t>
        </is>
      </c>
      <c r="AE514" t="inlineStr">
        <is>
          <t>6.5</t>
        </is>
      </c>
      <c r="AF514" t="inlineStr">
        <is>
          <t>https://m.media-amazon.com/images/I/51qIG0ZioWL.jpg;https://m.media-amazon.com/images/I/61BoMDp5VTL.jpg;https://m.media-amazon.com/images/I/41wKyOW1TtL.jpg;https://m.media-amazon.com/images/I/61ARsvBTCzL.jpg</t>
        </is>
      </c>
      <c r="AG514" t="inlineStr"/>
    </row>
    <row r="515">
      <c r="A515" t="inlineStr">
        <is>
          <t>com</t>
        </is>
      </c>
      <c r="B515" t="inlineStr">
        <is>
          <t>B0DJ656N2K</t>
        </is>
      </c>
      <c r="C515" t="inlineStr">
        <is>
          <t>Puma - Womens Carina 2.0 Sd Shoes, Color Black/Cast Iron, Size: 7 M US</t>
        </is>
      </c>
      <c r="D515" t="n">
        <v>74.98999999999999</v>
      </c>
      <c r="E515" t="n">
        <v>70</v>
      </c>
      <c r="H515" t="n">
        <v>74.98999999999999</v>
      </c>
      <c r="I515" t="n">
        <v>74.98999999999999</v>
      </c>
      <c r="J515" t="n">
        <v>0</v>
      </c>
      <c r="K515" t="n">
        <v>1</v>
      </c>
      <c r="L515" t="n">
        <v>1</v>
      </c>
      <c r="M515" t="n">
        <v>1</v>
      </c>
      <c r="Q515" t="n">
        <v>-1</v>
      </c>
      <c r="R515" t="n">
        <v>-1</v>
      </c>
      <c r="S515" t="inlineStr">
        <is>
          <t>B0DGB1BDWN</t>
        </is>
      </c>
      <c r="V515" t="inlineStr"/>
      <c r="W515" t="inlineStr"/>
      <c r="X515" t="inlineStr">
        <is>
          <t>197670757348</t>
        </is>
      </c>
      <c r="Y515" t="inlineStr"/>
      <c r="Z515" t="inlineStr"/>
      <c r="AA515" t="inlineStr">
        <is>
          <t>Black/Cast Iron</t>
        </is>
      </c>
      <c r="AB515" t="inlineStr">
        <is>
          <t>0197670757348</t>
        </is>
      </c>
      <c r="AC515" t="inlineStr">
        <is>
          <t>no Amazon offer exists</t>
        </is>
      </c>
      <c r="AD515" t="inlineStr">
        <is>
          <t>Puma</t>
        </is>
      </c>
      <c r="AE515" t="inlineStr">
        <is>
          <t>7</t>
        </is>
      </c>
      <c r="AF515" t="inlineStr">
        <is>
          <t>https://m.media-amazon.com/images/I/51qIG0ZioWL.jpg;https://m.media-amazon.com/images/I/61BoMDp5VTL.jpg;https://m.media-amazon.com/images/I/41wKyOW1TtL.jpg;https://m.media-amazon.com/images/I/61ARsvBTCzL.jpg</t>
        </is>
      </c>
      <c r="AG515" t="inlineStr"/>
    </row>
    <row r="516">
      <c r="A516" t="inlineStr">
        <is>
          <t>com</t>
        </is>
      </c>
      <c r="B516" t="inlineStr">
        <is>
          <t>B0DJ64WGNL</t>
        </is>
      </c>
      <c r="C516" t="inlineStr">
        <is>
          <t>Puma - Womens Carina 2.0 Sd Shoes, Color Black/Cast Iron, Size: 7.5 M US</t>
        </is>
      </c>
      <c r="D516" t="n">
        <v>74.98999999999999</v>
      </c>
      <c r="E516" t="n">
        <v>70</v>
      </c>
      <c r="H516" t="n">
        <v>74.98999999999999</v>
      </c>
      <c r="I516" t="n">
        <v>74.98999999999999</v>
      </c>
      <c r="J516" t="n">
        <v>0</v>
      </c>
      <c r="K516" t="n">
        <v>1</v>
      </c>
      <c r="L516" t="n">
        <v>1</v>
      </c>
      <c r="M516" t="n">
        <v>1</v>
      </c>
      <c r="Q516" t="n">
        <v>-1</v>
      </c>
      <c r="R516" t="n">
        <v>-1</v>
      </c>
      <c r="S516" t="inlineStr">
        <is>
          <t>B0DGB1BDWN</t>
        </is>
      </c>
      <c r="V516" t="inlineStr"/>
      <c r="W516" t="inlineStr"/>
      <c r="X516" t="inlineStr">
        <is>
          <t>197670757355</t>
        </is>
      </c>
      <c r="Y516" t="inlineStr"/>
      <c r="Z516" t="inlineStr"/>
      <c r="AA516" t="inlineStr">
        <is>
          <t>Black/Cast Iron</t>
        </is>
      </c>
      <c r="AB516" t="inlineStr">
        <is>
          <t>0197670757355</t>
        </is>
      </c>
      <c r="AC516" t="inlineStr">
        <is>
          <t>no Amazon offer exists</t>
        </is>
      </c>
      <c r="AD516" t="inlineStr">
        <is>
          <t>Puma</t>
        </is>
      </c>
      <c r="AE516" t="inlineStr">
        <is>
          <t>7.5</t>
        </is>
      </c>
      <c r="AF516" t="inlineStr">
        <is>
          <t>https://m.media-amazon.com/images/I/51qIG0ZioWL.jpg;https://m.media-amazon.com/images/I/61BoMDp5VTL.jpg;https://m.media-amazon.com/images/I/41wKyOW1TtL.jpg;https://m.media-amazon.com/images/I/61ARsvBTCzL.jpg</t>
        </is>
      </c>
      <c r="AG516" t="inlineStr"/>
    </row>
    <row r="517">
      <c r="A517" t="inlineStr">
        <is>
          <t>com</t>
        </is>
      </c>
      <c r="B517" t="inlineStr">
        <is>
          <t>B0DJ64V2C8</t>
        </is>
      </c>
      <c r="C517" t="inlineStr">
        <is>
          <t>Puma - Womens Carina 2.0 Sd Shoes, Color Black/Cast Iron, Size: 8 M US</t>
        </is>
      </c>
      <c r="D517" t="n">
        <v>74.98999999999999</v>
      </c>
      <c r="E517" t="inlineStr"/>
      <c r="H517" t="n">
        <v>74.98999999999999</v>
      </c>
      <c r="I517" t="n">
        <v>74.98999999999999</v>
      </c>
      <c r="J517" t="n">
        <v>0.61</v>
      </c>
      <c r="K517" t="n">
        <v>1</v>
      </c>
      <c r="L517" t="n">
        <v>1</v>
      </c>
      <c r="M517" t="n">
        <v>1</v>
      </c>
      <c r="Q517" t="n">
        <v>-1</v>
      </c>
      <c r="R517" t="n">
        <v>-1</v>
      </c>
      <c r="S517" t="inlineStr">
        <is>
          <t>B0DGB1BDWN</t>
        </is>
      </c>
      <c r="V517" t="inlineStr"/>
      <c r="W517" t="inlineStr"/>
      <c r="X517" t="inlineStr">
        <is>
          <t>197670757362</t>
        </is>
      </c>
      <c r="Y517" t="inlineStr"/>
      <c r="Z517" t="inlineStr"/>
      <c r="AA517" t="inlineStr">
        <is>
          <t>Black/Cast Iron</t>
        </is>
      </c>
      <c r="AB517" t="inlineStr">
        <is>
          <t>0197670757362</t>
        </is>
      </c>
      <c r="AC517" t="inlineStr">
        <is>
          <t>no Amazon offer exists</t>
        </is>
      </c>
      <c r="AD517" t="inlineStr">
        <is>
          <t>Puma</t>
        </is>
      </c>
      <c r="AE517" t="inlineStr">
        <is>
          <t>8</t>
        </is>
      </c>
      <c r="AF517" t="inlineStr">
        <is>
          <t>https://m.media-amazon.com/images/I/51qIG0ZioWL.jpg;https://m.media-amazon.com/images/I/61BoMDp5VTL.jpg;https://m.media-amazon.com/images/I/41wKyOW1TtL.jpg;https://m.media-amazon.com/images/I/61ARsvBTCzL.jpg</t>
        </is>
      </c>
      <c r="AG517" t="inlineStr"/>
    </row>
    <row r="518">
      <c r="A518" t="inlineStr">
        <is>
          <t>com</t>
        </is>
      </c>
      <c r="B518" t="inlineStr">
        <is>
          <t>B0DJ658DJB</t>
        </is>
      </c>
      <c r="C518" t="inlineStr">
        <is>
          <t>Puma - Womens Carina 2.0 Sd Shoes, Color Black/Cast Iron, Size: 8.5 M US</t>
        </is>
      </c>
      <c r="D518" t="n">
        <v>74.98999999999999</v>
      </c>
      <c r="E518" t="inlineStr"/>
      <c r="H518" t="n">
        <v>74.98999999999999</v>
      </c>
      <c r="I518" t="n">
        <v>74.98999999999999</v>
      </c>
      <c r="J518" t="n">
        <v>0.62</v>
      </c>
      <c r="K518" t="n">
        <v>1</v>
      </c>
      <c r="L518" t="n">
        <v>1</v>
      </c>
      <c r="Q518" t="n">
        <v>-1</v>
      </c>
      <c r="R518" t="n">
        <v>-1</v>
      </c>
      <c r="S518" t="inlineStr">
        <is>
          <t>B0DGB1BDWN</t>
        </is>
      </c>
      <c r="V518" t="inlineStr"/>
      <c r="W518" t="inlineStr"/>
      <c r="X518" t="inlineStr">
        <is>
          <t>197670757379</t>
        </is>
      </c>
      <c r="Y518" t="inlineStr"/>
      <c r="Z518" t="inlineStr"/>
      <c r="AA518" t="inlineStr">
        <is>
          <t>Black/Cast Iron</t>
        </is>
      </c>
      <c r="AB518" t="inlineStr">
        <is>
          <t>0197670757379</t>
        </is>
      </c>
      <c r="AC518" t="inlineStr">
        <is>
          <t>no Amazon offer exists</t>
        </is>
      </c>
      <c r="AD518" t="inlineStr">
        <is>
          <t>Puma</t>
        </is>
      </c>
      <c r="AE518" t="inlineStr">
        <is>
          <t>8.5</t>
        </is>
      </c>
      <c r="AF518" t="inlineStr">
        <is>
          <t>https://m.media-amazon.com/images/I/51qIG0ZioWL.jpg;https://m.media-amazon.com/images/I/61BoMDp5VTL.jpg;https://m.media-amazon.com/images/I/41wKyOW1TtL.jpg;https://m.media-amazon.com/images/I/61ARsvBTCzL.jpg</t>
        </is>
      </c>
      <c r="AG518" t="inlineStr"/>
    </row>
    <row r="519">
      <c r="A519" t="inlineStr">
        <is>
          <t>com</t>
        </is>
      </c>
      <c r="B519" t="inlineStr">
        <is>
          <t>B0DJ64C2N5</t>
        </is>
      </c>
      <c r="C519" t="inlineStr">
        <is>
          <t>Puma - Womens Carina 2.0 Sd Shoes, Color Black/Cast Iron, Size: 9 M US</t>
        </is>
      </c>
      <c r="D519" t="inlineStr"/>
      <c r="E519" t="inlineStr"/>
      <c r="H519" t="inlineStr"/>
      <c r="I519" t="inlineStr"/>
      <c r="J519" t="n">
        <v>1</v>
      </c>
      <c r="K519" t="n">
        <v>1</v>
      </c>
      <c r="Q519" t="n">
        <v>-1</v>
      </c>
      <c r="R519" t="n">
        <v>-1</v>
      </c>
      <c r="S519" t="inlineStr">
        <is>
          <t>B0DGB1BDWN</t>
        </is>
      </c>
      <c r="V519" t="inlineStr"/>
      <c r="W519" t="inlineStr"/>
      <c r="X519" t="inlineStr">
        <is>
          <t>197670757386</t>
        </is>
      </c>
      <c r="Y519" t="inlineStr"/>
      <c r="Z519" t="inlineStr"/>
      <c r="AA519" t="inlineStr">
        <is>
          <t>Black/Cast Iron</t>
        </is>
      </c>
      <c r="AB519" t="inlineStr">
        <is>
          <t>0197670757386</t>
        </is>
      </c>
      <c r="AC519" t="inlineStr">
        <is>
          <t>no Amazon offer exists</t>
        </is>
      </c>
      <c r="AD519" t="inlineStr">
        <is>
          <t>Puma</t>
        </is>
      </c>
      <c r="AE519" t="inlineStr">
        <is>
          <t>9</t>
        </is>
      </c>
      <c r="AF519" t="inlineStr">
        <is>
          <t>https://m.media-amazon.com/images/I/51qIG0ZioWL.jpg;https://m.media-amazon.com/images/I/61BoMDp5VTL.jpg;https://m.media-amazon.com/images/I/41wKyOW1TtL.jpg;https://m.media-amazon.com/images/I/61ARsvBTCzL.jpg</t>
        </is>
      </c>
      <c r="AG519" t="inlineStr"/>
    </row>
    <row r="520">
      <c r="A520" t="inlineStr">
        <is>
          <t>com</t>
        </is>
      </c>
      <c r="B520" t="inlineStr">
        <is>
          <t>B0DJ64RR16</t>
        </is>
      </c>
      <c r="C520" t="inlineStr">
        <is>
          <t>Puma - Womens Carina 2.0 Sd Shoes, Color Black/Cast Iron, Size: 9.5 M US</t>
        </is>
      </c>
      <c r="D520" t="inlineStr"/>
      <c r="E520" t="inlineStr"/>
      <c r="H520" t="inlineStr"/>
      <c r="I520" t="inlineStr"/>
      <c r="J520" t="n">
        <v>1</v>
      </c>
      <c r="K520" t="n">
        <v>1</v>
      </c>
      <c r="Q520" t="n">
        <v>-1</v>
      </c>
      <c r="R520" t="n">
        <v>-1</v>
      </c>
      <c r="S520" t="inlineStr">
        <is>
          <t>B0DGB1BDWN</t>
        </is>
      </c>
      <c r="V520" t="inlineStr"/>
      <c r="W520" t="inlineStr"/>
      <c r="X520" t="inlineStr">
        <is>
          <t>197670757393</t>
        </is>
      </c>
      <c r="Y520" t="inlineStr"/>
      <c r="Z520" t="inlineStr"/>
      <c r="AA520" t="inlineStr">
        <is>
          <t>Black/Cast Iron</t>
        </is>
      </c>
      <c r="AB520" t="inlineStr">
        <is>
          <t>0197670757393</t>
        </is>
      </c>
      <c r="AC520" t="inlineStr">
        <is>
          <t>no Amazon offer exists</t>
        </is>
      </c>
      <c r="AD520" t="inlineStr">
        <is>
          <t>Puma</t>
        </is>
      </c>
      <c r="AE520" t="inlineStr">
        <is>
          <t>9.5</t>
        </is>
      </c>
      <c r="AF520" t="inlineStr">
        <is>
          <t>https://m.media-amazon.com/images/I/51qIG0ZioWL.jpg;https://m.media-amazon.com/images/I/61BoMDp5VTL.jpg;https://m.media-amazon.com/images/I/41wKyOW1TtL.jpg;https://m.media-amazon.com/images/I/61ARsvBTCzL.jpg</t>
        </is>
      </c>
      <c r="AG520" t="inlineStr"/>
    </row>
    <row r="521">
      <c r="A521" t="inlineStr">
        <is>
          <t>com</t>
        </is>
      </c>
      <c r="B521" t="inlineStr">
        <is>
          <t>B0DJ64XBVV</t>
        </is>
      </c>
      <c r="C521" t="inlineStr">
        <is>
          <t>Puma - Womens Carina 2.0 Sd Shoes, Color Black/Cast Iron, Size: 10 M US</t>
        </is>
      </c>
      <c r="D521" t="inlineStr"/>
      <c r="E521" t="inlineStr"/>
      <c r="H521" t="inlineStr"/>
      <c r="I521" t="inlineStr"/>
      <c r="J521" t="n">
        <v>1</v>
      </c>
      <c r="K521" t="n">
        <v>1</v>
      </c>
      <c r="Q521" t="n">
        <v>-1</v>
      </c>
      <c r="R521" t="n">
        <v>-1</v>
      </c>
      <c r="S521" t="inlineStr">
        <is>
          <t>B0DGB1BDWN</t>
        </is>
      </c>
      <c r="V521" t="inlineStr"/>
      <c r="W521" t="inlineStr"/>
      <c r="X521" t="inlineStr">
        <is>
          <t>197670757409</t>
        </is>
      </c>
      <c r="Y521" t="inlineStr"/>
      <c r="Z521" t="inlineStr"/>
      <c r="AA521" t="inlineStr">
        <is>
          <t>Black/Cast Iron</t>
        </is>
      </c>
      <c r="AB521" t="inlineStr">
        <is>
          <t>0197670757409</t>
        </is>
      </c>
      <c r="AC521" t="inlineStr">
        <is>
          <t>no Amazon offer exists</t>
        </is>
      </c>
      <c r="AD521" t="inlineStr">
        <is>
          <t>Puma</t>
        </is>
      </c>
      <c r="AE521" t="inlineStr">
        <is>
          <t>10</t>
        </is>
      </c>
      <c r="AF521" t="inlineStr">
        <is>
          <t>https://m.media-amazon.com/images/I/51qIG0ZioWL.jpg;https://m.media-amazon.com/images/I/61BoMDp5VTL.jpg;https://m.media-amazon.com/images/I/41wKyOW1TtL.jpg;https://m.media-amazon.com/images/I/61ARsvBTCzL.jpg</t>
        </is>
      </c>
      <c r="AG521" t="inlineStr"/>
    </row>
    <row r="522">
      <c r="A522" t="inlineStr">
        <is>
          <t>com</t>
        </is>
      </c>
      <c r="B522" t="inlineStr">
        <is>
          <t>B0DJ63DF24</t>
        </is>
      </c>
      <c r="C522" t="inlineStr">
        <is>
          <t>Puma - Womens Carina 2.0 Sd Shoes, Color Black/Cast Iron, Size: 11 M US</t>
        </is>
      </c>
      <c r="D522" t="inlineStr"/>
      <c r="E522" t="inlineStr"/>
      <c r="H522" t="inlineStr"/>
      <c r="I522" t="inlineStr"/>
      <c r="J522" t="n">
        <v>1</v>
      </c>
      <c r="K522" t="n">
        <v>1</v>
      </c>
      <c r="Q522" t="n">
        <v>-1</v>
      </c>
      <c r="R522" t="n">
        <v>-1</v>
      </c>
      <c r="S522" t="inlineStr">
        <is>
          <t>B0DGB1BDWN</t>
        </is>
      </c>
      <c r="V522" t="inlineStr"/>
      <c r="W522" t="inlineStr"/>
      <c r="X522" t="inlineStr">
        <is>
          <t>197670757423</t>
        </is>
      </c>
      <c r="Y522" t="inlineStr"/>
      <c r="Z522" t="inlineStr"/>
      <c r="AA522" t="inlineStr">
        <is>
          <t>Black/Cast Iron</t>
        </is>
      </c>
      <c r="AB522" t="inlineStr">
        <is>
          <t>0197670757423</t>
        </is>
      </c>
      <c r="AC522" t="inlineStr">
        <is>
          <t>no Amazon offer exists</t>
        </is>
      </c>
      <c r="AD522" t="inlineStr">
        <is>
          <t>Puma</t>
        </is>
      </c>
      <c r="AE522" t="inlineStr">
        <is>
          <t>11</t>
        </is>
      </c>
      <c r="AF522" t="inlineStr">
        <is>
          <t>https://m.media-amazon.com/images/I/51qIG0ZioWL.jpg;https://m.media-amazon.com/images/I/61BoMDp5VTL.jpg;https://m.media-amazon.com/images/I/41wKyOW1TtL.jpg;https://m.media-amazon.com/images/I/61ARsvBTCzL.jpg</t>
        </is>
      </c>
      <c r="AG522" t="inlineStr"/>
    </row>
    <row r="523">
      <c r="A523" t="inlineStr">
        <is>
          <t>com</t>
        </is>
      </c>
      <c r="B523" t="inlineStr">
        <is>
          <t>B0CLPZZBH2</t>
        </is>
      </c>
      <c r="C523" t="inlineStr">
        <is>
          <t>PUMA Womens Voltaic Evo Cross Trainer, PUMA Womens White-Blue Skies, 5.5</t>
        </is>
      </c>
      <c r="D523" t="n">
        <v>76.72</v>
      </c>
      <c r="E523" t="inlineStr"/>
      <c r="F523" t="n">
        <v>62151</v>
      </c>
      <c r="G523" t="n">
        <v>75956</v>
      </c>
      <c r="H523" t="n">
        <v>76.72</v>
      </c>
      <c r="I523" t="n">
        <v>75.67</v>
      </c>
      <c r="J523" t="n">
        <v>0.11</v>
      </c>
      <c r="K523" t="n">
        <v>0.12</v>
      </c>
      <c r="L523" t="n">
        <v>2</v>
      </c>
      <c r="M523" t="n">
        <v>1</v>
      </c>
      <c r="N523" t="n">
        <v>4.3</v>
      </c>
      <c r="O523" t="n">
        <v>1</v>
      </c>
      <c r="P523" t="n">
        <v>127</v>
      </c>
      <c r="Q523" t="n">
        <v>24</v>
      </c>
      <c r="R523" t="n">
        <v>78</v>
      </c>
      <c r="S523" t="inlineStr">
        <is>
          <t>B0D2NRGT5S</t>
        </is>
      </c>
      <c r="U523" t="n">
        <v>1.59394026</v>
      </c>
      <c r="V523" t="n">
        <v>6.61</v>
      </c>
      <c r="W523" t="inlineStr"/>
      <c r="X523" t="inlineStr">
        <is>
          <t>197646316449</t>
        </is>
      </c>
      <c r="Y523" t="inlineStr">
        <is>
          <t>30972006</t>
        </is>
      </c>
      <c r="Z523" t="inlineStr">
        <is>
          <t>30972006</t>
        </is>
      </c>
      <c r="AA523" t="inlineStr">
        <is>
          <t>Puma White-blue Skies</t>
        </is>
      </c>
      <c r="AB523" t="inlineStr">
        <is>
          <t>0197646316449</t>
        </is>
      </c>
      <c r="AC523" t="inlineStr">
        <is>
          <t>no Amazon offer exists</t>
        </is>
      </c>
      <c r="AD523" t="inlineStr">
        <is>
          <t>PUMA</t>
        </is>
      </c>
      <c r="AE523" t="inlineStr">
        <is>
          <t>5.5</t>
        </is>
      </c>
      <c r="AF523" t="inlineStr">
        <is>
          <t>https://m.media-amazon.com/images/I/61E7CkulmML.jpg;https://m.media-amazon.com/images/I/71hTagZOIRL.jpg;https://m.media-amazon.com/images/I/51MjBVPvq1L.jpg;https://m.media-amazon.com/images/I/61-fJbO1n4L.jpg;https://m.media-amazon.com/images/I/71jhfObRkOL.jpg;https://m.media-amazon.com/images/I/714QbO6xGlL.jpg</t>
        </is>
      </c>
      <c r="AG523" t="inlineStr">
        <is>
          <t>Description
puma womens Voltaic Evo</t>
        </is>
      </c>
    </row>
    <row r="524">
      <c r="A524" t="inlineStr">
        <is>
          <t>com</t>
        </is>
      </c>
      <c r="B524" t="inlineStr">
        <is>
          <t>B0CLPWZZHT</t>
        </is>
      </c>
      <c r="C524" t="inlineStr">
        <is>
          <t>PUMA Women's Voltaic EVO Sneaker, White-Blue Skies, 6</t>
        </is>
      </c>
      <c r="D524" t="n">
        <v>69.53</v>
      </c>
      <c r="E524" t="n">
        <v>69.53</v>
      </c>
      <c r="F524" t="n">
        <v>62151</v>
      </c>
      <c r="G524" t="n">
        <v>76059</v>
      </c>
      <c r="H524" t="n">
        <v>71.81999999999999</v>
      </c>
      <c r="I524" t="n">
        <v>70.54000000000001</v>
      </c>
      <c r="J524" t="n">
        <v>0</v>
      </c>
      <c r="K524" t="n">
        <v>0</v>
      </c>
      <c r="L524" t="n">
        <v>6</v>
      </c>
      <c r="M524" t="n">
        <v>5</v>
      </c>
      <c r="N524" t="n">
        <v>4.3</v>
      </c>
      <c r="O524" t="n">
        <v>1</v>
      </c>
      <c r="P524" t="n">
        <v>125</v>
      </c>
      <c r="Q524" t="n">
        <v>23</v>
      </c>
      <c r="R524" t="n">
        <v>76</v>
      </c>
      <c r="S524" t="inlineStr">
        <is>
          <t>B0D2NRGT5S</t>
        </is>
      </c>
      <c r="U524" t="n">
        <v>1.55866634</v>
      </c>
      <c r="V524" t="n">
        <v>7.03</v>
      </c>
      <c r="W524" t="n">
        <v>10.43</v>
      </c>
      <c r="X524" t="inlineStr">
        <is>
          <t>197646316456</t>
        </is>
      </c>
      <c r="Y524" t="inlineStr">
        <is>
          <t>30972006</t>
        </is>
      </c>
      <c r="Z524" t="inlineStr">
        <is>
          <t>30972006</t>
        </is>
      </c>
      <c r="AA524" t="inlineStr">
        <is>
          <t>Puma White-blue Skies</t>
        </is>
      </c>
      <c r="AB524" t="inlineStr">
        <is>
          <t>0197646316456</t>
        </is>
      </c>
      <c r="AC524" t="inlineStr">
        <is>
          <t>Amazon offer is in stock and shippable</t>
        </is>
      </c>
      <c r="AD524" t="inlineStr">
        <is>
          <t>PUMA</t>
        </is>
      </c>
      <c r="AE524" t="inlineStr">
        <is>
          <t>6</t>
        </is>
      </c>
      <c r="AF524" t="inlineStr">
        <is>
          <t>https://m.media-amazon.com/images/I/61E7CkulmML.jpg;https://m.media-amazon.com/images/I/71hTagZOIRL.jpg;https://m.media-amazon.com/images/I/51MjBVPvq1L.jpg;https://m.media-amazon.com/images/I/61-fJbO1n4L.jpg;https://m.media-amazon.com/images/I/71jhfObRkOL.jpg;https://m.media-amazon.com/images/I/714QbO6xGlL.jpg</t>
        </is>
      </c>
      <c r="AG524" t="inlineStr">
        <is>
          <t>Description
puma womens Voltaic Evo</t>
        </is>
      </c>
    </row>
    <row r="525">
      <c r="A525" t="inlineStr">
        <is>
          <t>com</t>
        </is>
      </c>
      <c r="B525" t="inlineStr">
        <is>
          <t>B0CLPZZBH6</t>
        </is>
      </c>
      <c r="C525" t="inlineStr">
        <is>
          <t>PUMA Women's Voltaic EVO Sneaker, White-Blue Skies, 6.5</t>
        </is>
      </c>
      <c r="D525" t="n">
        <v>69.53</v>
      </c>
      <c r="E525" t="n">
        <v>69.53</v>
      </c>
      <c r="F525" t="n">
        <v>63092</v>
      </c>
      <c r="G525" t="n">
        <v>71810</v>
      </c>
      <c r="H525" t="n">
        <v>75.09</v>
      </c>
      <c r="I525" t="n">
        <v>73.88</v>
      </c>
      <c r="J525" t="n">
        <v>0</v>
      </c>
      <c r="K525" t="n">
        <v>0</v>
      </c>
      <c r="L525" t="n">
        <v>7</v>
      </c>
      <c r="M525" t="n">
        <v>7</v>
      </c>
      <c r="N525" t="n">
        <v>4.3</v>
      </c>
      <c r="O525" t="n">
        <v>5</v>
      </c>
      <c r="P525" t="n">
        <v>127</v>
      </c>
      <c r="Q525" t="n">
        <v>22</v>
      </c>
      <c r="R525" t="n">
        <v>62</v>
      </c>
      <c r="S525" t="inlineStr">
        <is>
          <t>B0D2NRGT5S</t>
        </is>
      </c>
      <c r="U525" t="n">
        <v>1.6755112</v>
      </c>
      <c r="V525" t="n">
        <v>6.61</v>
      </c>
      <c r="W525" t="n">
        <v>10.43</v>
      </c>
      <c r="X525" t="inlineStr">
        <is>
          <t>197646316463</t>
        </is>
      </c>
      <c r="Y525" t="inlineStr">
        <is>
          <t>30972006</t>
        </is>
      </c>
      <c r="Z525" t="inlineStr">
        <is>
          <t>30972006</t>
        </is>
      </c>
      <c r="AA525" t="inlineStr">
        <is>
          <t>Puma White-blue Skies</t>
        </is>
      </c>
      <c r="AB525" t="inlineStr">
        <is>
          <t>0197646316463</t>
        </is>
      </c>
      <c r="AC525" t="inlineStr">
        <is>
          <t>Amazon offer is in stock and shippable</t>
        </is>
      </c>
      <c r="AD525" t="inlineStr">
        <is>
          <t>PUMA</t>
        </is>
      </c>
      <c r="AE525" t="inlineStr">
        <is>
          <t>6.5</t>
        </is>
      </c>
      <c r="AF525" t="inlineStr">
        <is>
          <t>https://m.media-amazon.com/images/I/61E7CkulmML.jpg;https://m.media-amazon.com/images/I/71hTagZOIRL.jpg;https://m.media-amazon.com/images/I/51MjBVPvq1L.jpg;https://m.media-amazon.com/images/I/61-fJbO1n4L.jpg;https://m.media-amazon.com/images/I/71jhfObRkOL.jpg;https://m.media-amazon.com/images/I/714QbO6xGlL.jpg</t>
        </is>
      </c>
      <c r="AG525" t="inlineStr">
        <is>
          <t>Description
puma womens Voltaic Evo</t>
        </is>
      </c>
    </row>
    <row r="526">
      <c r="A526" t="inlineStr">
        <is>
          <t>com</t>
        </is>
      </c>
      <c r="B526" t="inlineStr">
        <is>
          <t>B0CLQ4V1W5</t>
        </is>
      </c>
      <c r="C526" t="inlineStr">
        <is>
          <t>PUMA Women's Voltaic EVO Sneaker, White-Blue Skies, 7</t>
        </is>
      </c>
      <c r="D526" t="n">
        <v>69.53</v>
      </c>
      <c r="E526" t="n">
        <v>69.53</v>
      </c>
      <c r="F526" t="n">
        <v>62281</v>
      </c>
      <c r="G526" t="n">
        <v>73167</v>
      </c>
      <c r="H526" t="n">
        <v>73.89</v>
      </c>
      <c r="I526" t="n">
        <v>74.05</v>
      </c>
      <c r="J526" t="n">
        <v>0</v>
      </c>
      <c r="K526" t="n">
        <v>0</v>
      </c>
      <c r="L526" t="n">
        <v>7</v>
      </c>
      <c r="M526" t="n">
        <v>6</v>
      </c>
      <c r="N526" t="n">
        <v>4.3</v>
      </c>
      <c r="O526" t="n">
        <v>6</v>
      </c>
      <c r="P526" t="n">
        <v>130</v>
      </c>
      <c r="Q526" t="n">
        <v>33</v>
      </c>
      <c r="R526" t="n">
        <v>86</v>
      </c>
      <c r="S526" t="inlineStr">
        <is>
          <t>B0D2NRGT5S</t>
        </is>
      </c>
      <c r="U526" t="n">
        <v>1.7085805</v>
      </c>
      <c r="V526" t="n">
        <v>6.61</v>
      </c>
      <c r="W526" t="n">
        <v>10.43</v>
      </c>
      <c r="X526" t="inlineStr">
        <is>
          <t>197646316470</t>
        </is>
      </c>
      <c r="Y526" t="inlineStr">
        <is>
          <t>30972006</t>
        </is>
      </c>
      <c r="Z526" t="inlineStr">
        <is>
          <t>30972006</t>
        </is>
      </c>
      <c r="AA526" t="inlineStr">
        <is>
          <t>Puma White-blue Skies</t>
        </is>
      </c>
      <c r="AB526" t="inlineStr">
        <is>
          <t>0197646316470</t>
        </is>
      </c>
      <c r="AC526" t="inlineStr">
        <is>
          <t>Amazon offer is in stock and shippable</t>
        </is>
      </c>
      <c r="AD526" t="inlineStr">
        <is>
          <t>PUMA</t>
        </is>
      </c>
      <c r="AE526" t="inlineStr">
        <is>
          <t>7</t>
        </is>
      </c>
      <c r="AF526" t="inlineStr">
        <is>
          <t>https://m.media-amazon.com/images/I/61E7CkulmML.jpg;https://m.media-amazon.com/images/I/71hTagZOIRL.jpg;https://m.media-amazon.com/images/I/51MjBVPvq1L.jpg;https://m.media-amazon.com/images/I/61-fJbO1n4L.jpg;https://m.media-amazon.com/images/I/71jhfObRkOL.jpg;https://m.media-amazon.com/images/I/714QbO6xGlL.jpg</t>
        </is>
      </c>
      <c r="AG526" t="inlineStr">
        <is>
          <t>Description
puma womens Voltaic Evo</t>
        </is>
      </c>
    </row>
    <row r="527">
      <c r="A527" t="inlineStr">
        <is>
          <t>com</t>
        </is>
      </c>
      <c r="B527" t="inlineStr">
        <is>
          <t>B0CLQ4NSLZ</t>
        </is>
      </c>
      <c r="C527" t="inlineStr">
        <is>
          <t>PUMA Women's Voltaic EVO Sneaker, White-Blue Skies, 7.5</t>
        </is>
      </c>
      <c r="D527" t="n">
        <v>69.53</v>
      </c>
      <c r="E527" t="n">
        <v>69.53</v>
      </c>
      <c r="F527" t="n">
        <v>62151</v>
      </c>
      <c r="G527" t="n">
        <v>146003</v>
      </c>
      <c r="H527" t="n">
        <v>71.03</v>
      </c>
      <c r="I527" t="n">
        <v>73.56999999999999</v>
      </c>
      <c r="J527" t="n">
        <v>0</v>
      </c>
      <c r="K527" t="n">
        <v>0</v>
      </c>
      <c r="L527" t="n">
        <v>6</v>
      </c>
      <c r="M527" t="n">
        <v>5</v>
      </c>
      <c r="N527" t="n">
        <v>4.3</v>
      </c>
      <c r="O527" t="n">
        <v>4</v>
      </c>
      <c r="P527" t="n">
        <v>132</v>
      </c>
      <c r="Q527" t="n">
        <v>61</v>
      </c>
      <c r="R527" t="n">
        <v>153</v>
      </c>
      <c r="S527" t="inlineStr">
        <is>
          <t>B0D2NRGT5S</t>
        </is>
      </c>
      <c r="U527" t="n">
        <v>1.6865343</v>
      </c>
      <c r="V527" t="n">
        <v>7.03</v>
      </c>
      <c r="W527" t="n">
        <v>10.43</v>
      </c>
      <c r="X527" t="inlineStr">
        <is>
          <t>197646316487</t>
        </is>
      </c>
      <c r="Y527" t="inlineStr">
        <is>
          <t>30972006</t>
        </is>
      </c>
      <c r="Z527" t="inlineStr">
        <is>
          <t>30972006</t>
        </is>
      </c>
      <c r="AA527" t="inlineStr">
        <is>
          <t>Puma White-blue Skies</t>
        </is>
      </c>
      <c r="AB527" t="inlineStr">
        <is>
          <t>0197646316487</t>
        </is>
      </c>
      <c r="AC527" t="inlineStr">
        <is>
          <t>Amazon offer is in stock and shippable</t>
        </is>
      </c>
      <c r="AD527" t="inlineStr">
        <is>
          <t>PUMA</t>
        </is>
      </c>
      <c r="AE527" t="inlineStr">
        <is>
          <t>7.5</t>
        </is>
      </c>
      <c r="AF527" t="inlineStr">
        <is>
          <t>https://m.media-amazon.com/images/I/61E7CkulmML.jpg;https://m.media-amazon.com/images/I/71hTagZOIRL.jpg;https://m.media-amazon.com/images/I/51MjBVPvq1L.jpg;https://m.media-amazon.com/images/I/61-fJbO1n4L.jpg;https://m.media-amazon.com/images/I/71jhfObRkOL.jpg;https://m.media-amazon.com/images/I/714QbO6xGlL.jpg</t>
        </is>
      </c>
      <c r="AG527" t="inlineStr">
        <is>
          <t>Description
puma womens Voltaic Evo</t>
        </is>
      </c>
    </row>
    <row r="528">
      <c r="A528" t="inlineStr">
        <is>
          <t>com</t>
        </is>
      </c>
      <c r="B528" t="inlineStr">
        <is>
          <t>B0CLQ63L4Q</t>
        </is>
      </c>
      <c r="C528" t="inlineStr">
        <is>
          <t>PUMA Women's Voltaic EVO Sneaker, White-Blue Skies, 8</t>
        </is>
      </c>
      <c r="D528" t="n">
        <v>69.53</v>
      </c>
      <c r="E528" t="n">
        <v>69.53</v>
      </c>
      <c r="F528" t="n">
        <v>63092</v>
      </c>
      <c r="G528" t="n">
        <v>72946</v>
      </c>
      <c r="H528" t="n">
        <v>75.17</v>
      </c>
      <c r="I528" t="n">
        <v>75.11</v>
      </c>
      <c r="J528" t="n">
        <v>0</v>
      </c>
      <c r="K528" t="n">
        <v>0</v>
      </c>
      <c r="L528" t="n">
        <v>6</v>
      </c>
      <c r="M528" t="n">
        <v>4</v>
      </c>
      <c r="N528" t="n">
        <v>4.3</v>
      </c>
      <c r="O528" t="n">
        <v>6</v>
      </c>
      <c r="P528" t="n">
        <v>132</v>
      </c>
      <c r="Q528" t="n">
        <v>37</v>
      </c>
      <c r="R528" t="n">
        <v>94</v>
      </c>
      <c r="S528" t="inlineStr">
        <is>
          <t>B0D2NRGT5S</t>
        </is>
      </c>
      <c r="U528" t="n">
        <v>1.7967653</v>
      </c>
      <c r="V528" t="n">
        <v>7.54</v>
      </c>
      <c r="W528" t="n">
        <v>10.43</v>
      </c>
      <c r="X528" t="inlineStr">
        <is>
          <t>197646316494</t>
        </is>
      </c>
      <c r="Y528" t="inlineStr">
        <is>
          <t>30972006</t>
        </is>
      </c>
      <c r="Z528" t="inlineStr">
        <is>
          <t>30972006</t>
        </is>
      </c>
      <c r="AA528" t="inlineStr">
        <is>
          <t>Puma White-blue Skies</t>
        </is>
      </c>
      <c r="AB528" t="inlineStr">
        <is>
          <t>0197646316494</t>
        </is>
      </c>
      <c r="AC528" t="inlineStr">
        <is>
          <t>Amazon offer is in stock and shippable</t>
        </is>
      </c>
      <c r="AD528" t="inlineStr">
        <is>
          <t>PUMA</t>
        </is>
      </c>
      <c r="AE528" t="inlineStr">
        <is>
          <t>8</t>
        </is>
      </c>
      <c r="AF528" t="inlineStr">
        <is>
          <t>https://m.media-amazon.com/images/I/61E7CkulmML.jpg;https://m.media-amazon.com/images/I/71hTagZOIRL.jpg;https://m.media-amazon.com/images/I/51MjBVPvq1L.jpg;https://m.media-amazon.com/images/I/61-fJbO1n4L.jpg;https://m.media-amazon.com/images/I/71jhfObRkOL.jpg;https://m.media-amazon.com/images/I/714QbO6xGlL.jpg</t>
        </is>
      </c>
      <c r="AG528" t="inlineStr">
        <is>
          <t>Description
puma womens Voltaic Evo</t>
        </is>
      </c>
    </row>
    <row r="529">
      <c r="A529" t="inlineStr">
        <is>
          <t>com</t>
        </is>
      </c>
      <c r="B529" t="inlineStr">
        <is>
          <t>B0CLQ6J85D</t>
        </is>
      </c>
      <c r="C529" t="inlineStr">
        <is>
          <t>PUMA Women's Voltaic EVO Sneaker, White-Blue Skies, 8.5</t>
        </is>
      </c>
      <c r="D529" t="n">
        <v>69.98999999999999</v>
      </c>
      <c r="E529" t="n">
        <v>69.98999999999999</v>
      </c>
      <c r="F529" t="n">
        <v>62281</v>
      </c>
      <c r="G529" t="n">
        <v>76949</v>
      </c>
      <c r="H529" t="n">
        <v>72.22</v>
      </c>
      <c r="I529" t="n">
        <v>71.68000000000001</v>
      </c>
      <c r="J529" t="n">
        <v>0</v>
      </c>
      <c r="K529" t="n">
        <v>0</v>
      </c>
      <c r="L529" t="n">
        <v>7</v>
      </c>
      <c r="M529" t="n">
        <v>6</v>
      </c>
      <c r="N529" t="n">
        <v>4.3</v>
      </c>
      <c r="O529" t="n">
        <v>5</v>
      </c>
      <c r="P529" t="n">
        <v>130</v>
      </c>
      <c r="Q529" t="n">
        <v>23</v>
      </c>
      <c r="R529" t="n">
        <v>82</v>
      </c>
      <c r="S529" t="inlineStr">
        <is>
          <t>B0D2NRGT5S</t>
        </is>
      </c>
      <c r="U529" t="n">
        <v>1.8298346</v>
      </c>
      <c r="V529" t="n">
        <v>7.03</v>
      </c>
      <c r="W529" t="n">
        <v>10.5</v>
      </c>
      <c r="X529" t="inlineStr">
        <is>
          <t>197646316500</t>
        </is>
      </c>
      <c r="Y529" t="inlineStr">
        <is>
          <t>30972006</t>
        </is>
      </c>
      <c r="Z529" t="inlineStr">
        <is>
          <t>30972006</t>
        </is>
      </c>
      <c r="AA529" t="inlineStr">
        <is>
          <t>Puma White-blue Skies</t>
        </is>
      </c>
      <c r="AB529" t="inlineStr">
        <is>
          <t>0197646316500</t>
        </is>
      </c>
      <c r="AC529" t="inlineStr">
        <is>
          <t>Amazon offer is in stock and shippable</t>
        </is>
      </c>
      <c r="AD529" t="inlineStr">
        <is>
          <t>PUMA</t>
        </is>
      </c>
      <c r="AE529" t="inlineStr">
        <is>
          <t>8.5</t>
        </is>
      </c>
      <c r="AF529" t="inlineStr">
        <is>
          <t>https://m.media-amazon.com/images/I/61E7CkulmML.jpg;https://m.media-amazon.com/images/I/71hTagZOIRL.jpg;https://m.media-amazon.com/images/I/51MjBVPvq1L.jpg;https://m.media-amazon.com/images/I/61-fJbO1n4L.jpg;https://m.media-amazon.com/images/I/71jhfObRkOL.jpg;https://m.media-amazon.com/images/I/714QbO6xGlL.jpg</t>
        </is>
      </c>
      <c r="AG529" t="inlineStr">
        <is>
          <t>Description
puma womens Voltaic Evo</t>
        </is>
      </c>
    </row>
    <row r="530">
      <c r="A530" t="inlineStr">
        <is>
          <t>com</t>
        </is>
      </c>
      <c r="B530" t="inlineStr">
        <is>
          <t>B0CLPX1CC9</t>
        </is>
      </c>
      <c r="C530" t="inlineStr">
        <is>
          <t>PUMA Women's Voltaic EVO Sneaker, White-Blue Skies, 9</t>
        </is>
      </c>
      <c r="D530" t="n">
        <v>69.53</v>
      </c>
      <c r="E530" t="n">
        <v>69.53</v>
      </c>
      <c r="F530" t="n">
        <v>62281</v>
      </c>
      <c r="G530" t="n">
        <v>72674</v>
      </c>
      <c r="H530" t="n">
        <v>72.04000000000001</v>
      </c>
      <c r="I530" t="n">
        <v>71.08</v>
      </c>
      <c r="J530" t="n">
        <v>0</v>
      </c>
      <c r="K530" t="n">
        <v>0.03</v>
      </c>
      <c r="L530" t="n">
        <v>6</v>
      </c>
      <c r="M530" t="n">
        <v>6</v>
      </c>
      <c r="N530" t="n">
        <v>4.3</v>
      </c>
      <c r="O530" t="n">
        <v>7</v>
      </c>
      <c r="P530" t="n">
        <v>132</v>
      </c>
      <c r="Q530" t="n">
        <v>29</v>
      </c>
      <c r="R530" t="n">
        <v>86</v>
      </c>
      <c r="S530" t="inlineStr">
        <is>
          <t>B0D2NRGT5S</t>
        </is>
      </c>
      <c r="U530" t="n">
        <v>1.8408577</v>
      </c>
      <c r="V530" t="n">
        <v>7.62</v>
      </c>
      <c r="W530" t="n">
        <v>10.43</v>
      </c>
      <c r="X530" t="inlineStr">
        <is>
          <t>197646316517</t>
        </is>
      </c>
      <c r="Y530" t="inlineStr">
        <is>
          <t>30972006</t>
        </is>
      </c>
      <c r="Z530" t="inlineStr">
        <is>
          <t>30972006</t>
        </is>
      </c>
      <c r="AA530" t="inlineStr">
        <is>
          <t>Puma White-blue Skies</t>
        </is>
      </c>
      <c r="AB530" t="inlineStr">
        <is>
          <t>0197646316517</t>
        </is>
      </c>
      <c r="AC530" t="inlineStr">
        <is>
          <t>Amazon offer is in stock and shippable</t>
        </is>
      </c>
      <c r="AD530" t="inlineStr">
        <is>
          <t>PUMA</t>
        </is>
      </c>
      <c r="AE530" t="inlineStr">
        <is>
          <t>9</t>
        </is>
      </c>
      <c r="AF530" t="inlineStr">
        <is>
          <t>https://m.media-amazon.com/images/I/61E7CkulmML.jpg;https://m.media-amazon.com/images/I/71hTagZOIRL.jpg;https://m.media-amazon.com/images/I/51MjBVPvq1L.jpg;https://m.media-amazon.com/images/I/61-fJbO1n4L.jpg;https://m.media-amazon.com/images/I/71jhfObRkOL.jpg;https://m.media-amazon.com/images/I/714QbO6xGlL.jpg</t>
        </is>
      </c>
      <c r="AG530" t="inlineStr">
        <is>
          <t>Description
puma womens Voltaic Evo</t>
        </is>
      </c>
    </row>
    <row r="531">
      <c r="A531" t="inlineStr">
        <is>
          <t>com</t>
        </is>
      </c>
      <c r="B531" t="inlineStr">
        <is>
          <t>B0CLQ1M4TJ</t>
        </is>
      </c>
      <c r="C531" t="inlineStr">
        <is>
          <t>PUMA Women's Voltaic EVO Sneaker, White-Blue Skies, 9.5</t>
        </is>
      </c>
      <c r="D531" t="n">
        <v>69.53</v>
      </c>
      <c r="E531" t="n">
        <v>69.53</v>
      </c>
      <c r="F531" t="n">
        <v>62151</v>
      </c>
      <c r="G531" t="n">
        <v>71674</v>
      </c>
      <c r="H531" t="n">
        <v>70.34</v>
      </c>
      <c r="I531" t="n">
        <v>71.8</v>
      </c>
      <c r="J531" t="n">
        <v>0</v>
      </c>
      <c r="K531" t="n">
        <v>0</v>
      </c>
      <c r="L531" t="n">
        <v>6</v>
      </c>
      <c r="M531" t="n">
        <v>4</v>
      </c>
      <c r="N531" t="n">
        <v>4.3</v>
      </c>
      <c r="O531" t="n">
        <v>2</v>
      </c>
      <c r="P531" t="n">
        <v>127</v>
      </c>
      <c r="Q531" t="n">
        <v>23</v>
      </c>
      <c r="R531" t="n">
        <v>85</v>
      </c>
      <c r="S531" t="inlineStr">
        <is>
          <t>B0D2NRGT5S</t>
        </is>
      </c>
      <c r="U531" t="n">
        <v>1.89817782</v>
      </c>
      <c r="V531" t="n">
        <v>7.62</v>
      </c>
      <c r="W531" t="n">
        <v>10.43</v>
      </c>
      <c r="X531" t="inlineStr">
        <is>
          <t>197646316524</t>
        </is>
      </c>
      <c r="Y531" t="inlineStr">
        <is>
          <t>30972006</t>
        </is>
      </c>
      <c r="Z531" t="inlineStr">
        <is>
          <t>30972006</t>
        </is>
      </c>
      <c r="AA531" t="inlineStr">
        <is>
          <t>Puma White-blue Skies</t>
        </is>
      </c>
      <c r="AB531" t="inlineStr">
        <is>
          <t>0197646316524</t>
        </is>
      </c>
      <c r="AC531" t="inlineStr">
        <is>
          <t>Amazon offer is in stock and shippable</t>
        </is>
      </c>
      <c r="AD531" t="inlineStr">
        <is>
          <t>PUMA</t>
        </is>
      </c>
      <c r="AE531" t="inlineStr">
        <is>
          <t>9.5</t>
        </is>
      </c>
      <c r="AF531" t="inlineStr">
        <is>
          <t>https://m.media-amazon.com/images/I/61E7CkulmML.jpg;https://m.media-amazon.com/images/I/71hTagZOIRL.jpg;https://m.media-amazon.com/images/I/51MjBVPvq1L.jpg;https://m.media-amazon.com/images/I/61-fJbO1n4L.jpg;https://m.media-amazon.com/images/I/71jhfObRkOL.jpg;https://m.media-amazon.com/images/I/714QbO6xGlL.jpg</t>
        </is>
      </c>
      <c r="AG531" t="inlineStr">
        <is>
          <t>Description
puma womens Voltaic Evo</t>
        </is>
      </c>
    </row>
    <row r="532">
      <c r="A532" t="inlineStr">
        <is>
          <t>com</t>
        </is>
      </c>
      <c r="B532" t="inlineStr">
        <is>
          <t>B0CLQ2SXBD</t>
        </is>
      </c>
      <c r="C532" t="inlineStr">
        <is>
          <t>PUMA Women's Voltaic EVO Sneaker, White-Blue Skies, 10</t>
        </is>
      </c>
      <c r="D532" t="n">
        <v>69.53</v>
      </c>
      <c r="E532" t="n">
        <v>69.53</v>
      </c>
      <c r="F532" t="n">
        <v>62281</v>
      </c>
      <c r="G532" t="n">
        <v>72137</v>
      </c>
      <c r="H532" t="n">
        <v>69.84999999999999</v>
      </c>
      <c r="I532" t="n">
        <v>72.55</v>
      </c>
      <c r="J532" t="n">
        <v>0</v>
      </c>
      <c r="K532" t="n">
        <v>0</v>
      </c>
      <c r="L532" t="n">
        <v>8</v>
      </c>
      <c r="M532" t="n">
        <v>7</v>
      </c>
      <c r="N532" t="n">
        <v>4.3</v>
      </c>
      <c r="O532" t="n">
        <v>3</v>
      </c>
      <c r="P532" t="n">
        <v>127</v>
      </c>
      <c r="Q532" t="n">
        <v>25</v>
      </c>
      <c r="R532" t="n">
        <v>70</v>
      </c>
      <c r="S532" t="inlineStr">
        <is>
          <t>B0D2NRGT5S</t>
        </is>
      </c>
      <c r="U532" t="n">
        <v>1.9621118</v>
      </c>
      <c r="V532" t="n">
        <v>7.62</v>
      </c>
      <c r="W532" t="n">
        <v>10.43</v>
      </c>
      <c r="X532" t="inlineStr">
        <is>
          <t>197646316531</t>
        </is>
      </c>
      <c r="Y532" t="inlineStr">
        <is>
          <t>30972006</t>
        </is>
      </c>
      <c r="Z532" t="inlineStr">
        <is>
          <t>30972006</t>
        </is>
      </c>
      <c r="AA532" t="inlineStr">
        <is>
          <t>Puma White-blue Skies</t>
        </is>
      </c>
      <c r="AB532" t="inlineStr">
        <is>
          <t>0197646316531</t>
        </is>
      </c>
      <c r="AC532" t="inlineStr">
        <is>
          <t>Amazon offer is in stock and shippable</t>
        </is>
      </c>
      <c r="AD532" t="inlineStr">
        <is>
          <t>PUMA</t>
        </is>
      </c>
      <c r="AE532" t="inlineStr">
        <is>
          <t>10</t>
        </is>
      </c>
      <c r="AF532" t="inlineStr">
        <is>
          <t>https://m.media-amazon.com/images/I/61E7CkulmML.jpg;https://m.media-amazon.com/images/I/71hTagZOIRL.jpg;https://m.media-amazon.com/images/I/51MjBVPvq1L.jpg;https://m.media-amazon.com/images/I/61-fJbO1n4L.jpg;https://m.media-amazon.com/images/I/71jhfObRkOL.jpg;https://m.media-amazon.com/images/I/714QbO6xGlL.jpg</t>
        </is>
      </c>
      <c r="AG532" t="inlineStr">
        <is>
          <t>Description
puma womens Voltaic Evo</t>
        </is>
      </c>
    </row>
    <row r="533">
      <c r="A533" t="inlineStr">
        <is>
          <t>com</t>
        </is>
      </c>
      <c r="B533" t="inlineStr">
        <is>
          <t>B0CLQFV4Q3</t>
        </is>
      </c>
      <c r="C533" t="inlineStr">
        <is>
          <t>PUMA Women's Voltaic EVO Sneaker, White-Blue Skies, 10.5</t>
        </is>
      </c>
      <c r="D533" t="n">
        <v>69.53</v>
      </c>
      <c r="E533" t="n">
        <v>69.53</v>
      </c>
      <c r="F533" t="n">
        <v>62151</v>
      </c>
      <c r="G533" t="n">
        <v>73140</v>
      </c>
      <c r="H533" t="n">
        <v>74.98</v>
      </c>
      <c r="I533" t="n">
        <v>75.04000000000001</v>
      </c>
      <c r="J533" t="n">
        <v>0</v>
      </c>
      <c r="K533" t="n">
        <v>0.33</v>
      </c>
      <c r="L533" t="n">
        <v>1</v>
      </c>
      <c r="M533" t="n">
        <v>1</v>
      </c>
      <c r="N533" t="n">
        <v>4.3</v>
      </c>
      <c r="O533" t="n">
        <v>1</v>
      </c>
      <c r="P533" t="n">
        <v>127</v>
      </c>
      <c r="Q533" t="n">
        <v>22</v>
      </c>
      <c r="R533" t="n">
        <v>60</v>
      </c>
      <c r="S533" t="inlineStr">
        <is>
          <t>B0D2NRGT5S</t>
        </is>
      </c>
      <c r="U533" t="n">
        <v>1.95770256</v>
      </c>
      <c r="V533" t="n">
        <v>7.62</v>
      </c>
      <c r="W533" t="n">
        <v>10.43</v>
      </c>
      <c r="X533" t="inlineStr">
        <is>
          <t>197646316548</t>
        </is>
      </c>
      <c r="Y533" t="inlineStr">
        <is>
          <t>30972006</t>
        </is>
      </c>
      <c r="Z533" t="inlineStr">
        <is>
          <t>30972006</t>
        </is>
      </c>
      <c r="AA533" t="inlineStr">
        <is>
          <t>Puma White-blue Skies</t>
        </is>
      </c>
      <c r="AB533" t="inlineStr">
        <is>
          <t>0197646316548</t>
        </is>
      </c>
      <c r="AC533" t="inlineStr">
        <is>
          <t>Amazon offer is in stock and shippable</t>
        </is>
      </c>
      <c r="AD533" t="inlineStr">
        <is>
          <t>PUMA</t>
        </is>
      </c>
      <c r="AE533" t="inlineStr">
        <is>
          <t>10.5</t>
        </is>
      </c>
      <c r="AF533" t="inlineStr">
        <is>
          <t>https://m.media-amazon.com/images/I/61E7CkulmML.jpg;https://m.media-amazon.com/images/I/71hTagZOIRL.jpg;https://m.media-amazon.com/images/I/51MjBVPvq1L.jpg;https://m.media-amazon.com/images/I/61-fJbO1n4L.jpg;https://m.media-amazon.com/images/I/71jhfObRkOL.jpg;https://m.media-amazon.com/images/I/714QbO6xGlL.jpg</t>
        </is>
      </c>
      <c r="AG533" t="inlineStr">
        <is>
          <t>Description
puma womens Voltaic Evo</t>
        </is>
      </c>
    </row>
    <row r="534">
      <c r="A534" t="inlineStr">
        <is>
          <t>com</t>
        </is>
      </c>
      <c r="B534" t="inlineStr">
        <is>
          <t>B0CLQ634YD</t>
        </is>
      </c>
      <c r="C534" t="inlineStr">
        <is>
          <t>PUMA Women's Voltaic EVO Sneaker, White-Blue Skies, 11</t>
        </is>
      </c>
      <c r="D534" t="n">
        <v>69.53</v>
      </c>
      <c r="E534" t="n">
        <v>69.53</v>
      </c>
      <c r="F534" t="n">
        <v>62281</v>
      </c>
      <c r="G534" t="n">
        <v>73773</v>
      </c>
      <c r="H534" t="n">
        <v>74.23</v>
      </c>
      <c r="I534" t="n">
        <v>72.79000000000001</v>
      </c>
      <c r="J534" t="n">
        <v>0</v>
      </c>
      <c r="K534" t="n">
        <v>0.11</v>
      </c>
      <c r="L534" t="n">
        <v>3</v>
      </c>
      <c r="M534" t="n">
        <v>3</v>
      </c>
      <c r="N534" t="n">
        <v>4.3</v>
      </c>
      <c r="O534" t="n">
        <v>0</v>
      </c>
      <c r="P534" t="n">
        <v>127</v>
      </c>
      <c r="Q534" t="n">
        <v>30</v>
      </c>
      <c r="R534" t="n">
        <v>67</v>
      </c>
      <c r="S534" t="inlineStr">
        <is>
          <t>B0D2NRGT5S</t>
        </is>
      </c>
      <c r="U534" t="n">
        <v>1.98856724</v>
      </c>
      <c r="V534" t="n">
        <v>7.62</v>
      </c>
      <c r="W534" t="n">
        <v>10.43</v>
      </c>
      <c r="X534" t="inlineStr">
        <is>
          <t>197646316555</t>
        </is>
      </c>
      <c r="Y534" t="inlineStr">
        <is>
          <t>30972006</t>
        </is>
      </c>
      <c r="Z534" t="inlineStr">
        <is>
          <t>30972006</t>
        </is>
      </c>
      <c r="AA534" t="inlineStr">
        <is>
          <t>Puma White-blue Skies</t>
        </is>
      </c>
      <c r="AB534" t="inlineStr">
        <is>
          <t>0197646316555</t>
        </is>
      </c>
      <c r="AC534" t="inlineStr">
        <is>
          <t>Amazon offer is in stock and shippable</t>
        </is>
      </c>
      <c r="AD534" t="inlineStr">
        <is>
          <t>PUMA</t>
        </is>
      </c>
      <c r="AE534" t="inlineStr">
        <is>
          <t>11</t>
        </is>
      </c>
      <c r="AF534" t="inlineStr">
        <is>
          <t>https://m.media-amazon.com/images/I/61E7CkulmML.jpg;https://m.media-amazon.com/images/I/71hTagZOIRL.jpg;https://m.media-amazon.com/images/I/51MjBVPvq1L.jpg;https://m.media-amazon.com/images/I/61-fJbO1n4L.jpg;https://m.media-amazon.com/images/I/71jhfObRkOL.jpg;https://m.media-amazon.com/images/I/714QbO6xGlL.jpg</t>
        </is>
      </c>
      <c r="AG534" t="inlineStr">
        <is>
          <t>Description
puma womens Voltaic Evo</t>
        </is>
      </c>
    </row>
    <row r="535">
      <c r="A535" t="inlineStr">
        <is>
          <t>com</t>
        </is>
      </c>
      <c r="B535" t="inlineStr">
        <is>
          <t>B0CVFL6XSK</t>
        </is>
      </c>
      <c r="C535" t="inlineStr">
        <is>
          <t>PUMA Vikky v3 Leather Womens Sneaker 6 BM US WhiteRose DustGold</t>
        </is>
      </c>
      <c r="D535" t="inlineStr"/>
      <c r="E535" t="inlineStr"/>
      <c r="H535" t="inlineStr"/>
      <c r="I535" t="inlineStr"/>
      <c r="J535" t="n">
        <v>1</v>
      </c>
      <c r="K535" t="n">
        <v>1</v>
      </c>
      <c r="N535" t="n">
        <v>4.6</v>
      </c>
      <c r="O535" t="n">
        <v>0</v>
      </c>
      <c r="P535" t="n">
        <v>3</v>
      </c>
      <c r="Q535" t="n">
        <v>0</v>
      </c>
      <c r="R535" t="n">
        <v>0</v>
      </c>
      <c r="S535" t="inlineStr"/>
      <c r="U535" t="n">
        <v>2.10100286</v>
      </c>
      <c r="V535" t="n">
        <v>7.78</v>
      </c>
      <c r="W535" t="inlineStr"/>
      <c r="X535" t="inlineStr">
        <is>
          <t>195552521957</t>
        </is>
      </c>
      <c r="Y535" t="inlineStr"/>
      <c r="Z535" t="inlineStr"/>
      <c r="AA535" t="inlineStr">
        <is>
          <t>White-rose Dust-gold</t>
        </is>
      </c>
      <c r="AB535" t="inlineStr">
        <is>
          <t>0195552521957</t>
        </is>
      </c>
      <c r="AC535" t="inlineStr">
        <is>
          <t>no Amazon offer exists</t>
        </is>
      </c>
      <c r="AD535" t="inlineStr">
        <is>
          <t>PUMA</t>
        </is>
      </c>
      <c r="AE535" t="inlineStr">
        <is>
          <t>6</t>
        </is>
      </c>
      <c r="AF535" t="inlineStr">
        <is>
          <t>https://m.media-amazon.com/images/I/41ws9rqFBqL.jpg;https://m.media-amazon.com/images/I/41uBX7VvRtL.jpg;https://m.media-amazon.com/images/I/41EvtDSuY6L.jpg;https://m.media-amazon.com/images/I/51APLAjRhLL.jpg;https://m.media-amazon.com/images/I/413LHSr7nDL.jpg;https://m.media-amazon.com/images/I/41v9b2mv38L.jpg</t>
        </is>
      </c>
      <c r="AG535" t="inlineStr">
        <is>
          <t>*Athletic sneaker from PUMA *Soft and smooth tumbled leather upper *Lace-up front closure *Comfy, cushioned footbed</t>
        </is>
      </c>
    </row>
    <row r="536">
      <c r="A536" t="inlineStr">
        <is>
          <t>com</t>
        </is>
      </c>
      <c r="B536" t="inlineStr">
        <is>
          <t>B0CW8299Z6</t>
        </is>
      </c>
      <c r="C536" t="inlineStr">
        <is>
          <t>PUMA Vikky v3 Leather Womens Sneaker 65 BM US WhiteRose DustGold</t>
        </is>
      </c>
      <c r="D536" t="n">
        <v>58.06</v>
      </c>
      <c r="E536" t="inlineStr"/>
      <c r="F536" t="n">
        <v>9431621</v>
      </c>
      <c r="G536" t="n">
        <v>9014201</v>
      </c>
      <c r="H536" t="inlineStr"/>
      <c r="I536" t="n">
        <v>58.06</v>
      </c>
      <c r="J536" t="n">
        <v>1</v>
      </c>
      <c r="K536" t="n">
        <v>1</v>
      </c>
      <c r="N536" t="n">
        <v>4.5</v>
      </c>
      <c r="O536" t="n">
        <v>0</v>
      </c>
      <c r="P536" t="n">
        <v>2</v>
      </c>
      <c r="Q536" t="n">
        <v>0</v>
      </c>
      <c r="R536" t="n">
        <v>0</v>
      </c>
      <c r="S536" t="inlineStr"/>
      <c r="U536" t="n">
        <v>2.10100286</v>
      </c>
      <c r="V536" t="n">
        <v>7.78</v>
      </c>
      <c r="W536" t="inlineStr"/>
      <c r="X536" t="inlineStr">
        <is>
          <t>195552521964</t>
        </is>
      </c>
      <c r="Y536" t="inlineStr"/>
      <c r="Z536" t="inlineStr"/>
      <c r="AA536" t="inlineStr">
        <is>
          <t>White-rose Dust-gold</t>
        </is>
      </c>
      <c r="AB536" t="inlineStr">
        <is>
          <t>0195552521964</t>
        </is>
      </c>
      <c r="AC536" t="inlineStr">
        <is>
          <t>no Amazon offer exists</t>
        </is>
      </c>
      <c r="AD536" t="inlineStr">
        <is>
          <t>PUMA</t>
        </is>
      </c>
      <c r="AE536" t="inlineStr">
        <is>
          <t>6.5</t>
        </is>
      </c>
      <c r="AF536" t="inlineStr">
        <is>
          <t>https://m.media-amazon.com/images/I/51APLAjRhLL.jpg;https://m.media-amazon.com/images/I/41uBX7VvRtL.jpg;https://m.media-amazon.com/images/I/41EvtDSuY6L.jpg;https://m.media-amazon.com/images/I/41ws9rqFBqL.jpg;https://m.media-amazon.com/images/I/413LHSr7nDL.jpg;https://m.media-amazon.com/images/I/41v9b2mv38L.jpg</t>
        </is>
      </c>
      <c r="AG536" t="inlineStr">
        <is>
          <t>*Athletic sneaker from PUMA *Soft and smooth tumbled leather upper *Lace-up front closure *Comfy, cushioned footbed</t>
        </is>
      </c>
    </row>
    <row r="537">
      <c r="A537" t="inlineStr">
        <is>
          <t>com</t>
        </is>
      </c>
      <c r="B537" t="inlineStr">
        <is>
          <t>B0CVW6PJ68</t>
        </is>
      </c>
      <c r="C537" t="inlineStr">
        <is>
          <t>PUMA Vikky v3 Leather Womens Sneaker 7 BM US WhiteRose DustGold</t>
        </is>
      </c>
      <c r="D537" t="n">
        <v>53.12</v>
      </c>
      <c r="E537" t="inlineStr"/>
      <c r="H537" t="inlineStr"/>
      <c r="I537" t="n">
        <v>53.12</v>
      </c>
      <c r="J537" t="n">
        <v>1</v>
      </c>
      <c r="K537" t="n">
        <v>1</v>
      </c>
      <c r="N537" t="n">
        <v>4.5</v>
      </c>
      <c r="O537" t="n">
        <v>0</v>
      </c>
      <c r="P537" t="n">
        <v>2</v>
      </c>
      <c r="Q537" t="n">
        <v>0</v>
      </c>
      <c r="R537" t="n">
        <v>0</v>
      </c>
      <c r="S537" t="inlineStr"/>
      <c r="U537" t="n">
        <v>2.10100286</v>
      </c>
      <c r="V537" t="n">
        <v>7.78</v>
      </c>
      <c r="W537" t="inlineStr"/>
      <c r="X537" t="inlineStr">
        <is>
          <t>195552521971</t>
        </is>
      </c>
      <c r="Y537" t="inlineStr"/>
      <c r="Z537" t="inlineStr"/>
      <c r="AA537" t="inlineStr">
        <is>
          <t>White-rose Dust-gold</t>
        </is>
      </c>
      <c r="AB537" t="inlineStr">
        <is>
          <t>0195552521971</t>
        </is>
      </c>
      <c r="AC537" t="inlineStr">
        <is>
          <t>no Amazon offer exists</t>
        </is>
      </c>
      <c r="AD537" t="inlineStr">
        <is>
          <t>PUMA</t>
        </is>
      </c>
      <c r="AE537" t="inlineStr">
        <is>
          <t>7</t>
        </is>
      </c>
      <c r="AF537" t="inlineStr">
        <is>
          <t>https://m.media-amazon.com/images/I/51APLAjRhLL.jpg;https://m.media-amazon.com/images/I/41uBX7VvRtL.jpg;https://m.media-amazon.com/images/I/41EvtDSuY6L.jpg;https://m.media-amazon.com/images/I/41ws9rqFBqL.jpg;https://m.media-amazon.com/images/I/413LHSr7nDL.jpg;https://m.media-amazon.com/images/I/41v9b2mv38L.jpg</t>
        </is>
      </c>
      <c r="AG537" t="inlineStr">
        <is>
          <t>*Athletic sneaker from PUMA *Soft and smooth tumbled leather upper *Lace-up front closure *Comfy, cushioned footbed</t>
        </is>
      </c>
    </row>
    <row r="538">
      <c r="A538" t="inlineStr">
        <is>
          <t>com</t>
        </is>
      </c>
      <c r="B538" t="inlineStr">
        <is>
          <t>B0CWC1KN3P</t>
        </is>
      </c>
      <c r="C538" t="inlineStr">
        <is>
          <t>PUMA Vikky v3 Leather Womens Sneaker 75 BM US WhiteRose DustGold</t>
        </is>
      </c>
      <c r="D538" t="n">
        <v>53.12</v>
      </c>
      <c r="E538" t="inlineStr"/>
      <c r="F538" t="n">
        <v>9286363</v>
      </c>
      <c r="G538" t="n">
        <v>8797166</v>
      </c>
      <c r="H538" t="n">
        <v>53.12</v>
      </c>
      <c r="I538" t="n">
        <v>53.12</v>
      </c>
      <c r="J538" t="n">
        <v>0.96</v>
      </c>
      <c r="K538" t="n">
        <v>1</v>
      </c>
      <c r="L538" t="n">
        <v>1</v>
      </c>
      <c r="O538" t="n">
        <v>0</v>
      </c>
      <c r="Q538" t="n">
        <v>0</v>
      </c>
      <c r="R538" t="n">
        <v>0</v>
      </c>
      <c r="S538" t="inlineStr"/>
      <c r="U538" t="n">
        <v>2.10100286</v>
      </c>
      <c r="V538" t="n">
        <v>7.78</v>
      </c>
      <c r="W538" t="inlineStr"/>
      <c r="X538" t="inlineStr">
        <is>
          <t>195552521988</t>
        </is>
      </c>
      <c r="Y538" t="inlineStr"/>
      <c r="Z538" t="inlineStr"/>
      <c r="AA538" t="inlineStr">
        <is>
          <t>White-rose Dust-gold</t>
        </is>
      </c>
      <c r="AB538" t="inlineStr">
        <is>
          <t>0195552521988</t>
        </is>
      </c>
      <c r="AC538" t="inlineStr">
        <is>
          <t>no Amazon offer exists</t>
        </is>
      </c>
      <c r="AD538" t="inlineStr">
        <is>
          <t>PUMA</t>
        </is>
      </c>
      <c r="AE538" t="inlineStr">
        <is>
          <t>7.5</t>
        </is>
      </c>
      <c r="AF538" t="inlineStr">
        <is>
          <t>https://m.media-amazon.com/images/I/51APLAjRhLL.jpg;https://m.media-amazon.com/images/I/41uBX7VvRtL.jpg;https://m.media-amazon.com/images/I/41EvtDSuY6L.jpg;https://m.media-amazon.com/images/I/41ws9rqFBqL.jpg;https://m.media-amazon.com/images/I/413LHSr7nDL.jpg;https://m.media-amazon.com/images/I/41v9b2mv38L.jpg</t>
        </is>
      </c>
      <c r="AG538" t="inlineStr">
        <is>
          <t>*Athletic sneaker from PUMA *Soft and smooth tumbled leather upper *Lace-up front closure *Comfy, cushioned footbed</t>
        </is>
      </c>
    </row>
    <row r="539">
      <c r="A539" t="inlineStr">
        <is>
          <t>com</t>
        </is>
      </c>
      <c r="B539" t="inlineStr">
        <is>
          <t>B0CVSL4DH2</t>
        </is>
      </c>
      <c r="C539" t="inlineStr">
        <is>
          <t>PUMA Vikky v3 Leather Womens Sneaker 8 BM US WhiteRose DustGold</t>
        </is>
      </c>
      <c r="D539" t="inlineStr"/>
      <c r="E539" t="inlineStr"/>
      <c r="F539" t="n">
        <v>9763927</v>
      </c>
      <c r="G539" t="n">
        <v>9368827</v>
      </c>
      <c r="H539" t="inlineStr"/>
      <c r="I539" t="inlineStr"/>
      <c r="J539" t="n">
        <v>1</v>
      </c>
      <c r="K539" t="n">
        <v>1</v>
      </c>
      <c r="N539" t="n">
        <v>4.5</v>
      </c>
      <c r="O539" t="n">
        <v>0</v>
      </c>
      <c r="P539" t="n">
        <v>2</v>
      </c>
      <c r="Q539" t="n">
        <v>0</v>
      </c>
      <c r="R539" t="n">
        <v>0</v>
      </c>
      <c r="S539" t="inlineStr"/>
      <c r="U539" t="n">
        <v>2.10100286</v>
      </c>
      <c r="V539" t="n">
        <v>7.78</v>
      </c>
      <c r="W539" t="inlineStr"/>
      <c r="X539" t="inlineStr">
        <is>
          <t>195552521995</t>
        </is>
      </c>
      <c r="Y539" t="inlineStr"/>
      <c r="Z539" t="inlineStr"/>
      <c r="AA539" t="inlineStr">
        <is>
          <t>White-rose Dust-gold</t>
        </is>
      </c>
      <c r="AB539" t="inlineStr">
        <is>
          <t>0195552521995</t>
        </is>
      </c>
      <c r="AC539" t="inlineStr">
        <is>
          <t>no Amazon offer exists</t>
        </is>
      </c>
      <c r="AD539" t="inlineStr">
        <is>
          <t>PUMA</t>
        </is>
      </c>
      <c r="AE539" t="inlineStr">
        <is>
          <t>8</t>
        </is>
      </c>
      <c r="AF539" t="inlineStr">
        <is>
          <t>https://m.media-amazon.com/images/I/51APLAjRhLL.jpg;https://m.media-amazon.com/images/I/41uBX7VvRtL.jpg;https://m.media-amazon.com/images/I/41EvtDSuY6L.jpg;https://m.media-amazon.com/images/I/41ws9rqFBqL.jpg;https://m.media-amazon.com/images/I/413LHSr7nDL.jpg;https://m.media-amazon.com/images/I/41v9b2mv38L.jpg</t>
        </is>
      </c>
      <c r="AG539" t="inlineStr">
        <is>
          <t>*Athletic sneaker from PUMA *Soft and smooth tumbled leather upper *Lace-up front closure *Comfy, cushioned footbed</t>
        </is>
      </c>
    </row>
    <row r="540">
      <c r="A540" t="inlineStr">
        <is>
          <t>com</t>
        </is>
      </c>
      <c r="B540" t="inlineStr">
        <is>
          <t>B0CTXR32N6</t>
        </is>
      </c>
      <c r="C540" t="inlineStr">
        <is>
          <t>PUMA Vikky v3 Leather Womens Sneaker 85 BM US WhiteRose DustGold</t>
        </is>
      </c>
      <c r="D540" t="n">
        <v>53.38</v>
      </c>
      <c r="E540" t="n">
        <v>53.38</v>
      </c>
      <c r="F540" t="n">
        <v>7337277</v>
      </c>
      <c r="G540" t="n">
        <v>6505407</v>
      </c>
      <c r="H540" t="n">
        <v>53.55</v>
      </c>
      <c r="I540" t="n">
        <v>53.97</v>
      </c>
      <c r="J540" t="n">
        <v>0</v>
      </c>
      <c r="K540" t="n">
        <v>1</v>
      </c>
      <c r="L540" t="n">
        <v>1</v>
      </c>
      <c r="M540" t="n">
        <v>1</v>
      </c>
      <c r="O540" t="n">
        <v>0</v>
      </c>
      <c r="Q540" t="n">
        <v>0</v>
      </c>
      <c r="R540" t="n">
        <v>1</v>
      </c>
      <c r="S540" t="inlineStr"/>
      <c r="U540" t="n">
        <v>2.10100286</v>
      </c>
      <c r="V540" t="n">
        <v>7.78</v>
      </c>
      <c r="W540" t="n">
        <v>8.01</v>
      </c>
      <c r="X540" t="inlineStr">
        <is>
          <t>195552522008</t>
        </is>
      </c>
      <c r="Y540" t="inlineStr"/>
      <c r="Z540" t="inlineStr"/>
      <c r="AA540" t="inlineStr">
        <is>
          <t>White-rose Dust-gold</t>
        </is>
      </c>
      <c r="AB540" t="inlineStr">
        <is>
          <t>0195552522008</t>
        </is>
      </c>
      <c r="AC540" t="inlineStr">
        <is>
          <t>no Amazon offer exists</t>
        </is>
      </c>
      <c r="AD540" t="inlineStr">
        <is>
          <t>PUMA</t>
        </is>
      </c>
      <c r="AE540" t="inlineStr">
        <is>
          <t>8.5</t>
        </is>
      </c>
      <c r="AF540" t="inlineStr">
        <is>
          <t>https://m.media-amazon.com/images/I/51APLAjRhLL.jpg;https://m.media-amazon.com/images/I/41uBX7VvRtL.jpg;https://m.media-amazon.com/images/I/41EvtDSuY6L.jpg;https://m.media-amazon.com/images/I/41ws9rqFBqL.jpg;https://m.media-amazon.com/images/I/413LHSr7nDL.jpg;https://m.media-amazon.com/images/I/41v9b2mv38L.jpg</t>
        </is>
      </c>
      <c r="AG540" t="inlineStr">
        <is>
          <t>Description
*Athletic sneaker from PUMA *Soft and smooth tumbled leather upper *Lace-up front closure *Comfy, cushioned footbed</t>
        </is>
      </c>
    </row>
    <row r="541">
      <c r="A541" t="inlineStr">
        <is>
          <t>com</t>
        </is>
      </c>
      <c r="B541" t="inlineStr">
        <is>
          <t>B0CW9KX77X</t>
        </is>
      </c>
      <c r="C541" t="inlineStr">
        <is>
          <t>PUMA Vikky v3 Leather Womens Sneaker 9 BM US WhiteRose DustGold</t>
        </is>
      </c>
      <c r="D541" t="n">
        <v>54.88</v>
      </c>
      <c r="E541" t="inlineStr"/>
      <c r="F541" t="n">
        <v>7332067</v>
      </c>
      <c r="G541" t="n">
        <v>5350450</v>
      </c>
      <c r="H541" t="n">
        <v>54.88</v>
      </c>
      <c r="I541" t="n">
        <v>54.69</v>
      </c>
      <c r="J541" t="n">
        <v>0.88</v>
      </c>
      <c r="K541" t="n">
        <v>1</v>
      </c>
      <c r="L541" t="n">
        <v>1</v>
      </c>
      <c r="O541" t="n">
        <v>0</v>
      </c>
      <c r="Q541" t="n">
        <v>0</v>
      </c>
      <c r="R541" t="n">
        <v>1</v>
      </c>
      <c r="S541" t="inlineStr"/>
      <c r="U541" t="n">
        <v>2.10100286</v>
      </c>
      <c r="V541" t="n">
        <v>7.78</v>
      </c>
      <c r="W541" t="inlineStr"/>
      <c r="X541" t="inlineStr">
        <is>
          <t>195552522015</t>
        </is>
      </c>
      <c r="Y541" t="inlineStr"/>
      <c r="Z541" t="inlineStr"/>
      <c r="AA541" t="inlineStr">
        <is>
          <t>White-rose Dust-gold</t>
        </is>
      </c>
      <c r="AB541" t="inlineStr">
        <is>
          <t>0195552522015</t>
        </is>
      </c>
      <c r="AC541" t="inlineStr">
        <is>
          <t>no Amazon offer exists</t>
        </is>
      </c>
      <c r="AD541" t="inlineStr">
        <is>
          <t>PUMA</t>
        </is>
      </c>
      <c r="AE541" t="inlineStr">
        <is>
          <t>9</t>
        </is>
      </c>
      <c r="AF541" t="inlineStr">
        <is>
          <t>https://m.media-amazon.com/images/I/51APLAjRhLL.jpg;https://m.media-amazon.com/images/I/41uBX7VvRtL.jpg;https://m.media-amazon.com/images/I/41EvtDSuY6L.jpg;https://m.media-amazon.com/images/I/41ws9rqFBqL.jpg;https://m.media-amazon.com/images/I/413LHSr7nDL.jpg;https://m.media-amazon.com/images/I/41v9b2mv38L.jpg</t>
        </is>
      </c>
      <c r="AG541" t="inlineStr">
        <is>
          <t>*Athletic sneaker from PUMA *Soft and smooth tumbled leather upper *Lace-up front closure *Comfy, cushioned footbed</t>
        </is>
      </c>
    </row>
    <row r="542">
      <c r="A542" t="inlineStr">
        <is>
          <t>com</t>
        </is>
      </c>
      <c r="B542" t="inlineStr">
        <is>
          <t>B0CTK8SSGG</t>
        </is>
      </c>
      <c r="C542" t="inlineStr">
        <is>
          <t>PUMA Vikky v3 Leather Womens Sneaker 95 BM US WhiteRose DustGold</t>
        </is>
      </c>
      <c r="D542" t="n">
        <v>53.12</v>
      </c>
      <c r="E542" t="inlineStr"/>
      <c r="F542" t="n">
        <v>9190004</v>
      </c>
      <c r="G542" t="n">
        <v>8488876</v>
      </c>
      <c r="H542" t="inlineStr"/>
      <c r="I542" t="n">
        <v>53.12</v>
      </c>
      <c r="J542" t="n">
        <v>1</v>
      </c>
      <c r="K542" t="n">
        <v>1</v>
      </c>
      <c r="O542" t="n">
        <v>0</v>
      </c>
      <c r="Q542" t="n">
        <v>0</v>
      </c>
      <c r="R542" t="n">
        <v>0</v>
      </c>
      <c r="S542" t="inlineStr"/>
      <c r="U542" t="n">
        <v>2.10100286</v>
      </c>
      <c r="V542" t="n">
        <v>7.78</v>
      </c>
      <c r="W542" t="inlineStr"/>
      <c r="X542" t="inlineStr">
        <is>
          <t>195552522039</t>
        </is>
      </c>
      <c r="Y542" t="inlineStr"/>
      <c r="Z542" t="inlineStr"/>
      <c r="AA542" t="inlineStr">
        <is>
          <t>White-rose Dust-gold</t>
        </is>
      </c>
      <c r="AB542" t="inlineStr">
        <is>
          <t>0195552522039</t>
        </is>
      </c>
      <c r="AC542" t="inlineStr">
        <is>
          <t>no Amazon offer exists</t>
        </is>
      </c>
      <c r="AD542" t="inlineStr">
        <is>
          <t>PUMA</t>
        </is>
      </c>
      <c r="AE542" t="inlineStr">
        <is>
          <t>9.5</t>
        </is>
      </c>
      <c r="AF542" t="inlineStr">
        <is>
          <t>https://m.media-amazon.com/images/I/51APLAjRhLL.jpg;https://m.media-amazon.com/images/I/41uBX7VvRtL.jpg;https://m.media-amazon.com/images/I/41EvtDSuY6L.jpg;https://m.media-amazon.com/images/I/41ws9rqFBqL.jpg;https://m.media-amazon.com/images/I/413LHSr7nDL.jpg;https://m.media-amazon.com/images/I/41v9b2mv38L.jpg</t>
        </is>
      </c>
      <c r="AG542" t="inlineStr">
        <is>
          <t>*Athletic sneaker from PUMA *Soft and smooth tumbled leather upper *Lace-up front closure *Comfy, cushioned footbed</t>
        </is>
      </c>
    </row>
    <row r="543">
      <c r="A543" t="inlineStr">
        <is>
          <t>com</t>
        </is>
      </c>
      <c r="B543" t="inlineStr">
        <is>
          <t>B0CTLNZVD7</t>
        </is>
      </c>
      <c r="C543" t="inlineStr">
        <is>
          <t>PUMA Vikky v3 Leather Womens Sneaker 10 BM US WhiteRose DustGold</t>
        </is>
      </c>
      <c r="D543" t="n">
        <v>57.46</v>
      </c>
      <c r="E543" t="inlineStr"/>
      <c r="F543" t="n">
        <v>11881267</v>
      </c>
      <c r="G543" t="n">
        <v>11246697</v>
      </c>
      <c r="H543" t="n">
        <v>57.46</v>
      </c>
      <c r="I543" t="n">
        <v>54.86</v>
      </c>
      <c r="J543" t="n">
        <v>0.67</v>
      </c>
      <c r="K543" t="n">
        <v>1</v>
      </c>
      <c r="L543" t="n">
        <v>1</v>
      </c>
      <c r="O543" t="n">
        <v>0</v>
      </c>
      <c r="Q543" t="n">
        <v>0</v>
      </c>
      <c r="R543" t="n">
        <v>0</v>
      </c>
      <c r="S543" t="inlineStr"/>
      <c r="U543" t="n">
        <v>2.10100286</v>
      </c>
      <c r="V543" t="n">
        <v>7.78</v>
      </c>
      <c r="W543" t="inlineStr"/>
      <c r="X543" t="inlineStr">
        <is>
          <t>195552522046</t>
        </is>
      </c>
      <c r="Y543" t="inlineStr"/>
      <c r="Z543" t="inlineStr"/>
      <c r="AA543" t="inlineStr">
        <is>
          <t>White-rose Dust-gold</t>
        </is>
      </c>
      <c r="AB543" t="inlineStr">
        <is>
          <t>0195552522046</t>
        </is>
      </c>
      <c r="AC543" t="inlineStr">
        <is>
          <t>no Amazon offer exists</t>
        </is>
      </c>
      <c r="AD543" t="inlineStr">
        <is>
          <t>PUMA</t>
        </is>
      </c>
      <c r="AE543" t="inlineStr">
        <is>
          <t>10</t>
        </is>
      </c>
      <c r="AF543" t="inlineStr">
        <is>
          <t>https://m.media-amazon.com/images/I/51APLAjRhLL.jpg;https://m.media-amazon.com/images/I/41uBX7VvRtL.jpg;https://m.media-amazon.com/images/I/41EvtDSuY6L.jpg;https://m.media-amazon.com/images/I/41ws9rqFBqL.jpg;https://m.media-amazon.com/images/I/413LHSr7nDL.jpg;https://m.media-amazon.com/images/I/41v9b2mv38L.jpg</t>
        </is>
      </c>
      <c r="AG543" t="inlineStr">
        <is>
          <t>*Athletic sneaker from PUMA *Soft and smooth tumbled leather upper *Lace-up front closure *Comfy, cushioned footbed</t>
        </is>
      </c>
    </row>
    <row r="544">
      <c r="A544" t="inlineStr">
        <is>
          <t>com</t>
        </is>
      </c>
      <c r="B544" t="inlineStr">
        <is>
          <t>B0CWCN67KP</t>
        </is>
      </c>
      <c r="C544" t="inlineStr">
        <is>
          <t>PUMA Vikky v3 Leather Womens Sneaker 11 BM US WhiteRose DustGold</t>
        </is>
      </c>
      <c r="D544" t="n">
        <v>53.12</v>
      </c>
      <c r="E544" t="n">
        <v>53.12</v>
      </c>
      <c r="H544" t="inlineStr"/>
      <c r="I544" t="inlineStr"/>
      <c r="J544" t="n">
        <v>0.33</v>
      </c>
      <c r="K544" t="n">
        <v>1</v>
      </c>
      <c r="L544" t="n">
        <v>1</v>
      </c>
      <c r="M544" t="n">
        <v>1</v>
      </c>
      <c r="O544" t="n">
        <v>0</v>
      </c>
      <c r="Q544" t="n">
        <v>0</v>
      </c>
      <c r="R544" t="n">
        <v>0</v>
      </c>
      <c r="S544" t="inlineStr"/>
      <c r="U544" t="n">
        <v>2.10100286</v>
      </c>
      <c r="V544" t="n">
        <v>7.78</v>
      </c>
      <c r="W544" t="inlineStr"/>
      <c r="X544" t="inlineStr">
        <is>
          <t>195552522060</t>
        </is>
      </c>
      <c r="Y544" t="inlineStr"/>
      <c r="Z544" t="inlineStr"/>
      <c r="AA544" t="inlineStr">
        <is>
          <t>White-rose Dust-gold</t>
        </is>
      </c>
      <c r="AB544" t="inlineStr">
        <is>
          <t>0195552522060</t>
        </is>
      </c>
      <c r="AC544" t="inlineStr">
        <is>
          <t>no Amazon offer exists</t>
        </is>
      </c>
      <c r="AD544" t="inlineStr">
        <is>
          <t>PUMA</t>
        </is>
      </c>
      <c r="AE544" t="inlineStr">
        <is>
          <t>11</t>
        </is>
      </c>
      <c r="AF544" t="inlineStr">
        <is>
          <t>https://m.media-amazon.com/images/I/51APLAjRhLL.jpg;https://m.media-amazon.com/images/I/41uBX7VvRtL.jpg;https://m.media-amazon.com/images/I/41EvtDSuY6L.jpg;https://m.media-amazon.com/images/I/41ws9rqFBqL.jpg;https://m.media-amazon.com/images/I/413LHSr7nDL.jpg;https://m.media-amazon.com/images/I/41v9b2mv38L.jpg</t>
        </is>
      </c>
      <c r="AG544" t="inlineStr"/>
    </row>
    <row r="545">
      <c r="A545" t="inlineStr">
        <is>
          <t>com</t>
        </is>
      </c>
      <c r="B545" t="inlineStr">
        <is>
          <t>B0DJ65B2QZ</t>
        </is>
      </c>
      <c r="C545" t="inlineStr">
        <is>
          <t>Puma - Womens Club Pearl Sd Shoes, Color Dark Jasper/Dark Jasper/Gold, Size: 5.5 M US</t>
        </is>
      </c>
      <c r="D545" t="n">
        <v>70</v>
      </c>
      <c r="E545" t="n">
        <v>70</v>
      </c>
      <c r="H545" t="inlineStr"/>
      <c r="I545" t="inlineStr"/>
      <c r="J545" t="n">
        <v>0</v>
      </c>
      <c r="K545" t="n">
        <v>1</v>
      </c>
      <c r="L545" t="n">
        <v>1</v>
      </c>
      <c r="M545" t="n">
        <v>1</v>
      </c>
      <c r="Q545" t="n">
        <v>-1</v>
      </c>
      <c r="R545" t="n">
        <v>-1</v>
      </c>
      <c r="S545" t="inlineStr">
        <is>
          <t>B0DJ646FPM</t>
        </is>
      </c>
      <c r="V545" t="inlineStr"/>
      <c r="W545" t="inlineStr"/>
      <c r="X545" t="inlineStr">
        <is>
          <t>197672666402</t>
        </is>
      </c>
      <c r="Y545" t="inlineStr"/>
      <c r="Z545" t="inlineStr"/>
      <c r="AA545" t="inlineStr">
        <is>
          <t>Dark Jasper/Dark Jasper/Gold</t>
        </is>
      </c>
      <c r="AB545" t="inlineStr">
        <is>
          <t>0197672666402</t>
        </is>
      </c>
      <c r="AC545" t="inlineStr">
        <is>
          <t>no Amazon offer exists</t>
        </is>
      </c>
      <c r="AD545" t="inlineStr">
        <is>
          <t>Puma</t>
        </is>
      </c>
      <c r="AE545" t="inlineStr">
        <is>
          <t>5.5</t>
        </is>
      </c>
      <c r="AF545" t="inlineStr">
        <is>
          <t>https://m.media-amazon.com/images/I/51oJ87VBCXL.jpg;https://m.media-amazon.com/images/I/61oBrUC1FZL.jpg;https://m.media-amazon.com/images/I/51s4E7qXdfL.jpg;https://m.media-amazon.com/images/I/61E4aw1ui9L.jpg</t>
        </is>
      </c>
      <c r="AG545" t="inlineStr"/>
    </row>
    <row r="546">
      <c r="A546" t="inlineStr">
        <is>
          <t>com</t>
        </is>
      </c>
      <c r="B546" t="inlineStr">
        <is>
          <t>B0DJ656N35</t>
        </is>
      </c>
      <c r="C546" t="inlineStr">
        <is>
          <t>Puma - Womens Club Pearl Sd Shoes, Color Dark Jasper/Dark Jasper/Gold, Size: 6 M US</t>
        </is>
      </c>
      <c r="D546" t="n">
        <v>97.63</v>
      </c>
      <c r="E546" t="n">
        <v>82.68000000000001</v>
      </c>
      <c r="H546" t="n">
        <v>98.58</v>
      </c>
      <c r="I546" t="n">
        <v>98.58</v>
      </c>
      <c r="J546" t="n">
        <v>0</v>
      </c>
      <c r="K546" t="n">
        <v>1</v>
      </c>
      <c r="L546" t="n">
        <v>3</v>
      </c>
      <c r="M546" t="n">
        <v>3</v>
      </c>
      <c r="Q546" t="n">
        <v>-1</v>
      </c>
      <c r="R546" t="n">
        <v>-1</v>
      </c>
      <c r="S546" t="inlineStr">
        <is>
          <t>B0DJ646FPM</t>
        </is>
      </c>
      <c r="V546" t="inlineStr"/>
      <c r="W546" t="inlineStr"/>
      <c r="X546" t="inlineStr">
        <is>
          <t>197672666464</t>
        </is>
      </c>
      <c r="Y546" t="inlineStr"/>
      <c r="Z546" t="inlineStr"/>
      <c r="AA546" t="inlineStr">
        <is>
          <t>Dark Jasper/Dark Jasper/Gold</t>
        </is>
      </c>
      <c r="AB546" t="inlineStr">
        <is>
          <t>0197672666464</t>
        </is>
      </c>
      <c r="AC546" t="inlineStr">
        <is>
          <t>no Amazon offer exists</t>
        </is>
      </c>
      <c r="AD546" t="inlineStr">
        <is>
          <t>Puma</t>
        </is>
      </c>
      <c r="AE546" t="inlineStr">
        <is>
          <t>6</t>
        </is>
      </c>
      <c r="AF546" t="inlineStr">
        <is>
          <t>https://m.media-amazon.com/images/I/51oJ87VBCXL.jpg;https://m.media-amazon.com/images/I/61oBrUC1FZL.jpg;https://m.media-amazon.com/images/I/51s4E7qXdfL.jpg;https://m.media-amazon.com/images/I/61E4aw1ui9L.jpg</t>
        </is>
      </c>
      <c r="AG546" t="inlineStr"/>
    </row>
    <row r="547">
      <c r="A547" t="inlineStr">
        <is>
          <t>com</t>
        </is>
      </c>
      <c r="B547" t="inlineStr">
        <is>
          <t>B0DJ64TJF2</t>
        </is>
      </c>
      <c r="C547" t="inlineStr">
        <is>
          <t>Puma - Womens Club Pearl Sd Shoes, Color Dark Jasper/Dark Jasper/Gold, Size: 6.5 M US</t>
        </is>
      </c>
      <c r="D547" t="n">
        <v>97.63</v>
      </c>
      <c r="E547" t="n">
        <v>82.68000000000001</v>
      </c>
      <c r="H547" t="n">
        <v>98.58</v>
      </c>
      <c r="I547" t="n">
        <v>98.58</v>
      </c>
      <c r="J547" t="n">
        <v>0</v>
      </c>
      <c r="K547" t="n">
        <v>1</v>
      </c>
      <c r="L547" t="n">
        <v>3</v>
      </c>
      <c r="M547" t="n">
        <v>3</v>
      </c>
      <c r="Q547" t="n">
        <v>-1</v>
      </c>
      <c r="R547" t="n">
        <v>-1</v>
      </c>
      <c r="S547" t="inlineStr">
        <is>
          <t>B0DJ646FPM</t>
        </is>
      </c>
      <c r="V547" t="inlineStr"/>
      <c r="W547" t="inlineStr"/>
      <c r="X547" t="inlineStr">
        <is>
          <t>197672666419</t>
        </is>
      </c>
      <c r="Y547" t="inlineStr"/>
      <c r="Z547" t="inlineStr"/>
      <c r="AA547" t="inlineStr">
        <is>
          <t>Dark Jasper/Dark Jasper/Gold</t>
        </is>
      </c>
      <c r="AB547" t="inlineStr">
        <is>
          <t>0197672666419</t>
        </is>
      </c>
      <c r="AC547" t="inlineStr">
        <is>
          <t>no Amazon offer exists</t>
        </is>
      </c>
      <c r="AD547" t="inlineStr">
        <is>
          <t>Puma</t>
        </is>
      </c>
      <c r="AE547" t="inlineStr">
        <is>
          <t>6.5</t>
        </is>
      </c>
      <c r="AF547" t="inlineStr">
        <is>
          <t>https://m.media-amazon.com/images/I/51oJ87VBCXL.jpg;https://m.media-amazon.com/images/I/61oBrUC1FZL.jpg;https://m.media-amazon.com/images/I/51s4E7qXdfL.jpg;https://m.media-amazon.com/images/I/61E4aw1ui9L.jpg</t>
        </is>
      </c>
      <c r="AG547" t="inlineStr"/>
    </row>
    <row r="548">
      <c r="A548" t="inlineStr">
        <is>
          <t>com</t>
        </is>
      </c>
      <c r="B548" t="inlineStr">
        <is>
          <t>B0DJ64ZKF8</t>
        </is>
      </c>
      <c r="C548" t="inlineStr">
        <is>
          <t>Puma - Womens Club Pearl Sd Shoes, Color Dark Jasper/Dark Jasper/Gold, Size: 7 M US</t>
        </is>
      </c>
      <c r="D548" t="n">
        <v>97.63</v>
      </c>
      <c r="E548" t="n">
        <v>82.68000000000001</v>
      </c>
      <c r="H548" t="n">
        <v>98.58</v>
      </c>
      <c r="I548" t="n">
        <v>98.58</v>
      </c>
      <c r="J548" t="n">
        <v>0</v>
      </c>
      <c r="K548" t="n">
        <v>1</v>
      </c>
      <c r="L548" t="n">
        <v>3</v>
      </c>
      <c r="M548" t="n">
        <v>3</v>
      </c>
      <c r="Q548" t="n">
        <v>-1</v>
      </c>
      <c r="R548" t="n">
        <v>-1</v>
      </c>
      <c r="S548" t="inlineStr">
        <is>
          <t>B0DJ646FPM</t>
        </is>
      </c>
      <c r="V548" t="inlineStr"/>
      <c r="W548" t="inlineStr"/>
      <c r="X548" t="inlineStr">
        <is>
          <t>197672666471</t>
        </is>
      </c>
      <c r="Y548" t="inlineStr"/>
      <c r="Z548" t="inlineStr"/>
      <c r="AA548" t="inlineStr">
        <is>
          <t>Dark Jasper/Dark Jasper/Gold</t>
        </is>
      </c>
      <c r="AB548" t="inlineStr">
        <is>
          <t>0197672666471</t>
        </is>
      </c>
      <c r="AC548" t="inlineStr">
        <is>
          <t>no Amazon offer exists</t>
        </is>
      </c>
      <c r="AD548" t="inlineStr">
        <is>
          <t>Puma</t>
        </is>
      </c>
      <c r="AE548" t="inlineStr">
        <is>
          <t>7</t>
        </is>
      </c>
      <c r="AF548" t="inlineStr">
        <is>
          <t>https://m.media-amazon.com/images/I/51oJ87VBCXL.jpg;https://m.media-amazon.com/images/I/61oBrUC1FZL.jpg;https://m.media-amazon.com/images/I/51s4E7qXdfL.jpg;https://m.media-amazon.com/images/I/61E4aw1ui9L.jpg</t>
        </is>
      </c>
      <c r="AG548" t="inlineStr"/>
    </row>
    <row r="549">
      <c r="A549" t="inlineStr">
        <is>
          <t>com</t>
        </is>
      </c>
      <c r="B549" t="inlineStr">
        <is>
          <t>B0DJ64L4R9</t>
        </is>
      </c>
      <c r="C549" t="inlineStr">
        <is>
          <t>Puma - Womens Club Pearl Sd Shoes, Color Dark Jasper/Dark Jasper/Gold, Size: 7.5 M US</t>
        </is>
      </c>
      <c r="D549" t="n">
        <v>97.63</v>
      </c>
      <c r="E549" t="n">
        <v>82.68000000000001</v>
      </c>
      <c r="H549" t="n">
        <v>97.72</v>
      </c>
      <c r="I549" t="n">
        <v>97.72</v>
      </c>
      <c r="J549" t="n">
        <v>0</v>
      </c>
      <c r="K549" t="n">
        <v>1</v>
      </c>
      <c r="L549" t="n">
        <v>3</v>
      </c>
      <c r="M549" t="n">
        <v>3</v>
      </c>
      <c r="Q549" t="n">
        <v>-1</v>
      </c>
      <c r="R549" t="n">
        <v>-1</v>
      </c>
      <c r="S549" t="inlineStr">
        <is>
          <t>B0DJ646FPM</t>
        </is>
      </c>
      <c r="V549" t="inlineStr"/>
      <c r="W549" t="inlineStr"/>
      <c r="X549" t="inlineStr">
        <is>
          <t>197672666426</t>
        </is>
      </c>
      <c r="Y549" t="inlineStr"/>
      <c r="Z549" t="inlineStr"/>
      <c r="AA549" t="inlineStr">
        <is>
          <t>Dark Jasper/Dark Jasper/Gold</t>
        </is>
      </c>
      <c r="AB549" t="inlineStr">
        <is>
          <t>0197672666426</t>
        </is>
      </c>
      <c r="AC549" t="inlineStr">
        <is>
          <t>no Amazon offer exists</t>
        </is>
      </c>
      <c r="AD549" t="inlineStr">
        <is>
          <t>Puma</t>
        </is>
      </c>
      <c r="AE549" t="inlineStr">
        <is>
          <t>7.5</t>
        </is>
      </c>
      <c r="AF549" t="inlineStr">
        <is>
          <t>https://m.media-amazon.com/images/I/51oJ87VBCXL.jpg;https://m.media-amazon.com/images/I/61oBrUC1FZL.jpg;https://m.media-amazon.com/images/I/51s4E7qXdfL.jpg;https://m.media-amazon.com/images/I/61E4aw1ui9L.jpg</t>
        </is>
      </c>
      <c r="AG549" t="inlineStr"/>
    </row>
    <row r="550">
      <c r="A550" t="inlineStr">
        <is>
          <t>com</t>
        </is>
      </c>
      <c r="B550" t="inlineStr">
        <is>
          <t>B0DJ64YD6F</t>
        </is>
      </c>
      <c r="C550" t="inlineStr">
        <is>
          <t>Puma - Womens Club Pearl Sd Shoes, Color Dark Jasper/Dark Jasper/Gold, Size: 8 M US</t>
        </is>
      </c>
      <c r="D550" t="n">
        <v>97.63</v>
      </c>
      <c r="E550" t="n">
        <v>82.68000000000001</v>
      </c>
      <c r="H550" t="n">
        <v>98.58</v>
      </c>
      <c r="I550" t="n">
        <v>98.58</v>
      </c>
      <c r="J550" t="n">
        <v>0</v>
      </c>
      <c r="K550" t="n">
        <v>1</v>
      </c>
      <c r="L550" t="n">
        <v>3</v>
      </c>
      <c r="M550" t="n">
        <v>3</v>
      </c>
      <c r="Q550" t="n">
        <v>-1</v>
      </c>
      <c r="R550" t="n">
        <v>-1</v>
      </c>
      <c r="S550" t="inlineStr">
        <is>
          <t>B0DJ646FPM</t>
        </is>
      </c>
      <c r="V550" t="inlineStr"/>
      <c r="W550" t="inlineStr"/>
      <c r="X550" t="inlineStr">
        <is>
          <t>197672666488</t>
        </is>
      </c>
      <c r="Y550" t="inlineStr"/>
      <c r="Z550" t="inlineStr"/>
      <c r="AA550" t="inlineStr">
        <is>
          <t>Dark Jasper/Dark Jasper/Gold</t>
        </is>
      </c>
      <c r="AB550" t="inlineStr">
        <is>
          <t>0197672666488</t>
        </is>
      </c>
      <c r="AC550" t="inlineStr">
        <is>
          <t>no Amazon offer exists</t>
        </is>
      </c>
      <c r="AD550" t="inlineStr">
        <is>
          <t>Puma</t>
        </is>
      </c>
      <c r="AE550" t="inlineStr">
        <is>
          <t>8</t>
        </is>
      </c>
      <c r="AF550" t="inlineStr">
        <is>
          <t>https://m.media-amazon.com/images/I/51oJ87VBCXL.jpg;https://m.media-amazon.com/images/I/61oBrUC1FZL.jpg;https://m.media-amazon.com/images/I/51s4E7qXdfL.jpg;https://m.media-amazon.com/images/I/61E4aw1ui9L.jpg</t>
        </is>
      </c>
      <c r="AG550" t="inlineStr"/>
    </row>
    <row r="551">
      <c r="A551" t="inlineStr">
        <is>
          <t>com</t>
        </is>
      </c>
      <c r="B551" t="inlineStr">
        <is>
          <t>B0DJ658BJ4</t>
        </is>
      </c>
      <c r="C551" t="inlineStr">
        <is>
          <t>Puma - Womens Club Pearl Sd Shoes, Color Dark Jasper/Dark Jasper/Gold, Size: 8.5 M US</t>
        </is>
      </c>
      <c r="D551" t="n">
        <v>97.63</v>
      </c>
      <c r="E551" t="n">
        <v>82.68000000000001</v>
      </c>
      <c r="H551" t="n">
        <v>98.58</v>
      </c>
      <c r="I551" t="n">
        <v>98.58</v>
      </c>
      <c r="J551" t="n">
        <v>0</v>
      </c>
      <c r="K551" t="n">
        <v>1</v>
      </c>
      <c r="L551" t="n">
        <v>3</v>
      </c>
      <c r="M551" t="n">
        <v>3</v>
      </c>
      <c r="Q551" t="n">
        <v>-1</v>
      </c>
      <c r="R551" t="n">
        <v>-1</v>
      </c>
      <c r="S551" t="inlineStr">
        <is>
          <t>B0DJ646FPM</t>
        </is>
      </c>
      <c r="V551" t="inlineStr"/>
      <c r="W551" t="inlineStr"/>
      <c r="X551" t="inlineStr">
        <is>
          <t>197672666433</t>
        </is>
      </c>
      <c r="Y551" t="inlineStr"/>
      <c r="Z551" t="inlineStr"/>
      <c r="AA551" t="inlineStr">
        <is>
          <t>Dark Jasper/Dark Jasper/Gold</t>
        </is>
      </c>
      <c r="AB551" t="inlineStr">
        <is>
          <t>0197672666433</t>
        </is>
      </c>
      <c r="AC551" t="inlineStr">
        <is>
          <t>no Amazon offer exists</t>
        </is>
      </c>
      <c r="AD551" t="inlineStr">
        <is>
          <t>Puma</t>
        </is>
      </c>
      <c r="AE551" t="inlineStr">
        <is>
          <t>8.5</t>
        </is>
      </c>
      <c r="AF551" t="inlineStr">
        <is>
          <t>https://m.media-amazon.com/images/I/51oJ87VBCXL.jpg;https://m.media-amazon.com/images/I/61oBrUC1FZL.jpg;https://m.media-amazon.com/images/I/51s4E7qXdfL.jpg;https://m.media-amazon.com/images/I/61E4aw1ui9L.jpg</t>
        </is>
      </c>
      <c r="AG551" t="inlineStr"/>
    </row>
    <row r="552">
      <c r="A552" t="inlineStr">
        <is>
          <t>com</t>
        </is>
      </c>
      <c r="B552" t="inlineStr">
        <is>
          <t>B0DJ64PFFC</t>
        </is>
      </c>
      <c r="C552" t="inlineStr">
        <is>
          <t>Puma - Womens Club Pearl Sd Shoes, Color Dark Jasper/Dark Jasper/Gold, Size: 9 M US</t>
        </is>
      </c>
      <c r="D552" t="n">
        <v>97.63</v>
      </c>
      <c r="E552" t="n">
        <v>82.68000000000001</v>
      </c>
      <c r="H552" t="n">
        <v>98.58</v>
      </c>
      <c r="I552" t="n">
        <v>98.58</v>
      </c>
      <c r="J552" t="n">
        <v>0</v>
      </c>
      <c r="K552" t="n">
        <v>1</v>
      </c>
      <c r="L552" t="n">
        <v>3</v>
      </c>
      <c r="M552" t="n">
        <v>3</v>
      </c>
      <c r="Q552" t="n">
        <v>-1</v>
      </c>
      <c r="R552" t="n">
        <v>-1</v>
      </c>
      <c r="S552" t="inlineStr">
        <is>
          <t>B0DJ646FPM</t>
        </is>
      </c>
      <c r="V552" t="inlineStr"/>
      <c r="W552" t="inlineStr"/>
      <c r="X552" t="inlineStr">
        <is>
          <t>197672666495</t>
        </is>
      </c>
      <c r="Y552" t="inlineStr"/>
      <c r="Z552" t="inlineStr"/>
      <c r="AA552" t="inlineStr">
        <is>
          <t>Dark Jasper/Dark Jasper/Gold</t>
        </is>
      </c>
      <c r="AB552" t="inlineStr">
        <is>
          <t>0197672666495</t>
        </is>
      </c>
      <c r="AC552" t="inlineStr">
        <is>
          <t>no Amazon offer exists</t>
        </is>
      </c>
      <c r="AD552" t="inlineStr">
        <is>
          <t>Puma</t>
        </is>
      </c>
      <c r="AE552" t="inlineStr">
        <is>
          <t>9</t>
        </is>
      </c>
      <c r="AF552" t="inlineStr">
        <is>
          <t>https://m.media-amazon.com/images/I/51oJ87VBCXL.jpg;https://m.media-amazon.com/images/I/61oBrUC1FZL.jpg;https://m.media-amazon.com/images/I/51s4E7qXdfL.jpg;https://m.media-amazon.com/images/I/61E4aw1ui9L.jpg</t>
        </is>
      </c>
      <c r="AG552" t="inlineStr"/>
    </row>
    <row r="553">
      <c r="A553" t="inlineStr">
        <is>
          <t>com</t>
        </is>
      </c>
      <c r="B553" t="inlineStr">
        <is>
          <t>B0DJ64JL65</t>
        </is>
      </c>
      <c r="C553" t="inlineStr">
        <is>
          <t>Puma - Womens Club Pearl Sd Shoes, Color Dark Jasper/Dark Jasper/Gold, Size: 9.5 M US</t>
        </is>
      </c>
      <c r="D553" t="n">
        <v>97.63</v>
      </c>
      <c r="E553" t="n">
        <v>82.68000000000001</v>
      </c>
      <c r="H553" t="n">
        <v>98.58</v>
      </c>
      <c r="I553" t="n">
        <v>98.58</v>
      </c>
      <c r="J553" t="n">
        <v>0</v>
      </c>
      <c r="K553" t="n">
        <v>1</v>
      </c>
      <c r="L553" t="n">
        <v>3</v>
      </c>
      <c r="M553" t="n">
        <v>3</v>
      </c>
      <c r="Q553" t="n">
        <v>-1</v>
      </c>
      <c r="R553" t="n">
        <v>-1</v>
      </c>
      <c r="S553" t="inlineStr">
        <is>
          <t>B0DJ646FPM</t>
        </is>
      </c>
      <c r="V553" t="inlineStr"/>
      <c r="W553" t="inlineStr"/>
      <c r="X553" t="inlineStr">
        <is>
          <t>197672666440</t>
        </is>
      </c>
      <c r="Y553" t="inlineStr"/>
      <c r="Z553" t="inlineStr"/>
      <c r="AA553" t="inlineStr">
        <is>
          <t>Dark Jasper/Dark Jasper/Gold</t>
        </is>
      </c>
      <c r="AB553" t="inlineStr">
        <is>
          <t>0197672666440</t>
        </is>
      </c>
      <c r="AC553" t="inlineStr">
        <is>
          <t>no Amazon offer exists</t>
        </is>
      </c>
      <c r="AD553" t="inlineStr">
        <is>
          <t>Puma</t>
        </is>
      </c>
      <c r="AE553" t="inlineStr">
        <is>
          <t>9.5</t>
        </is>
      </c>
      <c r="AF553" t="inlineStr">
        <is>
          <t>https://m.media-amazon.com/images/I/51oJ87VBCXL.jpg;https://m.media-amazon.com/images/I/61oBrUC1FZL.jpg;https://m.media-amazon.com/images/I/51s4E7qXdfL.jpg;https://m.media-amazon.com/images/I/61E4aw1ui9L.jpg</t>
        </is>
      </c>
      <c r="AG553" t="inlineStr"/>
    </row>
    <row r="554">
      <c r="A554" t="inlineStr">
        <is>
          <t>com</t>
        </is>
      </c>
      <c r="B554" t="inlineStr">
        <is>
          <t>B0DJ64BHGB</t>
        </is>
      </c>
      <c r="C554" t="inlineStr">
        <is>
          <t>Puma - Womens Club Pearl Sd Shoes, Color Dark Jasper/Dark Jasper/Gold, Size: 10 M US</t>
        </is>
      </c>
      <c r="D554" t="n">
        <v>97.63</v>
      </c>
      <c r="E554" t="n">
        <v>82.68000000000001</v>
      </c>
      <c r="H554" t="n">
        <v>97.56</v>
      </c>
      <c r="I554" t="n">
        <v>97.56</v>
      </c>
      <c r="J554" t="n">
        <v>0</v>
      </c>
      <c r="K554" t="n">
        <v>1</v>
      </c>
      <c r="L554" t="n">
        <v>3</v>
      </c>
      <c r="M554" t="n">
        <v>3</v>
      </c>
      <c r="Q554" t="n">
        <v>-1</v>
      </c>
      <c r="R554" t="n">
        <v>-1</v>
      </c>
      <c r="S554" t="inlineStr">
        <is>
          <t>B0DJ646FPM</t>
        </is>
      </c>
      <c r="V554" t="inlineStr"/>
      <c r="W554" t="inlineStr"/>
      <c r="X554" t="inlineStr">
        <is>
          <t>197672666501</t>
        </is>
      </c>
      <c r="Y554" t="inlineStr"/>
      <c r="Z554" t="inlineStr"/>
      <c r="AA554" t="inlineStr">
        <is>
          <t>Dark Jasper/Dark Jasper/Gold</t>
        </is>
      </c>
      <c r="AB554" t="inlineStr">
        <is>
          <t>0197672666501</t>
        </is>
      </c>
      <c r="AC554" t="inlineStr">
        <is>
          <t>no Amazon offer exists</t>
        </is>
      </c>
      <c r="AD554" t="inlineStr">
        <is>
          <t>Puma</t>
        </is>
      </c>
      <c r="AE554" t="inlineStr">
        <is>
          <t>10</t>
        </is>
      </c>
      <c r="AF554" t="inlineStr">
        <is>
          <t>https://m.media-amazon.com/images/I/51oJ87VBCXL.jpg;https://m.media-amazon.com/images/I/61oBrUC1FZL.jpg;https://m.media-amazon.com/images/I/51s4E7qXdfL.jpg;https://m.media-amazon.com/images/I/61E4aw1ui9L.jpg</t>
        </is>
      </c>
      <c r="AG554" t="inlineStr"/>
    </row>
    <row r="555">
      <c r="A555" t="inlineStr">
        <is>
          <t>com</t>
        </is>
      </c>
      <c r="B555" t="inlineStr">
        <is>
          <t>B0DJ64BBJZ</t>
        </is>
      </c>
      <c r="C555" t="inlineStr">
        <is>
          <t>Puma - Womens Club Pearl Sd Shoes, Color Dark Jasper/Dark Jasper/Gold, Size: 11 M US</t>
        </is>
      </c>
      <c r="D555" t="n">
        <v>100</v>
      </c>
      <c r="E555" t="n">
        <v>93.89</v>
      </c>
      <c r="H555" t="n">
        <v>100</v>
      </c>
      <c r="I555" t="n">
        <v>100</v>
      </c>
      <c r="J555" t="n">
        <v>0.29</v>
      </c>
      <c r="K555" t="n">
        <v>1</v>
      </c>
      <c r="L555" t="n">
        <v>2</v>
      </c>
      <c r="M555" t="n">
        <v>2</v>
      </c>
      <c r="Q555" t="n">
        <v>-1</v>
      </c>
      <c r="R555" t="n">
        <v>-1</v>
      </c>
      <c r="S555" t="inlineStr">
        <is>
          <t>B0DJ646FPM</t>
        </is>
      </c>
      <c r="V555" t="inlineStr"/>
      <c r="W555" t="inlineStr"/>
      <c r="X555" t="inlineStr">
        <is>
          <t>197672666518</t>
        </is>
      </c>
      <c r="Y555" t="inlineStr"/>
      <c r="Z555" t="inlineStr"/>
      <c r="AA555" t="inlineStr">
        <is>
          <t>Dark Jasper/Dark Jasper/Gold</t>
        </is>
      </c>
      <c r="AB555" t="inlineStr">
        <is>
          <t>0197672666518</t>
        </is>
      </c>
      <c r="AC555" t="inlineStr">
        <is>
          <t>no Amazon offer exists</t>
        </is>
      </c>
      <c r="AD555" t="inlineStr">
        <is>
          <t>Puma</t>
        </is>
      </c>
      <c r="AE555" t="inlineStr">
        <is>
          <t>11</t>
        </is>
      </c>
      <c r="AF555" t="inlineStr">
        <is>
          <t>https://m.media-amazon.com/images/I/51oJ87VBCXL.jpg;https://m.media-amazon.com/images/I/61oBrUC1FZL.jpg;https://m.media-amazon.com/images/I/51s4E7qXdfL.jpg;https://m.media-amazon.com/images/I/61E4aw1ui9L.jpg</t>
        </is>
      </c>
      <c r="AG555" t="inlineStr"/>
    </row>
    <row r="556">
      <c r="A556" t="inlineStr">
        <is>
          <t>com</t>
        </is>
      </c>
      <c r="B556" t="inlineStr">
        <is>
          <t>B0DK8332HF</t>
        </is>
      </c>
      <c r="C556" t="inlineStr">
        <is>
          <t>Women's Puma Club Pearl SD Puma Black-Puma Black-White (401820 03) - 6</t>
        </is>
      </c>
      <c r="D556" t="n">
        <v>74.95</v>
      </c>
      <c r="E556" t="n">
        <v>74.95</v>
      </c>
      <c r="H556" t="n">
        <v>74.95</v>
      </c>
      <c r="I556" t="n">
        <v>74.95</v>
      </c>
      <c r="J556" t="n">
        <v>0</v>
      </c>
      <c r="K556" t="n">
        <v>1</v>
      </c>
      <c r="L556" t="n">
        <v>1</v>
      </c>
      <c r="M556" t="n">
        <v>1</v>
      </c>
      <c r="Q556" t="n">
        <v>-1</v>
      </c>
      <c r="R556" t="n">
        <v>-1</v>
      </c>
      <c r="S556" t="inlineStr"/>
      <c r="V556" t="inlineStr"/>
      <c r="W556" t="inlineStr"/>
      <c r="X556" t="inlineStr">
        <is>
          <t>197672666587</t>
        </is>
      </c>
      <c r="Y556" t="inlineStr"/>
      <c r="Z556" t="inlineStr"/>
      <c r="AA556" t="inlineStr">
        <is>
          <t>Puma Black-puma Black-white</t>
        </is>
      </c>
      <c r="AB556" t="inlineStr">
        <is>
          <t>0197672666587</t>
        </is>
      </c>
      <c r="AC556" t="inlineStr">
        <is>
          <t>no Amazon offer exists</t>
        </is>
      </c>
      <c r="AD556" t="inlineStr">
        <is>
          <t>Puma</t>
        </is>
      </c>
      <c r="AE556" t="inlineStr">
        <is>
          <t>6</t>
        </is>
      </c>
      <c r="AF556" t="inlineStr">
        <is>
          <t>https://m.media-amazon.com/images/I/51iAW7S9oAL.jpg;https://m.media-amazon.com/images/I/515ALonB9sL.jpg;https://m.media-amazon.com/images/I/61ZwIZP5jyL.jpg;https://m.media-amazon.com/images/I/61kENSxL-gL.jpg</t>
        </is>
      </c>
      <c r="AG556" t="inlineStr"/>
    </row>
    <row r="557">
      <c r="A557" t="inlineStr">
        <is>
          <t>com</t>
        </is>
      </c>
      <c r="B557" t="inlineStr">
        <is>
          <t>B0DK823W9L</t>
        </is>
      </c>
      <c r="C557" t="inlineStr">
        <is>
          <t>Women's Puma Club Pearl SD Puma Black-Puma Black-White (401820 03) - 6.5</t>
        </is>
      </c>
      <c r="D557" t="n">
        <v>74.95</v>
      </c>
      <c r="E557" t="n">
        <v>74.95</v>
      </c>
      <c r="H557" t="n">
        <v>74.95</v>
      </c>
      <c r="I557" t="n">
        <v>74.95</v>
      </c>
      <c r="J557" t="n">
        <v>0</v>
      </c>
      <c r="K557" t="n">
        <v>1</v>
      </c>
      <c r="L557" t="n">
        <v>1</v>
      </c>
      <c r="M557" t="n">
        <v>1</v>
      </c>
      <c r="Q557" t="n">
        <v>-1</v>
      </c>
      <c r="R557" t="n">
        <v>-1</v>
      </c>
      <c r="S557" t="inlineStr"/>
      <c r="V557" t="inlineStr"/>
      <c r="W557" t="inlineStr"/>
      <c r="X557" t="inlineStr">
        <is>
          <t>197672666532</t>
        </is>
      </c>
      <c r="Y557" t="inlineStr"/>
      <c r="Z557" t="inlineStr"/>
      <c r="AA557" t="inlineStr">
        <is>
          <t>Puma Black-puma Black-white</t>
        </is>
      </c>
      <c r="AB557" t="inlineStr">
        <is>
          <t>0197672666532</t>
        </is>
      </c>
      <c r="AC557" t="inlineStr">
        <is>
          <t>no Amazon offer exists</t>
        </is>
      </c>
      <c r="AD557" t="inlineStr">
        <is>
          <t>Puma</t>
        </is>
      </c>
      <c r="AE557" t="inlineStr">
        <is>
          <t>6.5</t>
        </is>
      </c>
      <c r="AF557" t="inlineStr">
        <is>
          <t>https://m.media-amazon.com/images/I/51iAW7S9oAL.jpg;https://m.media-amazon.com/images/I/515ALonB9sL.jpg;https://m.media-amazon.com/images/I/61ZwIZP5jyL.jpg;https://m.media-amazon.com/images/I/61kENSxL-gL.jpg</t>
        </is>
      </c>
      <c r="AG557" t="inlineStr"/>
    </row>
    <row r="558">
      <c r="A558" t="inlineStr">
        <is>
          <t>com</t>
        </is>
      </c>
      <c r="B558" t="inlineStr">
        <is>
          <t>B0DK823QJS</t>
        </is>
      </c>
      <c r="C558" t="inlineStr">
        <is>
          <t>Women's Puma Club Pearl SD Puma Black-Puma Black-White (401820 03) - 7</t>
        </is>
      </c>
      <c r="D558" t="n">
        <v>74.95</v>
      </c>
      <c r="E558" t="n">
        <v>74.95</v>
      </c>
      <c r="H558" t="n">
        <v>74.95</v>
      </c>
      <c r="I558" t="n">
        <v>74.95</v>
      </c>
      <c r="J558" t="n">
        <v>0</v>
      </c>
      <c r="K558" t="n">
        <v>1</v>
      </c>
      <c r="L558" t="n">
        <v>1</v>
      </c>
      <c r="M558" t="n">
        <v>1</v>
      </c>
      <c r="Q558" t="n">
        <v>-1</v>
      </c>
      <c r="R558" t="n">
        <v>-1</v>
      </c>
      <c r="S558" t="inlineStr"/>
      <c r="V558" t="inlineStr"/>
      <c r="W558" t="inlineStr"/>
      <c r="X558" t="inlineStr">
        <is>
          <t>197672666594</t>
        </is>
      </c>
      <c r="Y558" t="inlineStr"/>
      <c r="Z558" t="inlineStr"/>
      <c r="AA558" t="inlineStr">
        <is>
          <t>Puma Black-puma Black-white</t>
        </is>
      </c>
      <c r="AB558" t="inlineStr">
        <is>
          <t>0197672666594</t>
        </is>
      </c>
      <c r="AC558" t="inlineStr">
        <is>
          <t>no Amazon offer exists</t>
        </is>
      </c>
      <c r="AD558" t="inlineStr">
        <is>
          <t>Puma</t>
        </is>
      </c>
      <c r="AE558" t="inlineStr">
        <is>
          <t>7</t>
        </is>
      </c>
      <c r="AF558" t="inlineStr">
        <is>
          <t>https://m.media-amazon.com/images/I/51iAW7S9oAL.jpg;https://m.media-amazon.com/images/I/515ALonB9sL.jpg;https://m.media-amazon.com/images/I/61ZwIZP5jyL.jpg;https://m.media-amazon.com/images/I/61kENSxL-gL.jpg</t>
        </is>
      </c>
      <c r="AG558" t="inlineStr"/>
    </row>
    <row r="559">
      <c r="A559" t="inlineStr">
        <is>
          <t>com</t>
        </is>
      </c>
      <c r="B559" t="inlineStr">
        <is>
          <t>B0DK82JPTV</t>
        </is>
      </c>
      <c r="C559" t="inlineStr">
        <is>
          <t>Women's Puma Club Pearl SD Puma Black-Puma Black-White (401820 03) - 7.5</t>
        </is>
      </c>
      <c r="D559" t="n">
        <v>74.95</v>
      </c>
      <c r="E559" t="n">
        <v>74.95</v>
      </c>
      <c r="H559" t="n">
        <v>74.95</v>
      </c>
      <c r="I559" t="n">
        <v>74.95</v>
      </c>
      <c r="J559" t="n">
        <v>0</v>
      </c>
      <c r="K559" t="n">
        <v>1</v>
      </c>
      <c r="L559" t="n">
        <v>1</v>
      </c>
      <c r="M559" t="n">
        <v>1</v>
      </c>
      <c r="Q559" t="n">
        <v>-1</v>
      </c>
      <c r="R559" t="n">
        <v>-1</v>
      </c>
      <c r="S559" t="inlineStr"/>
      <c r="V559" t="inlineStr"/>
      <c r="W559" t="inlineStr"/>
      <c r="X559" t="inlineStr">
        <is>
          <t>197672666549</t>
        </is>
      </c>
      <c r="Y559" t="inlineStr"/>
      <c r="Z559" t="inlineStr"/>
      <c r="AA559" t="inlineStr">
        <is>
          <t>Puma Black-puma Black-white</t>
        </is>
      </c>
      <c r="AB559" t="inlineStr">
        <is>
          <t>0197672666549</t>
        </is>
      </c>
      <c r="AC559" t="inlineStr">
        <is>
          <t>no Amazon offer exists</t>
        </is>
      </c>
      <c r="AD559" t="inlineStr">
        <is>
          <t>Puma</t>
        </is>
      </c>
      <c r="AE559" t="inlineStr">
        <is>
          <t>7.5</t>
        </is>
      </c>
      <c r="AF559" t="inlineStr">
        <is>
          <t>https://m.media-amazon.com/images/I/51iAW7S9oAL.jpg;https://m.media-amazon.com/images/I/515ALonB9sL.jpg;https://m.media-amazon.com/images/I/61ZwIZP5jyL.jpg;https://m.media-amazon.com/images/I/61kENSxL-gL.jpg</t>
        </is>
      </c>
      <c r="AG559" t="inlineStr"/>
    </row>
    <row r="560">
      <c r="A560" t="inlineStr">
        <is>
          <t>com</t>
        </is>
      </c>
      <c r="B560" t="inlineStr">
        <is>
          <t>B0DK7Z8LK8</t>
        </is>
      </c>
      <c r="C560" t="inlineStr">
        <is>
          <t>Women's Puma Club Pearl SD Puma Black-Puma Black-White (401820 03) - 8</t>
        </is>
      </c>
      <c r="D560" t="n">
        <v>74.95</v>
      </c>
      <c r="E560" t="n">
        <v>74.95</v>
      </c>
      <c r="H560" t="n">
        <v>74.95</v>
      </c>
      <c r="I560" t="n">
        <v>74.95</v>
      </c>
      <c r="J560" t="n">
        <v>0</v>
      </c>
      <c r="K560" t="n">
        <v>1</v>
      </c>
      <c r="L560" t="n">
        <v>1</v>
      </c>
      <c r="M560" t="n">
        <v>1</v>
      </c>
      <c r="Q560" t="n">
        <v>-1</v>
      </c>
      <c r="R560" t="n">
        <v>-1</v>
      </c>
      <c r="S560" t="inlineStr"/>
      <c r="V560" t="inlineStr"/>
      <c r="W560" t="inlineStr"/>
      <c r="X560" t="inlineStr">
        <is>
          <t>197672666600</t>
        </is>
      </c>
      <c r="Y560" t="inlineStr"/>
      <c r="Z560" t="inlineStr"/>
      <c r="AA560" t="inlineStr">
        <is>
          <t>Puma Black-puma Black-white</t>
        </is>
      </c>
      <c r="AB560" t="inlineStr">
        <is>
          <t>0197672666600</t>
        </is>
      </c>
      <c r="AC560" t="inlineStr">
        <is>
          <t>no Amazon offer exists</t>
        </is>
      </c>
      <c r="AD560" t="inlineStr">
        <is>
          <t>Puma</t>
        </is>
      </c>
      <c r="AE560" t="inlineStr">
        <is>
          <t>8</t>
        </is>
      </c>
      <c r="AF560" t="inlineStr">
        <is>
          <t>https://m.media-amazon.com/images/I/51iAW7S9oAL.jpg;https://m.media-amazon.com/images/I/515ALonB9sL.jpg;https://m.media-amazon.com/images/I/61ZwIZP5jyL.jpg;https://m.media-amazon.com/images/I/61kENSxL-gL.jpg</t>
        </is>
      </c>
      <c r="AG560" t="inlineStr"/>
    </row>
    <row r="561">
      <c r="A561" t="inlineStr">
        <is>
          <t>com</t>
        </is>
      </c>
      <c r="B561" t="inlineStr">
        <is>
          <t>B0DK82ZLY7</t>
        </is>
      </c>
      <c r="C561" t="inlineStr">
        <is>
          <t>Women's Puma Club Pearl SD Puma Black-Puma Black-White (401820 03) - 8.5</t>
        </is>
      </c>
      <c r="D561" t="n">
        <v>74.95</v>
      </c>
      <c r="E561" t="n">
        <v>74.95</v>
      </c>
      <c r="H561" t="n">
        <v>74.95</v>
      </c>
      <c r="I561" t="n">
        <v>74.95</v>
      </c>
      <c r="J561" t="n">
        <v>0</v>
      </c>
      <c r="K561" t="n">
        <v>1</v>
      </c>
      <c r="L561" t="n">
        <v>1</v>
      </c>
      <c r="M561" t="n">
        <v>1</v>
      </c>
      <c r="Q561" t="n">
        <v>-1</v>
      </c>
      <c r="R561" t="n">
        <v>-1</v>
      </c>
      <c r="S561" t="inlineStr"/>
      <c r="V561" t="inlineStr"/>
      <c r="W561" t="inlineStr"/>
      <c r="X561" t="inlineStr">
        <is>
          <t>197672666556</t>
        </is>
      </c>
      <c r="Y561" t="inlineStr"/>
      <c r="Z561" t="inlineStr"/>
      <c r="AA561" t="inlineStr">
        <is>
          <t>Puma Black-puma Black-white</t>
        </is>
      </c>
      <c r="AB561" t="inlineStr">
        <is>
          <t>0197672666556</t>
        </is>
      </c>
      <c r="AC561" t="inlineStr">
        <is>
          <t>no Amazon offer exists</t>
        </is>
      </c>
      <c r="AD561" t="inlineStr">
        <is>
          <t>Puma</t>
        </is>
      </c>
      <c r="AE561" t="inlineStr">
        <is>
          <t>8.5</t>
        </is>
      </c>
      <c r="AF561" t="inlineStr">
        <is>
          <t>https://m.media-amazon.com/images/I/51iAW7S9oAL.jpg;https://m.media-amazon.com/images/I/515ALonB9sL.jpg;https://m.media-amazon.com/images/I/61ZwIZP5jyL.jpg;https://m.media-amazon.com/images/I/61kENSxL-gL.jpg</t>
        </is>
      </c>
      <c r="AG561" t="inlineStr"/>
    </row>
    <row r="562">
      <c r="A562" t="inlineStr">
        <is>
          <t>com</t>
        </is>
      </c>
      <c r="B562" t="inlineStr">
        <is>
          <t>B0DK82JMZR</t>
        </is>
      </c>
      <c r="C562" t="inlineStr">
        <is>
          <t>Women's Puma Club Pearl SD Puma Black-Puma Black-White (401820 03) - 9</t>
        </is>
      </c>
      <c r="D562" t="n">
        <v>74.95</v>
      </c>
      <c r="E562" t="n">
        <v>74.95</v>
      </c>
      <c r="H562" t="n">
        <v>74.95</v>
      </c>
      <c r="I562" t="n">
        <v>74.95</v>
      </c>
      <c r="J562" t="n">
        <v>0</v>
      </c>
      <c r="K562" t="n">
        <v>1</v>
      </c>
      <c r="L562" t="n">
        <v>1</v>
      </c>
      <c r="M562" t="n">
        <v>1</v>
      </c>
      <c r="Q562" t="n">
        <v>-1</v>
      </c>
      <c r="R562" t="n">
        <v>-1</v>
      </c>
      <c r="S562" t="inlineStr"/>
      <c r="V562" t="inlineStr"/>
      <c r="W562" t="inlineStr"/>
      <c r="X562" t="inlineStr">
        <is>
          <t>197672666617</t>
        </is>
      </c>
      <c r="Y562" t="inlineStr"/>
      <c r="Z562" t="inlineStr"/>
      <c r="AA562" t="inlineStr">
        <is>
          <t>Puma Black-puma Black-white</t>
        </is>
      </c>
      <c r="AB562" t="inlineStr">
        <is>
          <t>0197672666617</t>
        </is>
      </c>
      <c r="AC562" t="inlineStr">
        <is>
          <t>no Amazon offer exists</t>
        </is>
      </c>
      <c r="AD562" t="inlineStr">
        <is>
          <t>Puma</t>
        </is>
      </c>
      <c r="AE562" t="inlineStr">
        <is>
          <t>9</t>
        </is>
      </c>
      <c r="AF562" t="inlineStr">
        <is>
          <t>https://m.media-amazon.com/images/I/51iAW7S9oAL.jpg;https://m.media-amazon.com/images/I/515ALonB9sL.jpg;https://m.media-amazon.com/images/I/61ZwIZP5jyL.jpg;https://m.media-amazon.com/images/I/61kENSxL-gL.jpg</t>
        </is>
      </c>
      <c r="AG562" t="inlineStr"/>
    </row>
    <row r="563">
      <c r="A563" t="inlineStr">
        <is>
          <t>com</t>
        </is>
      </c>
      <c r="B563" t="inlineStr">
        <is>
          <t>B0DK8221K8</t>
        </is>
      </c>
      <c r="C563" t="inlineStr">
        <is>
          <t>Women's Puma Club Pearl SD Puma Black-Puma Black-White (401820 03) - 10</t>
        </is>
      </c>
      <c r="D563" t="n">
        <v>74.95</v>
      </c>
      <c r="E563" t="n">
        <v>74.95</v>
      </c>
      <c r="H563" t="inlineStr"/>
      <c r="I563" t="inlineStr"/>
      <c r="J563" t="n">
        <v>0</v>
      </c>
      <c r="K563" t="n">
        <v>1</v>
      </c>
      <c r="L563" t="n">
        <v>1</v>
      </c>
      <c r="M563" t="n">
        <v>1</v>
      </c>
      <c r="Q563" t="n">
        <v>-1</v>
      </c>
      <c r="R563" t="n">
        <v>-1</v>
      </c>
      <c r="S563" t="inlineStr"/>
      <c r="V563" t="inlineStr"/>
      <c r="W563" t="inlineStr"/>
      <c r="X563" t="inlineStr">
        <is>
          <t>197672666624</t>
        </is>
      </c>
      <c r="Y563" t="inlineStr"/>
      <c r="Z563" t="inlineStr"/>
      <c r="AA563" t="inlineStr">
        <is>
          <t>Puma Black-puma Black-white</t>
        </is>
      </c>
      <c r="AB563" t="inlineStr">
        <is>
          <t>0197672666624</t>
        </is>
      </c>
      <c r="AC563" t="inlineStr">
        <is>
          <t>no Amazon offer exists</t>
        </is>
      </c>
      <c r="AD563" t="inlineStr">
        <is>
          <t>Puma</t>
        </is>
      </c>
      <c r="AE563" t="inlineStr">
        <is>
          <t>10</t>
        </is>
      </c>
      <c r="AF563" t="inlineStr">
        <is>
          <t>https://m.media-amazon.com/images/I/51iAW7S9oAL.jpg;https://m.media-amazon.com/images/I/515ALonB9sL.jpg;https://m.media-amazon.com/images/I/61ZwIZP5jyL.jpg;https://m.media-amazon.com/images/I/61kENSxL-gL.jpg</t>
        </is>
      </c>
      <c r="AG563" t="inlineStr"/>
    </row>
    <row r="564">
      <c r="A564" t="inlineStr">
        <is>
          <t>com</t>
        </is>
      </c>
      <c r="B564" t="inlineStr">
        <is>
          <t>B0DK83B84X</t>
        </is>
      </c>
      <c r="C564" t="inlineStr">
        <is>
          <t>Women's Puma Club Pearl SD Puma Black-Puma Black-White (401820 03) - 11</t>
        </is>
      </c>
      <c r="D564" t="n">
        <v>74.95</v>
      </c>
      <c r="E564" t="n">
        <v>74.95</v>
      </c>
      <c r="H564" t="n">
        <v>74.95</v>
      </c>
      <c r="I564" t="n">
        <v>74.95</v>
      </c>
      <c r="J564" t="n">
        <v>0</v>
      </c>
      <c r="K564" t="n">
        <v>1</v>
      </c>
      <c r="L564" t="n">
        <v>1</v>
      </c>
      <c r="M564" t="n">
        <v>1</v>
      </c>
      <c r="Q564" t="n">
        <v>-1</v>
      </c>
      <c r="R564" t="n">
        <v>-1</v>
      </c>
      <c r="S564" t="inlineStr"/>
      <c r="V564" t="inlineStr"/>
      <c r="W564" t="inlineStr"/>
      <c r="X564" t="inlineStr">
        <is>
          <t>197672666631</t>
        </is>
      </c>
      <c r="Y564" t="inlineStr"/>
      <c r="Z564" t="inlineStr"/>
      <c r="AA564" t="inlineStr">
        <is>
          <t>Puma Black-puma Black-white</t>
        </is>
      </c>
      <c r="AB564" t="inlineStr">
        <is>
          <t>0197672666631</t>
        </is>
      </c>
      <c r="AC564" t="inlineStr">
        <is>
          <t>no Amazon offer exists</t>
        </is>
      </c>
      <c r="AD564" t="inlineStr">
        <is>
          <t>Puma</t>
        </is>
      </c>
      <c r="AE564" t="inlineStr">
        <is>
          <t>11</t>
        </is>
      </c>
      <c r="AF564" t="inlineStr">
        <is>
          <t>https://m.media-amazon.com/images/I/51iAW7S9oAL.jpg;https://m.media-amazon.com/images/I/515ALonB9sL.jpg;https://m.media-amazon.com/images/I/61ZwIZP5jyL.jpg;https://m.media-amazon.com/images/I/61kENSxL-gL.jpg</t>
        </is>
      </c>
      <c r="AG564" t="inlineStr"/>
    </row>
    <row r="565">
      <c r="A565" t="inlineStr">
        <is>
          <t>com</t>
        </is>
      </c>
      <c r="B565" t="inlineStr">
        <is>
          <t>B09KMJV1HW</t>
        </is>
      </c>
      <c r="C565" t="inlineStr">
        <is>
          <t>adidas Women's Grand Court 2.0 Tennis Shoe</t>
        </is>
      </c>
      <c r="D565" t="n">
        <v>69.95</v>
      </c>
      <c r="E565" t="n">
        <v>69.95</v>
      </c>
      <c r="F565" t="n">
        <v>3965</v>
      </c>
      <c r="G565" t="n">
        <v>1956</v>
      </c>
      <c r="H565" t="n">
        <v>62.7</v>
      </c>
      <c r="I565" t="n">
        <v>65.70999999999999</v>
      </c>
      <c r="J565" t="n">
        <v>0</v>
      </c>
      <c r="K565" t="n">
        <v>0.68</v>
      </c>
      <c r="L565" t="n">
        <v>5</v>
      </c>
      <c r="M565" t="n">
        <v>8</v>
      </c>
      <c r="N565" t="n">
        <v>4.6</v>
      </c>
      <c r="O565" t="n">
        <v>3</v>
      </c>
      <c r="P565" t="n">
        <v>2738</v>
      </c>
      <c r="Q565" t="n">
        <v>49</v>
      </c>
      <c r="R565" t="n">
        <v>140</v>
      </c>
      <c r="S565" t="inlineStr">
        <is>
          <t>B09KMY3ZLD</t>
        </is>
      </c>
      <c r="U565" t="n">
        <v>1.7085805</v>
      </c>
      <c r="V565" t="n">
        <v>7.03</v>
      </c>
      <c r="W565" t="n">
        <v>10.49</v>
      </c>
      <c r="X565" t="inlineStr">
        <is>
          <t>195739840369</t>
        </is>
      </c>
      <c r="Y565" t="inlineStr">
        <is>
          <t>LIT87</t>
        </is>
      </c>
      <c r="Z565" t="inlineStr">
        <is>
          <t>LIT87</t>
        </is>
      </c>
      <c r="AA565" t="inlineStr">
        <is>
          <t>White/White/Gold Metallic</t>
        </is>
      </c>
      <c r="AB565" t="inlineStr">
        <is>
          <t>0195739840369</t>
        </is>
      </c>
      <c r="AC565" t="inlineStr">
        <is>
          <t>Amazon offer is in stock and shippable</t>
        </is>
      </c>
      <c r="AD565" t="inlineStr">
        <is>
          <t>adidas</t>
        </is>
      </c>
      <c r="AE565" t="inlineStr">
        <is>
          <t>5</t>
        </is>
      </c>
      <c r="AF565"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65"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566">
      <c r="A566" t="inlineStr">
        <is>
          <t>com</t>
        </is>
      </c>
      <c r="B566" t="inlineStr">
        <is>
          <t>B09KMJ5LDJ</t>
        </is>
      </c>
      <c r="C566" t="inlineStr">
        <is>
          <t>adidas Women's Grand Court 2.0 Tennis Shoe</t>
        </is>
      </c>
      <c r="D566" t="n">
        <v>66.94</v>
      </c>
      <c r="E566" t="n">
        <v>66.94</v>
      </c>
      <c r="F566" t="n">
        <v>8133</v>
      </c>
      <c r="G566" t="n">
        <v>2640</v>
      </c>
      <c r="H566" t="n">
        <v>62.95</v>
      </c>
      <c r="I566" t="n">
        <v>63.62</v>
      </c>
      <c r="J566" t="n">
        <v>0</v>
      </c>
      <c r="K566" t="n">
        <v>0.04</v>
      </c>
      <c r="L566" t="n">
        <v>5</v>
      </c>
      <c r="M566" t="n">
        <v>6</v>
      </c>
      <c r="N566" t="n">
        <v>4.6</v>
      </c>
      <c r="O566" t="n">
        <v>11</v>
      </c>
      <c r="P566" t="n">
        <v>3634</v>
      </c>
      <c r="Q566" t="n">
        <v>74</v>
      </c>
      <c r="R566" t="n">
        <v>171</v>
      </c>
      <c r="S566" t="inlineStr">
        <is>
          <t>B08145HXGL</t>
        </is>
      </c>
      <c r="T566" t="n">
        <v>50</v>
      </c>
      <c r="U566" t="n">
        <v>1.6093726</v>
      </c>
      <c r="V566" t="n">
        <v>7.03</v>
      </c>
      <c r="W566" t="n">
        <v>10.04</v>
      </c>
      <c r="X566" t="inlineStr">
        <is>
          <t>195739844725</t>
        </is>
      </c>
      <c r="Y566" t="inlineStr">
        <is>
          <t>LIT87</t>
        </is>
      </c>
      <c r="Z566" t="inlineStr">
        <is>
          <t>LIT87</t>
        </is>
      </c>
      <c r="AA566" t="inlineStr">
        <is>
          <t>White/White/Gold Metallic</t>
        </is>
      </c>
      <c r="AB566" t="inlineStr">
        <is>
          <t>0195739844725</t>
        </is>
      </c>
      <c r="AC566" t="inlineStr">
        <is>
          <t>Amazon offer is in stock and shippable</t>
        </is>
      </c>
      <c r="AD566" t="inlineStr">
        <is>
          <t>adidas</t>
        </is>
      </c>
      <c r="AE566" t="inlineStr">
        <is>
          <t>5.5</t>
        </is>
      </c>
      <c r="AF566"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66" t="inlineStr">
        <is>
          <t>Description
adidas branding on tab; Regular fit</t>
        </is>
      </c>
    </row>
    <row r="567">
      <c r="A567" t="inlineStr">
        <is>
          <t>com</t>
        </is>
      </c>
      <c r="B567" t="inlineStr">
        <is>
          <t>B09KMJJYHW</t>
        </is>
      </c>
      <c r="C567" t="inlineStr">
        <is>
          <t>adidas Women's Grand Court 2.0 Tennis Shoe</t>
        </is>
      </c>
      <c r="D567" t="n">
        <v>69.98999999999999</v>
      </c>
      <c r="E567" t="n">
        <v>69.84999999999999</v>
      </c>
      <c r="F567" t="n">
        <v>3965</v>
      </c>
      <c r="G567" t="n">
        <v>1959</v>
      </c>
      <c r="H567" t="n">
        <v>60.2</v>
      </c>
      <c r="I567" t="n">
        <v>60.84</v>
      </c>
      <c r="J567" t="n">
        <v>0</v>
      </c>
      <c r="K567" t="n">
        <v>0.01</v>
      </c>
      <c r="L567" t="n">
        <v>9</v>
      </c>
      <c r="M567" t="n">
        <v>7</v>
      </c>
      <c r="N567" t="n">
        <v>4.6</v>
      </c>
      <c r="O567" t="n">
        <v>35</v>
      </c>
      <c r="P567" t="n">
        <v>2740</v>
      </c>
      <c r="Q567" t="n">
        <v>109</v>
      </c>
      <c r="R567" t="n">
        <v>266</v>
      </c>
      <c r="S567" t="inlineStr">
        <is>
          <t>B09KMY3ZLD</t>
        </is>
      </c>
      <c r="T567" t="n">
        <v>50</v>
      </c>
      <c r="U567" t="n">
        <v>1.79015144</v>
      </c>
      <c r="V567" t="n">
        <v>6.61</v>
      </c>
      <c r="W567" t="n">
        <v>10.5</v>
      </c>
      <c r="X567" t="inlineStr">
        <is>
          <t>195739844756</t>
        </is>
      </c>
      <c r="Y567" t="inlineStr">
        <is>
          <t>LIT87</t>
        </is>
      </c>
      <c r="Z567" t="inlineStr">
        <is>
          <t>LIT87</t>
        </is>
      </c>
      <c r="AA567" t="inlineStr">
        <is>
          <t>White/White/Gold Metallic</t>
        </is>
      </c>
      <c r="AB567" t="inlineStr">
        <is>
          <t>0195739844756</t>
        </is>
      </c>
      <c r="AC567" t="inlineStr">
        <is>
          <t>Amazon offer is in stock and shippable</t>
        </is>
      </c>
      <c r="AD567" t="inlineStr">
        <is>
          <t>adidas</t>
        </is>
      </c>
      <c r="AE567" t="inlineStr">
        <is>
          <t>6</t>
        </is>
      </c>
      <c r="AF567"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67"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568">
      <c r="A568" t="inlineStr">
        <is>
          <t>com</t>
        </is>
      </c>
      <c r="B568" t="inlineStr">
        <is>
          <t>B09KMHYNP1</t>
        </is>
      </c>
      <c r="C568" t="inlineStr">
        <is>
          <t>adidas Women's Grand Court 2.0 Tennis Shoe</t>
        </is>
      </c>
      <c r="D568" t="n">
        <v>69.95</v>
      </c>
      <c r="E568" t="n">
        <v>69.84999999999999</v>
      </c>
      <c r="F568" t="n">
        <v>8133</v>
      </c>
      <c r="G568" t="n">
        <v>2640</v>
      </c>
      <c r="H568" t="n">
        <v>58.24</v>
      </c>
      <c r="I568" t="n">
        <v>58.74</v>
      </c>
      <c r="J568" t="n">
        <v>0</v>
      </c>
      <c r="K568" t="n">
        <v>0</v>
      </c>
      <c r="L568" t="n">
        <v>11</v>
      </c>
      <c r="M568" t="n">
        <v>9</v>
      </c>
      <c r="N568" t="n">
        <v>4.6</v>
      </c>
      <c r="O568" t="n">
        <v>53</v>
      </c>
      <c r="P568" t="n">
        <v>3635</v>
      </c>
      <c r="Q568" t="n">
        <v>77</v>
      </c>
      <c r="R568" t="n">
        <v>179</v>
      </c>
      <c r="S568" t="inlineStr">
        <is>
          <t>B08145HXGL</t>
        </is>
      </c>
      <c r="T568" t="n">
        <v>100</v>
      </c>
      <c r="U568" t="n">
        <v>1.73944518</v>
      </c>
      <c r="V568" t="n">
        <v>7.7</v>
      </c>
      <c r="W568" t="n">
        <v>10.49</v>
      </c>
      <c r="X568" t="inlineStr">
        <is>
          <t>195739840352</t>
        </is>
      </c>
      <c r="Y568" t="inlineStr">
        <is>
          <t>LIT87</t>
        </is>
      </c>
      <c r="Z568" t="inlineStr">
        <is>
          <t>LIT87</t>
        </is>
      </c>
      <c r="AA568" t="inlineStr">
        <is>
          <t>White/White/Gold Metallic</t>
        </is>
      </c>
      <c r="AB568" t="inlineStr">
        <is>
          <t>0195739840352</t>
        </is>
      </c>
      <c r="AC568" t="inlineStr">
        <is>
          <t>Amazon offer is in stock and shippable</t>
        </is>
      </c>
      <c r="AD568" t="inlineStr">
        <is>
          <t>adidas</t>
        </is>
      </c>
      <c r="AE568" t="inlineStr">
        <is>
          <t>6.5</t>
        </is>
      </c>
      <c r="AF568"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68" t="inlineStr">
        <is>
          <t>Description
adidas branding on tab; Regular fit</t>
        </is>
      </c>
    </row>
    <row r="569">
      <c r="A569" t="inlineStr">
        <is>
          <t>com</t>
        </is>
      </c>
      <c r="B569" t="inlineStr">
        <is>
          <t>B09KMGGZQJ</t>
        </is>
      </c>
      <c r="C569" t="inlineStr">
        <is>
          <t>adidas Women's Grand Court 2.0 Tennis Shoe</t>
        </is>
      </c>
      <c r="D569" t="n">
        <v>67.98999999999999</v>
      </c>
      <c r="E569" t="n">
        <v>67.98999999999999</v>
      </c>
      <c r="F569" t="n">
        <v>8133</v>
      </c>
      <c r="G569" t="n">
        <v>2659</v>
      </c>
      <c r="H569" t="n">
        <v>60.88</v>
      </c>
      <c r="I569" t="n">
        <v>60.16</v>
      </c>
      <c r="J569" t="n">
        <v>0</v>
      </c>
      <c r="K569" t="n">
        <v>0.26</v>
      </c>
      <c r="L569" t="n">
        <v>12</v>
      </c>
      <c r="M569" t="n">
        <v>10</v>
      </c>
      <c r="N569" t="n">
        <v>4.6</v>
      </c>
      <c r="O569" t="n">
        <v>70</v>
      </c>
      <c r="P569" t="n">
        <v>3633</v>
      </c>
      <c r="Q569" t="n">
        <v>83</v>
      </c>
      <c r="R569" t="n">
        <v>182</v>
      </c>
      <c r="S569" t="inlineStr">
        <is>
          <t>B08145HXGL</t>
        </is>
      </c>
      <c r="T569" t="n">
        <v>100</v>
      </c>
      <c r="U569" t="n">
        <v>1.89376858</v>
      </c>
      <c r="V569" t="n">
        <v>7.7</v>
      </c>
      <c r="W569" t="n">
        <v>10.2</v>
      </c>
      <c r="X569" t="inlineStr">
        <is>
          <t>195739844794</t>
        </is>
      </c>
      <c r="Y569" t="inlineStr">
        <is>
          <t>LIT87</t>
        </is>
      </c>
      <c r="Z569" t="inlineStr">
        <is>
          <t>LIT87</t>
        </is>
      </c>
      <c r="AA569" t="inlineStr">
        <is>
          <t>White/White/Gold Metallic</t>
        </is>
      </c>
      <c r="AB569" t="inlineStr">
        <is>
          <t>0195739844794</t>
        </is>
      </c>
      <c r="AC569" t="inlineStr">
        <is>
          <t>Amazon offer is in stock and shippable</t>
        </is>
      </c>
      <c r="AD569" t="inlineStr">
        <is>
          <t>adidas</t>
        </is>
      </c>
      <c r="AE569" t="inlineStr">
        <is>
          <t>7</t>
        </is>
      </c>
      <c r="AF569"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69" t="inlineStr">
        <is>
          <t>Description
adidas branding on tab; Regular fit</t>
        </is>
      </c>
    </row>
    <row r="570">
      <c r="A570" t="inlineStr">
        <is>
          <t>com</t>
        </is>
      </c>
      <c r="B570" t="inlineStr">
        <is>
          <t>B09KMGPHYJ</t>
        </is>
      </c>
      <c r="C570" t="inlineStr">
        <is>
          <t>adidas Women's Grand Court 2.0 Tennis Shoe</t>
        </is>
      </c>
      <c r="D570" t="n">
        <v>69.95</v>
      </c>
      <c r="E570" t="n">
        <v>69.94</v>
      </c>
      <c r="F570" t="n">
        <v>3965</v>
      </c>
      <c r="G570" t="n">
        <v>1960</v>
      </c>
      <c r="H570" t="n">
        <v>57.45</v>
      </c>
      <c r="I570" t="n">
        <v>58.26</v>
      </c>
      <c r="J570" t="n">
        <v>0</v>
      </c>
      <c r="K570" t="n">
        <v>0</v>
      </c>
      <c r="L570" t="n">
        <v>12</v>
      </c>
      <c r="M570" t="n">
        <v>9</v>
      </c>
      <c r="N570" t="n">
        <v>4.6</v>
      </c>
      <c r="O570" t="n">
        <v>110</v>
      </c>
      <c r="P570" t="n">
        <v>2738</v>
      </c>
      <c r="Q570" t="n">
        <v>67</v>
      </c>
      <c r="R570" t="n">
        <v>166</v>
      </c>
      <c r="S570" t="inlineStr">
        <is>
          <t>B09KMY3ZLD</t>
        </is>
      </c>
      <c r="T570" t="n">
        <v>200</v>
      </c>
      <c r="U570" t="n">
        <v>1.86951776</v>
      </c>
      <c r="V570" t="n">
        <v>7.7</v>
      </c>
      <c r="W570" t="n">
        <v>10.49</v>
      </c>
      <c r="X570" t="inlineStr">
        <is>
          <t>195739844732</t>
        </is>
      </c>
      <c r="Y570" t="inlineStr">
        <is>
          <t>LIT87</t>
        </is>
      </c>
      <c r="Z570" t="inlineStr">
        <is>
          <t>LIT87</t>
        </is>
      </c>
      <c r="AA570" t="inlineStr">
        <is>
          <t>White/White/Gold Metallic</t>
        </is>
      </c>
      <c r="AB570" t="inlineStr">
        <is>
          <t>0195739844732</t>
        </is>
      </c>
      <c r="AC570" t="inlineStr">
        <is>
          <t>Amazon offer is in stock and shippable</t>
        </is>
      </c>
      <c r="AD570" t="inlineStr">
        <is>
          <t>adidas</t>
        </is>
      </c>
      <c r="AE570" t="inlineStr">
        <is>
          <t>7.5</t>
        </is>
      </c>
      <c r="AF570"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0"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571">
      <c r="A571" t="inlineStr">
        <is>
          <t>com</t>
        </is>
      </c>
      <c r="B571" t="inlineStr">
        <is>
          <t>B09KMLH81B</t>
        </is>
      </c>
      <c r="C571" t="inlineStr">
        <is>
          <t>adidas Women's Grand Court 2.0 Tennis Shoe</t>
        </is>
      </c>
      <c r="D571" t="n">
        <v>69.95</v>
      </c>
      <c r="E571" t="n">
        <v>69.95</v>
      </c>
      <c r="F571" t="n">
        <v>8133</v>
      </c>
      <c r="G571" t="n">
        <v>2646</v>
      </c>
      <c r="H571" t="n">
        <v>59.99</v>
      </c>
      <c r="I571" t="n">
        <v>61.6</v>
      </c>
      <c r="J571" t="n">
        <v>0</v>
      </c>
      <c r="K571" t="n">
        <v>0.1</v>
      </c>
      <c r="L571" t="n">
        <v>16</v>
      </c>
      <c r="M571" t="n">
        <v>11</v>
      </c>
      <c r="N571" t="n">
        <v>4.6</v>
      </c>
      <c r="O571" t="n">
        <v>113</v>
      </c>
      <c r="P571" t="n">
        <v>3635</v>
      </c>
      <c r="Q571" t="n">
        <v>74</v>
      </c>
      <c r="R571" t="n">
        <v>207</v>
      </c>
      <c r="S571" t="inlineStr">
        <is>
          <t>B08145HXGL</t>
        </is>
      </c>
      <c r="T571" t="n">
        <v>300</v>
      </c>
      <c r="U571" t="n">
        <v>1.95990718</v>
      </c>
      <c r="V571" t="n">
        <v>7.78</v>
      </c>
      <c r="W571" t="n">
        <v>10.49</v>
      </c>
      <c r="X571" t="inlineStr">
        <is>
          <t>195739844770</t>
        </is>
      </c>
      <c r="Y571" t="inlineStr">
        <is>
          <t>LIT87</t>
        </is>
      </c>
      <c r="Z571" t="inlineStr">
        <is>
          <t>LIT87</t>
        </is>
      </c>
      <c r="AA571" t="inlineStr">
        <is>
          <t>White/White/Gold Metallic</t>
        </is>
      </c>
      <c r="AB571" t="inlineStr">
        <is>
          <t>0195739844770</t>
        </is>
      </c>
      <c r="AC571" t="inlineStr">
        <is>
          <t>Amazon offer is in stock and shippable</t>
        </is>
      </c>
      <c r="AD571" t="inlineStr">
        <is>
          <t>adidas</t>
        </is>
      </c>
      <c r="AE571" t="inlineStr">
        <is>
          <t>8</t>
        </is>
      </c>
      <c r="AF571"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1" t="inlineStr">
        <is>
          <t>Description
adidas branding on tab; Regular fit</t>
        </is>
      </c>
    </row>
    <row r="572">
      <c r="A572" t="inlineStr">
        <is>
          <t>com</t>
        </is>
      </c>
      <c r="B572" t="inlineStr">
        <is>
          <t>B09KMJ39CR</t>
        </is>
      </c>
      <c r="C572" t="inlineStr">
        <is>
          <t>adidas Women's Grand Court 2.0 Tennis Shoe</t>
        </is>
      </c>
      <c r="D572" t="n">
        <v>69.87</v>
      </c>
      <c r="E572" t="n">
        <v>68.90000000000001</v>
      </c>
      <c r="F572" t="n">
        <v>8133</v>
      </c>
      <c r="G572" t="n">
        <v>2651</v>
      </c>
      <c r="H572" t="n">
        <v>58.51</v>
      </c>
      <c r="I572" t="n">
        <v>58.51</v>
      </c>
      <c r="J572" t="n">
        <v>0</v>
      </c>
      <c r="K572" t="n">
        <v>0</v>
      </c>
      <c r="L572" t="n">
        <v>14</v>
      </c>
      <c r="M572" t="n">
        <v>11</v>
      </c>
      <c r="N572" t="n">
        <v>4.6</v>
      </c>
      <c r="O572" t="n">
        <v>103</v>
      </c>
      <c r="P572" t="n">
        <v>3634</v>
      </c>
      <c r="Q572" t="n">
        <v>66</v>
      </c>
      <c r="R572" t="n">
        <v>179</v>
      </c>
      <c r="S572" t="inlineStr">
        <is>
          <t>B08145HXGL</t>
        </is>
      </c>
      <c r="T572" t="n">
        <v>200</v>
      </c>
      <c r="U572" t="n">
        <v>1.92022402</v>
      </c>
      <c r="V572" t="n">
        <v>7.78</v>
      </c>
      <c r="W572" t="n">
        <v>10.48</v>
      </c>
      <c r="X572" t="inlineStr">
        <is>
          <t>195739844787</t>
        </is>
      </c>
      <c r="Y572" t="inlineStr">
        <is>
          <t>LIT87</t>
        </is>
      </c>
      <c r="Z572" t="inlineStr">
        <is>
          <t>LIT87</t>
        </is>
      </c>
      <c r="AA572" t="inlineStr">
        <is>
          <t>White/White/Gold Metallic</t>
        </is>
      </c>
      <c r="AB572" t="inlineStr">
        <is>
          <t>0195739844787</t>
        </is>
      </c>
      <c r="AC572" t="inlineStr">
        <is>
          <t>Amazon offer is in stock and shippable</t>
        </is>
      </c>
      <c r="AD572" t="inlineStr">
        <is>
          <t>adidas</t>
        </is>
      </c>
      <c r="AE572" t="inlineStr">
        <is>
          <t>8.5</t>
        </is>
      </c>
      <c r="AF572"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2" t="inlineStr">
        <is>
          <t>Description
adidas branding on tab; Regular fit</t>
        </is>
      </c>
    </row>
    <row r="573">
      <c r="A573" t="inlineStr">
        <is>
          <t>com</t>
        </is>
      </c>
      <c r="B573" t="inlineStr">
        <is>
          <t>B09KMJ6D7L</t>
        </is>
      </c>
      <c r="C573" t="inlineStr">
        <is>
          <t>adidas Women's Grand Court 2.0 Tennis Shoe</t>
        </is>
      </c>
      <c r="D573" t="n">
        <v>69.95</v>
      </c>
      <c r="E573" t="n">
        <v>69.93000000000001</v>
      </c>
      <c r="F573" t="n">
        <v>7961</v>
      </c>
      <c r="G573" t="n">
        <v>2637</v>
      </c>
      <c r="H573" t="n">
        <v>59.37</v>
      </c>
      <c r="I573" t="n">
        <v>61.21</v>
      </c>
      <c r="J573" t="n">
        <v>0</v>
      </c>
      <c r="K573" t="n">
        <v>0.02</v>
      </c>
      <c r="L573" t="n">
        <v>13</v>
      </c>
      <c r="M573" t="n">
        <v>8</v>
      </c>
      <c r="N573" t="n">
        <v>4.6</v>
      </c>
      <c r="O573" t="n">
        <v>120</v>
      </c>
      <c r="P573" t="n">
        <v>3635</v>
      </c>
      <c r="Q573" t="n">
        <v>54</v>
      </c>
      <c r="R573" t="n">
        <v>155</v>
      </c>
      <c r="S573" t="inlineStr">
        <is>
          <t>B08145HXGL</t>
        </is>
      </c>
      <c r="T573" t="n">
        <v>200</v>
      </c>
      <c r="U573" t="n">
        <v>2.0502966</v>
      </c>
      <c r="V573" t="n">
        <v>7.86</v>
      </c>
      <c r="W573" t="n">
        <v>10.49</v>
      </c>
      <c r="X573" t="inlineStr">
        <is>
          <t>195739844718</t>
        </is>
      </c>
      <c r="Y573" t="inlineStr">
        <is>
          <t>LIT87</t>
        </is>
      </c>
      <c r="Z573" t="inlineStr">
        <is>
          <t>LIT87</t>
        </is>
      </c>
      <c r="AA573" t="inlineStr">
        <is>
          <t>White/White/Gold Metallic</t>
        </is>
      </c>
      <c r="AB573" t="inlineStr">
        <is>
          <t>0195739844718</t>
        </is>
      </c>
      <c r="AC573" t="inlineStr">
        <is>
          <t>Amazon offer is in stock and shippable</t>
        </is>
      </c>
      <c r="AD573" t="inlineStr">
        <is>
          <t>adidas</t>
        </is>
      </c>
      <c r="AE573" t="inlineStr">
        <is>
          <t>9</t>
        </is>
      </c>
      <c r="AF573"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3" t="inlineStr">
        <is>
          <t>Description
adidas branding on tab; Regular fit</t>
        </is>
      </c>
    </row>
    <row r="574">
      <c r="A574" t="inlineStr">
        <is>
          <t>com</t>
        </is>
      </c>
      <c r="B574" t="inlineStr">
        <is>
          <t>B09KMGS7WY</t>
        </is>
      </c>
      <c r="C574" t="inlineStr">
        <is>
          <t>adidas Women's Grand Court 2.0 Tennis Shoe</t>
        </is>
      </c>
      <c r="D574" t="n">
        <v>69.95</v>
      </c>
      <c r="E574" t="n">
        <v>69.95</v>
      </c>
      <c r="F574" t="n">
        <v>8133</v>
      </c>
      <c r="G574" t="n">
        <v>2663</v>
      </c>
      <c r="H574" t="n">
        <v>60.84</v>
      </c>
      <c r="I574" t="n">
        <v>60.44</v>
      </c>
      <c r="J574" t="n">
        <v>0</v>
      </c>
      <c r="K574" t="n">
        <v>0.25</v>
      </c>
      <c r="L574" t="n">
        <v>9</v>
      </c>
      <c r="M574" t="n">
        <v>7</v>
      </c>
      <c r="N574" t="n">
        <v>4.6</v>
      </c>
      <c r="O574" t="n">
        <v>42</v>
      </c>
      <c r="P574" t="n">
        <v>3635</v>
      </c>
      <c r="Q574" t="n">
        <v>92</v>
      </c>
      <c r="R574" t="n">
        <v>197</v>
      </c>
      <c r="S574" t="inlineStr">
        <is>
          <t>B08145HXGL</t>
        </is>
      </c>
      <c r="T574" t="n">
        <v>50</v>
      </c>
      <c r="U574" t="n">
        <v>2.4691744</v>
      </c>
      <c r="V574" t="n">
        <v>8.74</v>
      </c>
      <c r="W574" t="n">
        <v>10.49</v>
      </c>
      <c r="X574" t="inlineStr">
        <is>
          <t>195739840376</t>
        </is>
      </c>
      <c r="Y574" t="inlineStr">
        <is>
          <t>LIT87</t>
        </is>
      </c>
      <c r="Z574" t="inlineStr">
        <is>
          <t>LIT87</t>
        </is>
      </c>
      <c r="AA574" t="inlineStr">
        <is>
          <t>White/White/Gold Metallic</t>
        </is>
      </c>
      <c r="AB574" t="inlineStr">
        <is>
          <t>0195739840376</t>
        </is>
      </c>
      <c r="AC574" t="inlineStr">
        <is>
          <t>Amazon offer is in stock and shippable</t>
        </is>
      </c>
      <c r="AD574" t="inlineStr">
        <is>
          <t>adidas</t>
        </is>
      </c>
      <c r="AE574" t="inlineStr">
        <is>
          <t>9.5</t>
        </is>
      </c>
      <c r="AF574"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4" t="inlineStr">
        <is>
          <t>Description
adidas branding on tab; Regular fit</t>
        </is>
      </c>
    </row>
    <row r="575">
      <c r="A575" t="inlineStr">
        <is>
          <t>com</t>
        </is>
      </c>
      <c r="B575" t="inlineStr">
        <is>
          <t>B09KMJ8K9N</t>
        </is>
      </c>
      <c r="C575" t="inlineStr">
        <is>
          <t>adidas Women's Grand Court 2.0 Tennis Shoe</t>
        </is>
      </c>
      <c r="D575" t="n">
        <v>57</v>
      </c>
      <c r="E575" t="n">
        <v>57</v>
      </c>
      <c r="F575" t="n">
        <v>3965</v>
      </c>
      <c r="G575" t="n">
        <v>1956</v>
      </c>
      <c r="H575" t="n">
        <v>55.22</v>
      </c>
      <c r="I575" t="n">
        <v>56.75</v>
      </c>
      <c r="J575" t="n">
        <v>0</v>
      </c>
      <c r="K575" t="n">
        <v>0</v>
      </c>
      <c r="L575" t="n">
        <v>12</v>
      </c>
      <c r="M575" t="n">
        <v>11</v>
      </c>
      <c r="N575" t="n">
        <v>4.6</v>
      </c>
      <c r="O575" t="n">
        <v>43</v>
      </c>
      <c r="P575" t="n">
        <v>2739</v>
      </c>
      <c r="Q575" t="n">
        <v>88</v>
      </c>
      <c r="R575" t="n">
        <v>169</v>
      </c>
      <c r="S575" t="inlineStr">
        <is>
          <t>B09KMY3ZLD</t>
        </is>
      </c>
      <c r="T575" t="n">
        <v>100</v>
      </c>
      <c r="U575" t="n">
        <v>2.20021076</v>
      </c>
      <c r="V575" t="n">
        <v>7.78</v>
      </c>
      <c r="W575" t="n">
        <v>8.550000000000001</v>
      </c>
      <c r="X575" t="inlineStr">
        <is>
          <t>195739844749</t>
        </is>
      </c>
      <c r="Y575" t="inlineStr">
        <is>
          <t>LIT87</t>
        </is>
      </c>
      <c r="Z575" t="inlineStr">
        <is>
          <t>LIT87</t>
        </is>
      </c>
      <c r="AA575" t="inlineStr">
        <is>
          <t>White/White/Gold Metallic</t>
        </is>
      </c>
      <c r="AB575" t="inlineStr">
        <is>
          <t>0195739844749</t>
        </is>
      </c>
      <c r="AC575" t="inlineStr">
        <is>
          <t>Amazon offer is in stock and shippable</t>
        </is>
      </c>
      <c r="AD575" t="inlineStr">
        <is>
          <t>adidas</t>
        </is>
      </c>
      <c r="AE575" t="inlineStr">
        <is>
          <t>10</t>
        </is>
      </c>
      <c r="AF575"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5"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576">
      <c r="A576" t="inlineStr">
        <is>
          <t>com</t>
        </is>
      </c>
      <c r="B576" t="inlineStr">
        <is>
          <t>B0BD9GFRJ1</t>
        </is>
      </c>
      <c r="C576" t="inlineStr">
        <is>
          <t>adidas Women's Grand Court 2.0 Tennis Shoe</t>
        </is>
      </c>
      <c r="D576" t="n">
        <v>69.95</v>
      </c>
      <c r="E576" t="n">
        <v>69.42</v>
      </c>
      <c r="F576" t="n">
        <v>3965</v>
      </c>
      <c r="G576" t="n">
        <v>1953</v>
      </c>
      <c r="H576" t="n">
        <v>56.67</v>
      </c>
      <c r="I576" t="n">
        <v>58.08</v>
      </c>
      <c r="J576" t="n">
        <v>0</v>
      </c>
      <c r="K576" t="n">
        <v>0.02</v>
      </c>
      <c r="L576" t="n">
        <v>8</v>
      </c>
      <c r="M576" t="n">
        <v>8</v>
      </c>
      <c r="N576" t="n">
        <v>4.6</v>
      </c>
      <c r="O576" t="n">
        <v>14</v>
      </c>
      <c r="P576" t="n">
        <v>2740</v>
      </c>
      <c r="Q576" t="n">
        <v>108</v>
      </c>
      <c r="R576" t="n">
        <v>267</v>
      </c>
      <c r="S576" t="inlineStr">
        <is>
          <t>B09KMY3ZLD</t>
        </is>
      </c>
      <c r="T576" t="n">
        <v>50</v>
      </c>
      <c r="U576" t="n">
        <v>2.2707586</v>
      </c>
      <c r="V576" t="n">
        <v>7.86</v>
      </c>
      <c r="W576" t="n">
        <v>10.49</v>
      </c>
      <c r="X576" t="inlineStr">
        <is>
          <t>195746012988</t>
        </is>
      </c>
      <c r="Y576" t="inlineStr">
        <is>
          <t>LIT87</t>
        </is>
      </c>
      <c r="Z576" t="inlineStr">
        <is>
          <t>LIT87</t>
        </is>
      </c>
      <c r="AA576" t="inlineStr">
        <is>
          <t>White/White/Gold Metallic</t>
        </is>
      </c>
      <c r="AB576" t="inlineStr">
        <is>
          <t>0195746012988</t>
        </is>
      </c>
      <c r="AC576" t="inlineStr">
        <is>
          <t>Amazon offer is in stock and shippable</t>
        </is>
      </c>
      <c r="AD576" t="inlineStr">
        <is>
          <t>adidas</t>
        </is>
      </c>
      <c r="AE576" t="inlineStr">
        <is>
          <t>11</t>
        </is>
      </c>
      <c r="AF576" t="inlineStr">
        <is>
          <t>https://m.media-amazon.com/images/I/61oXh3wFAqL.jpg;https://m.media-amazon.com/images/I/61M7-JwTJeL.jpg;https://m.media-amazon.com/images/I/61eam8ggr4L.jpg;https://m.media-amazon.com/images/I/71GVFW4ajAL.jpg;https://m.media-amazon.com/images/I/81oFHOS3rcL.jpg;https://m.media-amazon.com/images/I/71ZUqtPEDuL.jpg;https://m.media-amazon.com/images/I/61dmRcjdJIL.jpg</t>
        </is>
      </c>
      <c r="AG576" t="inlineStr">
        <is>
          <t>Description
Iconic style born on the hardcourt but built for the streets. These women's sneakers have a durable synthetic leather upper so you can wear them every day of the week. A Cloudfoam Comfort sockliner elevates comfort, while the rubber outsole grips the ground to keep you moving.</t>
        </is>
      </c>
    </row>
    <row r="577">
      <c r="A577" t="inlineStr">
        <is>
          <t>com</t>
        </is>
      </c>
      <c r="B577" t="inlineStr">
        <is>
          <t>B0BXTF1VDP</t>
        </is>
      </c>
      <c r="C577" t="inlineStr">
        <is>
          <t>PUMA Womens Softride One4all Cross Trainer, Warm White-PUMA Womens Gold-Matte PUMA Womens Gold, 5.5</t>
        </is>
      </c>
      <c r="D577" t="n">
        <v>69.95</v>
      </c>
      <c r="E577" t="n">
        <v>69.95</v>
      </c>
      <c r="F577" t="n">
        <v>194579</v>
      </c>
      <c r="G577" t="n">
        <v>268567</v>
      </c>
      <c r="H577" t="n">
        <v>69.28</v>
      </c>
      <c r="I577" t="n">
        <v>68.2</v>
      </c>
      <c r="J577" t="n">
        <v>0.2</v>
      </c>
      <c r="K577" t="n">
        <v>0.33</v>
      </c>
      <c r="L577" t="n">
        <v>1</v>
      </c>
      <c r="M577" t="n">
        <v>1</v>
      </c>
      <c r="N577" t="n">
        <v>4.5</v>
      </c>
      <c r="O577" t="n">
        <v>0</v>
      </c>
      <c r="P577" t="n">
        <v>114</v>
      </c>
      <c r="Q577" t="n">
        <v>16</v>
      </c>
      <c r="R577" t="n">
        <v>46</v>
      </c>
      <c r="S577" t="inlineStr">
        <is>
          <t>B0DF2WXW9S</t>
        </is>
      </c>
      <c r="U577" t="n">
        <v>1.34040896</v>
      </c>
      <c r="V577" t="n">
        <v>7.03</v>
      </c>
      <c r="W577" t="n">
        <v>10.49</v>
      </c>
      <c r="X577" t="inlineStr">
        <is>
          <t>195552624771</t>
        </is>
      </c>
      <c r="Y577" t="inlineStr">
        <is>
          <t>37767205</t>
        </is>
      </c>
      <c r="Z577" t="inlineStr">
        <is>
          <t>37767205</t>
        </is>
      </c>
      <c r="AA577" t="inlineStr">
        <is>
          <t>Warm White-puma Gold-matte Puma Gold</t>
        </is>
      </c>
      <c r="AB577" t="inlineStr">
        <is>
          <t>0195552624771</t>
        </is>
      </c>
      <c r="AC577" t="inlineStr">
        <is>
          <t>Amazon offer is in stock and shippable</t>
        </is>
      </c>
      <c r="AD577" t="inlineStr">
        <is>
          <t>PUMA</t>
        </is>
      </c>
      <c r="AE577" t="inlineStr">
        <is>
          <t>5.5</t>
        </is>
      </c>
      <c r="AF577" t="inlineStr">
        <is>
          <t>https://m.media-amazon.com/images/I/51YfPeObQ7L.jpg;https://m.media-amazon.com/images/I/51z3sHZhmFL.jpg;https://m.media-amazon.com/images/I/41OCWk7kUZL.jpg;https://m.media-amazon.com/images/I/51zfmah7qZL.jpg;https://m.media-amazon.com/images/I/51h+v0ggQVL.jpg;https://m.media-amazon.com/images/I/51Urx1lNAJL.jpg</t>
        </is>
      </c>
      <c r="AG577" t="inlineStr">
        <is>
          <t>Description
PUMA womens Softride One4all Cross Trainer</t>
        </is>
      </c>
    </row>
    <row r="578">
      <c r="A578" t="inlineStr">
        <is>
          <t>com</t>
        </is>
      </c>
      <c r="B578" t="inlineStr">
        <is>
          <t>B0BXTDNB7K</t>
        </is>
      </c>
      <c r="C578" t="inlineStr">
        <is>
          <t>PUMA Womens Softride One4all Cross Trainer, Warm White-PUMA Womens Gold-Matte PUMA Womens Gold, 6</t>
        </is>
      </c>
      <c r="D578" t="n">
        <v>64.98999999999999</v>
      </c>
      <c r="E578" t="n">
        <v>64.98999999999999</v>
      </c>
      <c r="F578" t="n">
        <v>187043</v>
      </c>
      <c r="G578" t="n">
        <v>269985</v>
      </c>
      <c r="H578" t="n">
        <v>66.48999999999999</v>
      </c>
      <c r="I578" t="n">
        <v>64.55</v>
      </c>
      <c r="J578" t="n">
        <v>0</v>
      </c>
      <c r="K578" t="n">
        <v>0.27</v>
      </c>
      <c r="L578" t="n">
        <v>2</v>
      </c>
      <c r="M578" t="n">
        <v>3</v>
      </c>
      <c r="N578" t="n">
        <v>4.5</v>
      </c>
      <c r="O578" t="n">
        <v>2</v>
      </c>
      <c r="P578" t="n">
        <v>117</v>
      </c>
      <c r="Q578" t="n">
        <v>15</v>
      </c>
      <c r="R578" t="n">
        <v>41</v>
      </c>
      <c r="S578" t="inlineStr">
        <is>
          <t>B0DF2WXW9S</t>
        </is>
      </c>
      <c r="U578" t="n">
        <v>1.3448182</v>
      </c>
      <c r="V578" t="n">
        <v>7.03</v>
      </c>
      <c r="W578" t="n">
        <v>9.75</v>
      </c>
      <c r="X578" t="inlineStr">
        <is>
          <t>195552624801</t>
        </is>
      </c>
      <c r="Y578" t="inlineStr">
        <is>
          <t>37767205</t>
        </is>
      </c>
      <c r="Z578" t="inlineStr">
        <is>
          <t>37767205</t>
        </is>
      </c>
      <c r="AA578" t="inlineStr">
        <is>
          <t>Warm White-puma Gold-matte Puma Gold</t>
        </is>
      </c>
      <c r="AB578" t="inlineStr">
        <is>
          <t>0195552624801</t>
        </is>
      </c>
      <c r="AC578" t="inlineStr">
        <is>
          <t>Amazon offer is in stock and shippable</t>
        </is>
      </c>
      <c r="AD578" t="inlineStr">
        <is>
          <t>PUMA</t>
        </is>
      </c>
      <c r="AE578" t="inlineStr">
        <is>
          <t>6</t>
        </is>
      </c>
      <c r="AF578" t="inlineStr">
        <is>
          <t>https://m.media-amazon.com/images/I/51YfPeObQ7L.jpg;https://m.media-amazon.com/images/I/51z3sHZhmFL.jpg;https://m.media-amazon.com/images/I/41OCWk7kUZL.jpg;https://m.media-amazon.com/images/I/51zfmah7qZL.jpg;https://m.media-amazon.com/images/I/51h+v0ggQVL.jpg;https://m.media-amazon.com/images/I/51Urx1lNAJL.jpg</t>
        </is>
      </c>
      <c r="AG578" t="inlineStr">
        <is>
          <t>Description
PUMA womens Softride One4all Cross Trainer</t>
        </is>
      </c>
    </row>
    <row r="579">
      <c r="A579" t="inlineStr">
        <is>
          <t>com</t>
        </is>
      </c>
      <c r="B579" t="inlineStr">
        <is>
          <t>B0BXTDXHQM</t>
        </is>
      </c>
      <c r="C579" t="inlineStr">
        <is>
          <t>PUMA Womens Softride One4all Cross Trainer, Warm White-PUMA Womens Gold-Matte PUMA Womens Gold, 6.5</t>
        </is>
      </c>
      <c r="D579" t="n">
        <v>61.23</v>
      </c>
      <c r="E579" t="n">
        <v>59.49</v>
      </c>
      <c r="F579" t="n">
        <v>191432</v>
      </c>
      <c r="G579" t="n">
        <v>256256</v>
      </c>
      <c r="H579" t="n">
        <v>70.09999999999999</v>
      </c>
      <c r="I579" t="n">
        <v>67.95999999999999</v>
      </c>
      <c r="J579" t="n">
        <v>0.27</v>
      </c>
      <c r="K579" t="n">
        <v>0.57</v>
      </c>
      <c r="L579" t="n">
        <v>2</v>
      </c>
      <c r="M579" t="n">
        <v>2</v>
      </c>
      <c r="N579" t="n">
        <v>4.5</v>
      </c>
      <c r="O579" t="n">
        <v>2</v>
      </c>
      <c r="P579" t="n">
        <v>116</v>
      </c>
      <c r="Q579" t="n">
        <v>19</v>
      </c>
      <c r="R579" t="n">
        <v>36</v>
      </c>
      <c r="S579" t="inlineStr">
        <is>
          <t>B0DF2WXW9S</t>
        </is>
      </c>
      <c r="U579" t="n">
        <v>1.38229674</v>
      </c>
      <c r="V579" t="n">
        <v>7.54</v>
      </c>
      <c r="W579" t="n">
        <v>9.18</v>
      </c>
      <c r="X579" t="inlineStr">
        <is>
          <t>195552624825</t>
        </is>
      </c>
      <c r="Y579" t="inlineStr">
        <is>
          <t>37767205</t>
        </is>
      </c>
      <c r="Z579" t="inlineStr">
        <is>
          <t>37767205</t>
        </is>
      </c>
      <c r="AA579" t="inlineStr">
        <is>
          <t>Warm White-puma Gold-matte Puma Gold</t>
        </is>
      </c>
      <c r="AB579" t="inlineStr">
        <is>
          <t>0195552624825</t>
        </is>
      </c>
      <c r="AC579" t="inlineStr">
        <is>
          <t>Amazon offer is in stock and shippable</t>
        </is>
      </c>
      <c r="AD579" t="inlineStr">
        <is>
          <t>PUMA</t>
        </is>
      </c>
      <c r="AE579" t="inlineStr">
        <is>
          <t>6.5</t>
        </is>
      </c>
      <c r="AF579" t="inlineStr">
        <is>
          <t>https://m.media-amazon.com/images/I/51YfPeObQ7L.jpg;https://m.media-amazon.com/images/I/51z3sHZhmFL.jpg;https://m.media-amazon.com/images/I/41OCWk7kUZL.jpg;https://m.media-amazon.com/images/I/51zfmah7qZL.jpg;https://m.media-amazon.com/images/I/51h+v0ggQVL.jpg;https://m.media-amazon.com/images/I/51Urx1lNAJL.jpg</t>
        </is>
      </c>
      <c r="AG579" t="inlineStr">
        <is>
          <t>Description
PUMA womens Softride One4all Cross Trainer</t>
        </is>
      </c>
    </row>
    <row r="580">
      <c r="A580" t="inlineStr">
        <is>
          <t>com</t>
        </is>
      </c>
      <c r="B580" t="inlineStr">
        <is>
          <t>B0BXTDQWL6</t>
        </is>
      </c>
      <c r="C580" t="inlineStr">
        <is>
          <t>PUMA Womens Softride One4all Cross Trainer, Warm White-PUMA Womens Gold-Matte PUMA Womens Gold, 7</t>
        </is>
      </c>
      <c r="D580" t="n">
        <v>64.98999999999999</v>
      </c>
      <c r="E580" t="n">
        <v>64.98999999999999</v>
      </c>
      <c r="F580" t="n">
        <v>194640</v>
      </c>
      <c r="G580" t="n">
        <v>259988</v>
      </c>
      <c r="H580" t="n">
        <v>64.02</v>
      </c>
      <c r="I580" t="n">
        <v>63.63</v>
      </c>
      <c r="J580" t="n">
        <v>0</v>
      </c>
      <c r="K580" t="n">
        <v>0.45</v>
      </c>
      <c r="L580" t="n">
        <v>3</v>
      </c>
      <c r="M580" t="n">
        <v>2</v>
      </c>
      <c r="N580" t="n">
        <v>4.5</v>
      </c>
      <c r="O580" t="n">
        <v>0</v>
      </c>
      <c r="P580" t="n">
        <v>117</v>
      </c>
      <c r="Q580" t="n">
        <v>27</v>
      </c>
      <c r="R580" t="n">
        <v>57</v>
      </c>
      <c r="S580" t="inlineStr">
        <is>
          <t>B0DF2WXW9S</t>
        </is>
      </c>
      <c r="U580" t="n">
        <v>1.47930002</v>
      </c>
      <c r="V580" t="n">
        <v>7.03</v>
      </c>
      <c r="W580" t="n">
        <v>9.75</v>
      </c>
      <c r="X580" t="inlineStr">
        <is>
          <t>195552624849</t>
        </is>
      </c>
      <c r="Y580" t="inlineStr">
        <is>
          <t>37767205</t>
        </is>
      </c>
      <c r="Z580" t="inlineStr">
        <is>
          <t>37767205</t>
        </is>
      </c>
      <c r="AA580" t="inlineStr">
        <is>
          <t>Warm White-puma Gold-matte Puma Gold</t>
        </is>
      </c>
      <c r="AB580" t="inlineStr">
        <is>
          <t>0195552624849</t>
        </is>
      </c>
      <c r="AC580" t="inlineStr">
        <is>
          <t>Amazon offer is in stock and shippable</t>
        </is>
      </c>
      <c r="AD580" t="inlineStr">
        <is>
          <t>PUMA</t>
        </is>
      </c>
      <c r="AE580" t="inlineStr">
        <is>
          <t>7</t>
        </is>
      </c>
      <c r="AF580" t="inlineStr">
        <is>
          <t>https://m.media-amazon.com/images/I/51YfPeObQ7L.jpg;https://m.media-amazon.com/images/I/51z3sHZhmFL.jpg;https://m.media-amazon.com/images/I/41OCWk7kUZL.jpg;https://m.media-amazon.com/images/I/51zfmah7qZL.jpg;https://m.media-amazon.com/images/I/51h+v0ggQVL.jpg;https://m.media-amazon.com/images/I/51Urx1lNAJL.jpg</t>
        </is>
      </c>
      <c r="AG580" t="inlineStr">
        <is>
          <t>Description
PUMA womens Softride One4all Cross Trainer</t>
        </is>
      </c>
    </row>
    <row r="581">
      <c r="A581" t="inlineStr">
        <is>
          <t>com</t>
        </is>
      </c>
      <c r="B581" t="inlineStr">
        <is>
          <t>B0BXTF7KB4</t>
        </is>
      </c>
      <c r="C581" t="inlineStr">
        <is>
          <t>PUMA Womens Softride One4all Cross Trainer, Warm White-PUMA Womens Gold-Matte PUMA Womens Gold, 7.5</t>
        </is>
      </c>
      <c r="D581" t="n">
        <v>64.98999999999999</v>
      </c>
      <c r="E581" t="n">
        <v>64.98</v>
      </c>
      <c r="F581" t="n">
        <v>217331</v>
      </c>
      <c r="G581" t="n">
        <v>259536</v>
      </c>
      <c r="H581" t="n">
        <v>70.97</v>
      </c>
      <c r="I581" t="n">
        <v>64.06</v>
      </c>
      <c r="J581" t="n">
        <v>0</v>
      </c>
      <c r="K581" t="n">
        <v>0.59</v>
      </c>
      <c r="L581" t="n">
        <v>2</v>
      </c>
      <c r="M581" t="n">
        <v>3</v>
      </c>
      <c r="N581" t="n">
        <v>4.5</v>
      </c>
      <c r="O581" t="n">
        <v>1</v>
      </c>
      <c r="P581" t="n">
        <v>117</v>
      </c>
      <c r="Q581" t="n">
        <v>20</v>
      </c>
      <c r="R581" t="n">
        <v>56</v>
      </c>
      <c r="S581" t="inlineStr">
        <is>
          <t>B0DF2WXW9S</t>
        </is>
      </c>
      <c r="U581" t="n">
        <v>1.49032312</v>
      </c>
      <c r="V581" t="n">
        <v>7.7</v>
      </c>
      <c r="W581" t="n">
        <v>9.75</v>
      </c>
      <c r="X581" t="inlineStr">
        <is>
          <t>195552624863</t>
        </is>
      </c>
      <c r="Y581" t="inlineStr">
        <is>
          <t>37767205</t>
        </is>
      </c>
      <c r="Z581" t="inlineStr">
        <is>
          <t>37767205</t>
        </is>
      </c>
      <c r="AA581" t="inlineStr">
        <is>
          <t>Warm White-puma Gold-matte Puma Gold</t>
        </is>
      </c>
      <c r="AB581" t="inlineStr">
        <is>
          <t>0195552624863</t>
        </is>
      </c>
      <c r="AC581" t="inlineStr">
        <is>
          <t>Amazon offer is in stock and shippable</t>
        </is>
      </c>
      <c r="AD581" t="inlineStr">
        <is>
          <t>PUMA</t>
        </is>
      </c>
      <c r="AE581" t="inlineStr">
        <is>
          <t>7.5</t>
        </is>
      </c>
      <c r="AF581" t="inlineStr">
        <is>
          <t>https://m.media-amazon.com/images/I/51YfPeObQ7L.jpg;https://m.media-amazon.com/images/I/51z3sHZhmFL.jpg;https://m.media-amazon.com/images/I/41OCWk7kUZL.jpg;https://m.media-amazon.com/images/I/51zfmah7qZL.jpg;https://m.media-amazon.com/images/I/51h+v0ggQVL.jpg;https://m.media-amazon.com/images/I/51Urx1lNAJL.jpg</t>
        </is>
      </c>
      <c r="AG581" t="inlineStr">
        <is>
          <t>Description
PUMA womens Softride One4all Cross Trainer</t>
        </is>
      </c>
    </row>
    <row r="582">
      <c r="A582" t="inlineStr">
        <is>
          <t>com</t>
        </is>
      </c>
      <c r="B582" t="inlineStr">
        <is>
          <t>B0BXTDJPG2</t>
        </is>
      </c>
      <c r="C582" t="inlineStr">
        <is>
          <t>PUMA Womens Softride One4all Cross Trainer, Warm White-PUMA Womens Gold-Matte PUMA Womens Gold, 8</t>
        </is>
      </c>
      <c r="D582" t="n">
        <v>64.98999999999999</v>
      </c>
      <c r="E582" t="n">
        <v>64.98999999999999</v>
      </c>
      <c r="F582" t="n">
        <v>249561</v>
      </c>
      <c r="G582" t="n">
        <v>262357</v>
      </c>
      <c r="H582" t="n">
        <v>68.02</v>
      </c>
      <c r="I582" t="n">
        <v>64.27</v>
      </c>
      <c r="J582" t="n">
        <v>0</v>
      </c>
      <c r="K582" t="n">
        <v>0.64</v>
      </c>
      <c r="L582" t="n">
        <v>2</v>
      </c>
      <c r="M582" t="n">
        <v>2</v>
      </c>
      <c r="N582" t="n">
        <v>4.5</v>
      </c>
      <c r="O582" t="n">
        <v>5</v>
      </c>
      <c r="P582" t="n">
        <v>117</v>
      </c>
      <c r="Q582" t="n">
        <v>24</v>
      </c>
      <c r="R582" t="n">
        <v>55</v>
      </c>
      <c r="S582" t="inlineStr">
        <is>
          <t>B0DF2WXW9S</t>
        </is>
      </c>
      <c r="U582" t="n">
        <v>1.49473236</v>
      </c>
      <c r="V582" t="n">
        <v>7.62</v>
      </c>
      <c r="W582" t="n">
        <v>9.75</v>
      </c>
      <c r="X582" t="inlineStr">
        <is>
          <t>195552624887</t>
        </is>
      </c>
      <c r="Y582" t="inlineStr">
        <is>
          <t>37767205</t>
        </is>
      </c>
      <c r="Z582" t="inlineStr">
        <is>
          <t>37767205</t>
        </is>
      </c>
      <c r="AA582" t="inlineStr">
        <is>
          <t>Warm White-puma Gold-matte Puma Gold</t>
        </is>
      </c>
      <c r="AB582" t="inlineStr">
        <is>
          <t>0195552624887</t>
        </is>
      </c>
      <c r="AC582" t="inlineStr">
        <is>
          <t>Amazon offer is in stock and shippable</t>
        </is>
      </c>
      <c r="AD582" t="inlineStr">
        <is>
          <t>PUMA</t>
        </is>
      </c>
      <c r="AE582" t="inlineStr">
        <is>
          <t>8</t>
        </is>
      </c>
      <c r="AF582" t="inlineStr">
        <is>
          <t>https://m.media-amazon.com/images/I/51YfPeObQ7L.jpg;https://m.media-amazon.com/images/I/51z3sHZhmFL.jpg;https://m.media-amazon.com/images/I/41OCWk7kUZL.jpg;https://m.media-amazon.com/images/I/51zfmah7qZL.jpg;https://m.media-amazon.com/images/I/51h+v0ggQVL.jpg;https://m.media-amazon.com/images/I/51Urx1lNAJL.jpg</t>
        </is>
      </c>
      <c r="AG582" t="inlineStr">
        <is>
          <t>Description
PUMA womens Softride One4all Cross Trainer</t>
        </is>
      </c>
    </row>
    <row r="583">
      <c r="A583" t="inlineStr">
        <is>
          <t>com</t>
        </is>
      </c>
      <c r="B583" t="inlineStr">
        <is>
          <t>B0BXTG8DW6</t>
        </is>
      </c>
      <c r="C583" t="inlineStr">
        <is>
          <t>PUMA Womens Softride One4all Cross Trainer, Warm White-PUMA Womens Gold-Matte PUMA Womens Gold, 8.5</t>
        </is>
      </c>
      <c r="D583" t="n">
        <v>52.36</v>
      </c>
      <c r="E583" t="n">
        <v>52.11</v>
      </c>
      <c r="F583" t="n">
        <v>249561</v>
      </c>
      <c r="G583" t="n">
        <v>267992</v>
      </c>
      <c r="H583" t="n">
        <v>65.29000000000001</v>
      </c>
      <c r="I583" t="n">
        <v>65.18000000000001</v>
      </c>
      <c r="J583" t="n">
        <v>0</v>
      </c>
      <c r="K583" t="n">
        <v>0.53</v>
      </c>
      <c r="L583" t="n">
        <v>3</v>
      </c>
      <c r="M583" t="n">
        <v>4</v>
      </c>
      <c r="N583" t="n">
        <v>4.5</v>
      </c>
      <c r="O583" t="n">
        <v>0</v>
      </c>
      <c r="P583" t="n">
        <v>117</v>
      </c>
      <c r="Q583" t="n">
        <v>28</v>
      </c>
      <c r="R583" t="n">
        <v>65</v>
      </c>
      <c r="S583" t="inlineStr">
        <is>
          <t>B0DF2WXW9S</t>
        </is>
      </c>
      <c r="U583" t="n">
        <v>1.4991416</v>
      </c>
      <c r="V583" t="n">
        <v>7.62</v>
      </c>
      <c r="W583" t="n">
        <v>7.85</v>
      </c>
      <c r="X583" t="inlineStr">
        <is>
          <t>195552624900</t>
        </is>
      </c>
      <c r="Y583" t="inlineStr">
        <is>
          <t>37767205</t>
        </is>
      </c>
      <c r="Z583" t="inlineStr">
        <is>
          <t>37767205</t>
        </is>
      </c>
      <c r="AA583" t="inlineStr">
        <is>
          <t>Warm White-puma Gold-matte Puma Gold</t>
        </is>
      </c>
      <c r="AB583" t="inlineStr">
        <is>
          <t>0195552624900</t>
        </is>
      </c>
      <c r="AC583" t="inlineStr">
        <is>
          <t>Amazon offer is in stock and shippable</t>
        </is>
      </c>
      <c r="AD583" t="inlineStr">
        <is>
          <t>PUMA</t>
        </is>
      </c>
      <c r="AE583" t="inlineStr">
        <is>
          <t>8.5</t>
        </is>
      </c>
      <c r="AF583" t="inlineStr">
        <is>
          <t>https://m.media-amazon.com/images/I/51YfPeObQ7L.jpg;https://m.media-amazon.com/images/I/51z3sHZhmFL.jpg;https://m.media-amazon.com/images/I/41OCWk7kUZL.jpg;https://m.media-amazon.com/images/I/51zfmah7qZL.jpg;https://m.media-amazon.com/images/I/51h+v0ggQVL.jpg;https://m.media-amazon.com/images/I/51Urx1lNAJL.jpg</t>
        </is>
      </c>
      <c r="AG583" t="inlineStr">
        <is>
          <t>Description
PUMA womens Softride One4all Cross Trainer</t>
        </is>
      </c>
    </row>
    <row r="584">
      <c r="A584" t="inlineStr">
        <is>
          <t>com</t>
        </is>
      </c>
      <c r="B584" t="inlineStr">
        <is>
          <t>B0BXTTHNP5</t>
        </is>
      </c>
      <c r="C584" t="inlineStr">
        <is>
          <t>PUMA Womens Softride One4all Cross Trainer, Warm White-PUMA Womens Gold-Matte PUMA Womens Gold, 9</t>
        </is>
      </c>
      <c r="D584" t="n">
        <v>64.98999999999999</v>
      </c>
      <c r="E584" t="n">
        <v>64.98999999999999</v>
      </c>
      <c r="F584" t="n">
        <v>249561</v>
      </c>
      <c r="G584" t="n">
        <v>257459</v>
      </c>
      <c r="H584" t="n">
        <v>66.09</v>
      </c>
      <c r="I584" t="n">
        <v>59.83</v>
      </c>
      <c r="J584" t="n">
        <v>0</v>
      </c>
      <c r="K584" t="n">
        <v>0.59</v>
      </c>
      <c r="L584" t="n">
        <v>3</v>
      </c>
      <c r="M584" t="n">
        <v>4</v>
      </c>
      <c r="N584" t="n">
        <v>4.5</v>
      </c>
      <c r="O584" t="n">
        <v>1</v>
      </c>
      <c r="P584" t="n">
        <v>114</v>
      </c>
      <c r="Q584" t="n">
        <v>36</v>
      </c>
      <c r="R584" t="n">
        <v>68</v>
      </c>
      <c r="S584" t="inlineStr">
        <is>
          <t>B0DF2WXW9S</t>
        </is>
      </c>
      <c r="U584" t="n">
        <v>1.5763033</v>
      </c>
      <c r="V584" t="n">
        <v>7.62</v>
      </c>
      <c r="W584" t="n">
        <v>9.75</v>
      </c>
      <c r="X584" t="inlineStr">
        <is>
          <t>195552624924</t>
        </is>
      </c>
      <c r="Y584" t="inlineStr">
        <is>
          <t>37767205</t>
        </is>
      </c>
      <c r="Z584" t="inlineStr">
        <is>
          <t>37767205</t>
        </is>
      </c>
      <c r="AA584" t="inlineStr">
        <is>
          <t>Warm White-puma Gold-matte Puma Gold</t>
        </is>
      </c>
      <c r="AB584" t="inlineStr">
        <is>
          <t>0195552624924</t>
        </is>
      </c>
      <c r="AC584" t="inlineStr">
        <is>
          <t>Amazon offer is in stock and shippable</t>
        </is>
      </c>
      <c r="AD584" t="inlineStr">
        <is>
          <t>PUMA</t>
        </is>
      </c>
      <c r="AE584" t="inlineStr">
        <is>
          <t>9</t>
        </is>
      </c>
      <c r="AF584" t="inlineStr">
        <is>
          <t>https://m.media-amazon.com/images/I/51YfPeObQ7L.jpg;https://m.media-amazon.com/images/I/51z3sHZhmFL.jpg;https://m.media-amazon.com/images/I/41OCWk7kUZL.jpg;https://m.media-amazon.com/images/I/51zfmah7qZL.jpg;https://m.media-amazon.com/images/I/51h+v0ggQVL.jpg;https://m.media-amazon.com/images/I/51Urx1lNAJL.jpg</t>
        </is>
      </c>
      <c r="AG584" t="inlineStr">
        <is>
          <t>Description
PUMA womens Softride One4all Cross Trainer</t>
        </is>
      </c>
    </row>
    <row r="585">
      <c r="A585" t="inlineStr">
        <is>
          <t>com</t>
        </is>
      </c>
      <c r="B585" t="inlineStr">
        <is>
          <t>B0BXTDT7WK</t>
        </is>
      </c>
      <c r="C585" t="inlineStr">
        <is>
          <t>PUMA Womens Softride One4all Cross Trainer, Warm White-PUMA Womens Gold-Matte PUMA Womens Gold, 9.5</t>
        </is>
      </c>
      <c r="D585" t="n">
        <v>61.63</v>
      </c>
      <c r="E585" t="n">
        <v>59.99</v>
      </c>
      <c r="F585" t="n">
        <v>217331</v>
      </c>
      <c r="G585" t="n">
        <v>263420</v>
      </c>
      <c r="H585" t="n">
        <v>60.65</v>
      </c>
      <c r="I585" t="n">
        <v>57.62</v>
      </c>
      <c r="J585" t="n">
        <v>0</v>
      </c>
      <c r="K585" t="n">
        <v>0.52</v>
      </c>
      <c r="L585" t="n">
        <v>4</v>
      </c>
      <c r="M585" t="n">
        <v>5</v>
      </c>
      <c r="N585" t="n">
        <v>4.5</v>
      </c>
      <c r="O585" t="n">
        <v>2</v>
      </c>
      <c r="P585" t="n">
        <v>116</v>
      </c>
      <c r="Q585" t="n">
        <v>37</v>
      </c>
      <c r="R585" t="n">
        <v>91</v>
      </c>
      <c r="S585" t="inlineStr">
        <is>
          <t>B0DF2WXW9S</t>
        </is>
      </c>
      <c r="U585" t="n">
        <v>1.67771582</v>
      </c>
      <c r="V585" t="n">
        <v>7.7</v>
      </c>
      <c r="W585" t="n">
        <v>9.24</v>
      </c>
      <c r="X585" t="inlineStr">
        <is>
          <t>195552624948</t>
        </is>
      </c>
      <c r="Y585" t="inlineStr">
        <is>
          <t>37767205</t>
        </is>
      </c>
      <c r="Z585" t="inlineStr">
        <is>
          <t>37767205</t>
        </is>
      </c>
      <c r="AA585" t="inlineStr">
        <is>
          <t>Warm White-puma Gold-matte Puma Gold</t>
        </is>
      </c>
      <c r="AB585" t="inlineStr">
        <is>
          <t>0195552624948</t>
        </is>
      </c>
      <c r="AC585" t="inlineStr">
        <is>
          <t>Amazon offer is in stock and shippable</t>
        </is>
      </c>
      <c r="AD585" t="inlineStr">
        <is>
          <t>PUMA</t>
        </is>
      </c>
      <c r="AE585" t="inlineStr">
        <is>
          <t>9.5</t>
        </is>
      </c>
      <c r="AF585" t="inlineStr">
        <is>
          <t>https://m.media-amazon.com/images/I/51YfPeObQ7L.jpg;https://m.media-amazon.com/images/I/51z3sHZhmFL.jpg;https://m.media-amazon.com/images/I/41OCWk7kUZL.jpg;https://m.media-amazon.com/images/I/51zfmah7qZL.jpg;https://m.media-amazon.com/images/I/51h+v0ggQVL.jpg;https://m.media-amazon.com/images/I/51Urx1lNAJL.jpg</t>
        </is>
      </c>
      <c r="AG585" t="inlineStr">
        <is>
          <t>Description
PUMA womens Softride One4all Cross Trainer</t>
        </is>
      </c>
    </row>
    <row r="586">
      <c r="A586" t="inlineStr">
        <is>
          <t>com</t>
        </is>
      </c>
      <c r="B586" t="inlineStr">
        <is>
          <t>B0BXTBRS8Q</t>
        </is>
      </c>
      <c r="C586" t="inlineStr">
        <is>
          <t>PUMA Womens Softride One4all Cross Trainer, Warm White-PUMA Womens Gold-Matte PUMA Womens Gold, 10</t>
        </is>
      </c>
      <c r="D586" t="n">
        <v>64.98999999999999</v>
      </c>
      <c r="E586" t="n">
        <v>64.98999999999999</v>
      </c>
      <c r="F586" t="n">
        <v>186114</v>
      </c>
      <c r="G586" t="n">
        <v>255723</v>
      </c>
      <c r="H586" t="n">
        <v>65.14</v>
      </c>
      <c r="I586" t="n">
        <v>60.37</v>
      </c>
      <c r="J586" t="n">
        <v>0</v>
      </c>
      <c r="K586" t="n">
        <v>0.43</v>
      </c>
      <c r="L586" t="n">
        <v>2</v>
      </c>
      <c r="M586" t="n">
        <v>2</v>
      </c>
      <c r="N586" t="n">
        <v>4.5</v>
      </c>
      <c r="O586" t="n">
        <v>2</v>
      </c>
      <c r="P586" t="n">
        <v>116</v>
      </c>
      <c r="Q586" t="n">
        <v>20</v>
      </c>
      <c r="R586" t="n">
        <v>47</v>
      </c>
      <c r="S586" t="inlineStr">
        <is>
          <t>B0DF2WXW9S</t>
        </is>
      </c>
      <c r="U586" t="n">
        <v>1.6975574</v>
      </c>
      <c r="V586" t="n">
        <v>7.78</v>
      </c>
      <c r="W586" t="n">
        <v>9.75</v>
      </c>
      <c r="X586" t="inlineStr">
        <is>
          <t>195552624962</t>
        </is>
      </c>
      <c r="Y586" t="inlineStr">
        <is>
          <t>37767205</t>
        </is>
      </c>
      <c r="Z586" t="inlineStr">
        <is>
          <t>37767205</t>
        </is>
      </c>
      <c r="AA586" t="inlineStr">
        <is>
          <t>Warm White-puma Gold-matte Puma Gold</t>
        </is>
      </c>
      <c r="AB586" t="inlineStr">
        <is>
          <t>0195552624962</t>
        </is>
      </c>
      <c r="AC586" t="inlineStr">
        <is>
          <t>Amazon offer is in stock and shippable</t>
        </is>
      </c>
      <c r="AD586" t="inlineStr">
        <is>
          <t>PUMA</t>
        </is>
      </c>
      <c r="AE586" t="inlineStr">
        <is>
          <t>10</t>
        </is>
      </c>
      <c r="AF586" t="inlineStr">
        <is>
          <t>https://m.media-amazon.com/images/I/51YfPeObQ7L.jpg;https://m.media-amazon.com/images/I/51z3sHZhmFL.jpg;https://m.media-amazon.com/images/I/41OCWk7kUZL.jpg;https://m.media-amazon.com/images/I/51zfmah7qZL.jpg;https://m.media-amazon.com/images/I/51h+v0ggQVL.jpg;https://m.media-amazon.com/images/I/51Urx1lNAJL.jpg</t>
        </is>
      </c>
      <c r="AG586" t="inlineStr">
        <is>
          <t>Description
PUMA womens Softride One4all Cross Trainer</t>
        </is>
      </c>
    </row>
    <row r="587">
      <c r="A587" t="inlineStr">
        <is>
          <t>com</t>
        </is>
      </c>
      <c r="B587" t="inlineStr">
        <is>
          <t>B0BXTR1JCB</t>
        </is>
      </c>
      <c r="C587" t="inlineStr">
        <is>
          <t>PUMA Womens Softride One4all Cross Trainer, Warm White-PUMA Womens Gold-Matte PUMA Womens Gold, 11</t>
        </is>
      </c>
      <c r="D587" t="n">
        <v>55.61</v>
      </c>
      <c r="E587" t="n">
        <v>54.95</v>
      </c>
      <c r="F587" t="n">
        <v>217331</v>
      </c>
      <c r="G587" t="n">
        <v>263743</v>
      </c>
      <c r="H587" t="n">
        <v>59.01</v>
      </c>
      <c r="I587" t="n">
        <v>55.29</v>
      </c>
      <c r="J587" t="n">
        <v>0</v>
      </c>
      <c r="K587" t="n">
        <v>0.6899999999999999</v>
      </c>
      <c r="L587" t="n">
        <v>3</v>
      </c>
      <c r="M587" t="n">
        <v>5</v>
      </c>
      <c r="N587" t="n">
        <v>4.5</v>
      </c>
      <c r="O587" t="n">
        <v>1</v>
      </c>
      <c r="P587" t="n">
        <v>117</v>
      </c>
      <c r="Q587" t="n">
        <v>22</v>
      </c>
      <c r="R587" t="n">
        <v>52</v>
      </c>
      <c r="S587" t="inlineStr">
        <is>
          <t>B0DF2WXW9S</t>
        </is>
      </c>
      <c r="U587" t="n">
        <v>1.36906902</v>
      </c>
      <c r="V587" t="n">
        <v>7.54</v>
      </c>
      <c r="W587" t="n">
        <v>8.34</v>
      </c>
      <c r="X587" t="inlineStr">
        <is>
          <t>195552625013</t>
        </is>
      </c>
      <c r="Y587" t="inlineStr">
        <is>
          <t>37767205</t>
        </is>
      </c>
      <c r="Z587" t="inlineStr">
        <is>
          <t>37767205</t>
        </is>
      </c>
      <c r="AA587" t="inlineStr">
        <is>
          <t>Warm White-puma Gold-matte Puma Gold</t>
        </is>
      </c>
      <c r="AB587" t="inlineStr">
        <is>
          <t>0195552625013</t>
        </is>
      </c>
      <c r="AC587" t="inlineStr">
        <is>
          <t>Amazon offer is in stock and shippable</t>
        </is>
      </c>
      <c r="AD587" t="inlineStr">
        <is>
          <t>PUMA</t>
        </is>
      </c>
      <c r="AE587" t="inlineStr">
        <is>
          <t>11</t>
        </is>
      </c>
      <c r="AF587" t="inlineStr">
        <is>
          <t>https://m.media-amazon.com/images/I/51YfPeObQ7L.jpg;https://m.media-amazon.com/images/I/51z3sHZhmFL.jpg;https://m.media-amazon.com/images/I/41OCWk7kUZL.jpg;https://m.media-amazon.com/images/I/51zfmah7qZL.jpg;https://m.media-amazon.com/images/I/51h+v0ggQVL.jpg;https://m.media-amazon.com/images/I/51Urx1lNAJL.jpg</t>
        </is>
      </c>
      <c r="AG587" t="inlineStr">
        <is>
          <t>Description
PUMA womens Softride One4all Cross Trainer</t>
        </is>
      </c>
    </row>
    <row r="588">
      <c r="A588" t="inlineStr">
        <is>
          <t>com</t>
        </is>
      </c>
      <c r="B588" t="inlineStr">
        <is>
          <t>B0BXTD57BY</t>
        </is>
      </c>
      <c r="C588" t="inlineStr">
        <is>
          <t>PUMA Womens Softride One4all Cross Trainer, PUMA Womens Black-Rose Gold-PUMA Womens White, 5.5</t>
        </is>
      </c>
      <c r="D588" t="n">
        <v>66.59</v>
      </c>
      <c r="E588" t="inlineStr"/>
      <c r="G588" t="n">
        <v>249642</v>
      </c>
      <c r="H588" t="inlineStr"/>
      <c r="I588" t="n">
        <v>66.59</v>
      </c>
      <c r="J588" t="n">
        <v>1</v>
      </c>
      <c r="K588" t="n">
        <v>1</v>
      </c>
      <c r="N588" t="n">
        <v>4.5</v>
      </c>
      <c r="O588" t="n">
        <v>2</v>
      </c>
      <c r="P588" t="n">
        <v>89</v>
      </c>
      <c r="Q588" t="n">
        <v>6</v>
      </c>
      <c r="R588" t="n">
        <v>14</v>
      </c>
      <c r="S588" t="inlineStr">
        <is>
          <t>B0DF2WXW9S</t>
        </is>
      </c>
      <c r="U588" t="n">
        <v>1.3668644</v>
      </c>
      <c r="V588" t="n">
        <v>7.62</v>
      </c>
      <c r="W588" t="inlineStr"/>
      <c r="X588" t="inlineStr">
        <is>
          <t>195102570985</t>
        </is>
      </c>
      <c r="Y588" t="inlineStr">
        <is>
          <t>37767201</t>
        </is>
      </c>
      <c r="Z588" t="inlineStr">
        <is>
          <t>37767201</t>
        </is>
      </c>
      <c r="AA588" t="inlineStr">
        <is>
          <t>Puma Black-rose Gold-puma White</t>
        </is>
      </c>
      <c r="AB588" t="inlineStr">
        <is>
          <t>0195102570985</t>
        </is>
      </c>
      <c r="AC588" t="inlineStr">
        <is>
          <t>no Amazon offer exists</t>
        </is>
      </c>
      <c r="AD588" t="inlineStr">
        <is>
          <t>PUMA</t>
        </is>
      </c>
      <c r="AE588" t="inlineStr">
        <is>
          <t>5.5</t>
        </is>
      </c>
      <c r="AF588"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88" t="inlineStr">
        <is>
          <t>?Introducing the new Softride Oneforall.The Softride Oneforall utilizes our Softride EVA technology that provides extreme cushioning, all-day comfort, and showcases a progressive upper design language, highlighted by bold branding, and a unique lacing detail. This style is sure to help you stand out amongst the crowd.</t>
        </is>
      </c>
    </row>
    <row r="589">
      <c r="A589" t="inlineStr">
        <is>
          <t>com</t>
        </is>
      </c>
      <c r="B589" t="inlineStr">
        <is>
          <t>B0BXTWS2H7</t>
        </is>
      </c>
      <c r="C589" t="inlineStr">
        <is>
          <t>PUMA Womens Softride One4all Cross Trainer, PUMA Womens Black-Rose Gold-PUMA Womens White, 6</t>
        </is>
      </c>
      <c r="D589" t="n">
        <v>66.31999999999999</v>
      </c>
      <c r="E589" t="inlineStr"/>
      <c r="G589" t="n">
        <v>250851</v>
      </c>
      <c r="H589" t="n">
        <v>66.31999999999999</v>
      </c>
      <c r="I589" t="n">
        <v>63.93</v>
      </c>
      <c r="J589" t="n">
        <v>0.9</v>
      </c>
      <c r="K589" t="n">
        <v>0.98</v>
      </c>
      <c r="L589" t="n">
        <v>1</v>
      </c>
      <c r="N589" t="n">
        <v>4.5</v>
      </c>
      <c r="O589" t="n">
        <v>6</v>
      </c>
      <c r="P589" t="n">
        <v>114</v>
      </c>
      <c r="Q589" t="n">
        <v>12</v>
      </c>
      <c r="R589" t="n">
        <v>23</v>
      </c>
      <c r="S589" t="inlineStr">
        <is>
          <t>B0DF2WXW9S</t>
        </is>
      </c>
      <c r="U589" t="n">
        <v>1.34702282</v>
      </c>
      <c r="V589" t="n">
        <v>7.03</v>
      </c>
      <c r="W589" t="inlineStr"/>
      <c r="X589" t="inlineStr">
        <is>
          <t>195102570992</t>
        </is>
      </c>
      <c r="Y589" t="inlineStr">
        <is>
          <t>37767201</t>
        </is>
      </c>
      <c r="Z589" t="inlineStr">
        <is>
          <t>37767201</t>
        </is>
      </c>
      <c r="AA589" t="inlineStr">
        <is>
          <t>Puma Black-rose Gold-puma White</t>
        </is>
      </c>
      <c r="AB589" t="inlineStr">
        <is>
          <t>0195102570992</t>
        </is>
      </c>
      <c r="AC589" t="inlineStr">
        <is>
          <t>no Amazon offer exists</t>
        </is>
      </c>
      <c r="AD589" t="inlineStr">
        <is>
          <t>PUMA</t>
        </is>
      </c>
      <c r="AE589" t="inlineStr">
        <is>
          <t>6</t>
        </is>
      </c>
      <c r="AF589"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89" t="inlineStr">
        <is>
          <t>Description
PUMA womens Softride One4all Cross Trainer</t>
        </is>
      </c>
    </row>
    <row r="590">
      <c r="A590" t="inlineStr">
        <is>
          <t>com</t>
        </is>
      </c>
      <c r="B590" t="inlineStr">
        <is>
          <t>B0BX7BX7X2</t>
        </is>
      </c>
      <c r="C590" t="inlineStr">
        <is>
          <t>PUMA Womens Softride One4all Cross Trainer, PUMA Womens Black-Rose Gold-PUMA Womens White, 6.5</t>
        </is>
      </c>
      <c r="D590" t="n">
        <v>71.62</v>
      </c>
      <c r="E590" t="inlineStr"/>
      <c r="F590" t="n">
        <v>196367</v>
      </c>
      <c r="G590" t="n">
        <v>256170</v>
      </c>
      <c r="H590" t="n">
        <v>71.62</v>
      </c>
      <c r="I590" t="n">
        <v>67.59</v>
      </c>
      <c r="J590" t="n">
        <v>0.21</v>
      </c>
      <c r="K590" t="n">
        <v>1</v>
      </c>
      <c r="L590" t="n">
        <v>2</v>
      </c>
      <c r="M590" t="n">
        <v>1</v>
      </c>
      <c r="N590" t="n">
        <v>4.5</v>
      </c>
      <c r="O590" t="n">
        <v>3</v>
      </c>
      <c r="P590" t="n">
        <v>116</v>
      </c>
      <c r="Q590" t="n">
        <v>20</v>
      </c>
      <c r="R590" t="n">
        <v>51</v>
      </c>
      <c r="S590" t="inlineStr">
        <is>
          <t>B0DF2WXW9S</t>
        </is>
      </c>
      <c r="U590" t="n">
        <v>1.38229674</v>
      </c>
      <c r="V590" t="n">
        <v>7.54</v>
      </c>
      <c r="W590" t="inlineStr"/>
      <c r="X590" t="inlineStr">
        <is>
          <t>195102571005</t>
        </is>
      </c>
      <c r="Y590" t="inlineStr">
        <is>
          <t>37767201</t>
        </is>
      </c>
      <c r="Z590" t="inlineStr">
        <is>
          <t>37767201</t>
        </is>
      </c>
      <c r="AA590" t="inlineStr">
        <is>
          <t>Puma Black-rose Gold-puma White</t>
        </is>
      </c>
      <c r="AB590" t="inlineStr">
        <is>
          <t>0195102571005</t>
        </is>
      </c>
      <c r="AC590" t="inlineStr">
        <is>
          <t>no Amazon offer exists</t>
        </is>
      </c>
      <c r="AD590" t="inlineStr">
        <is>
          <t>PUMA</t>
        </is>
      </c>
      <c r="AE590" t="inlineStr">
        <is>
          <t>6.5</t>
        </is>
      </c>
      <c r="AF590"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0" t="inlineStr">
        <is>
          <t>Description
PUMA womens Softride One4all Cross Trainer</t>
        </is>
      </c>
    </row>
    <row r="591">
      <c r="A591" t="inlineStr">
        <is>
          <t>com</t>
        </is>
      </c>
      <c r="B591" t="inlineStr">
        <is>
          <t>B0BW554CM2</t>
        </is>
      </c>
      <c r="C591" t="inlineStr">
        <is>
          <t>PUMA Womens Softride One4all Cross Trainer, PUMA Womens Black-Rose Gold-PUMA Womens White, 7</t>
        </is>
      </c>
      <c r="D591" t="n">
        <v>53.97</v>
      </c>
      <c r="E591" t="inlineStr"/>
      <c r="F591" t="n">
        <v>268597</v>
      </c>
      <c r="G591" t="n">
        <v>236721</v>
      </c>
      <c r="H591" t="n">
        <v>53.97</v>
      </c>
      <c r="I591" t="n">
        <v>61.94</v>
      </c>
      <c r="J591" t="n">
        <v>0.88</v>
      </c>
      <c r="K591" t="n">
        <v>0.9399999999999999</v>
      </c>
      <c r="L591" t="n">
        <v>1</v>
      </c>
      <c r="N591" t="n">
        <v>4.5</v>
      </c>
      <c r="O591" t="n">
        <v>8</v>
      </c>
      <c r="P591" t="n">
        <v>116</v>
      </c>
      <c r="Q591" t="n">
        <v>5</v>
      </c>
      <c r="R591" t="n">
        <v>13</v>
      </c>
      <c r="S591" t="inlineStr">
        <is>
          <t>B0DF2WXW9S</t>
        </is>
      </c>
      <c r="U591" t="n">
        <v>1.433003</v>
      </c>
      <c r="V591" t="n">
        <v>7.03</v>
      </c>
      <c r="W591" t="inlineStr"/>
      <c r="X591" t="inlineStr">
        <is>
          <t>195102570893</t>
        </is>
      </c>
      <c r="Y591" t="inlineStr">
        <is>
          <t>37767201</t>
        </is>
      </c>
      <c r="Z591" t="inlineStr">
        <is>
          <t>37767201</t>
        </is>
      </c>
      <c r="AA591" t="inlineStr">
        <is>
          <t>Puma Black-rose Gold-puma White</t>
        </is>
      </c>
      <c r="AB591" t="inlineStr">
        <is>
          <t>0195102570893</t>
        </is>
      </c>
      <c r="AC591" t="inlineStr">
        <is>
          <t>no Amazon offer exists</t>
        </is>
      </c>
      <c r="AD591" t="inlineStr">
        <is>
          <t>PUMA</t>
        </is>
      </c>
      <c r="AE591" t="inlineStr">
        <is>
          <t>7</t>
        </is>
      </c>
      <c r="AF591"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1" t="inlineStr">
        <is>
          <t>Description
PUMA womens Softride One4all Cross Trainer</t>
        </is>
      </c>
    </row>
    <row r="592">
      <c r="A592" t="inlineStr">
        <is>
          <t>com</t>
        </is>
      </c>
      <c r="B592" t="inlineStr">
        <is>
          <t>B0BVQ732TG</t>
        </is>
      </c>
      <c r="C592" t="inlineStr">
        <is>
          <t>PUMA Womens Softride One4all Cross Trainer, PUMA Womens Black-Rose Gold-PUMA Womens White, 7.5</t>
        </is>
      </c>
      <c r="D592" t="n">
        <v>71.77</v>
      </c>
      <c r="E592" t="n">
        <v>62</v>
      </c>
      <c r="F592" t="n">
        <v>186114</v>
      </c>
      <c r="G592" t="n">
        <v>249233</v>
      </c>
      <c r="H592" t="n">
        <v>71.23999999999999</v>
      </c>
      <c r="I592" t="n">
        <v>69.17</v>
      </c>
      <c r="J592" t="n">
        <v>0.67</v>
      </c>
      <c r="K592" t="n">
        <v>1</v>
      </c>
      <c r="L592" t="n">
        <v>3</v>
      </c>
      <c r="M592" t="n">
        <v>3</v>
      </c>
      <c r="N592" t="n">
        <v>4.5</v>
      </c>
      <c r="O592" t="n">
        <v>4</v>
      </c>
      <c r="P592" t="n">
        <v>117</v>
      </c>
      <c r="Q592" t="n">
        <v>30</v>
      </c>
      <c r="R592" t="n">
        <v>43</v>
      </c>
      <c r="S592" t="inlineStr">
        <is>
          <t>B0DF2WXW9S</t>
        </is>
      </c>
      <c r="U592" t="n">
        <v>1.54102938</v>
      </c>
      <c r="V592" t="n">
        <v>7.62</v>
      </c>
      <c r="W592" t="n">
        <v>10.77</v>
      </c>
      <c r="X592" t="inlineStr">
        <is>
          <t>195102570909</t>
        </is>
      </c>
      <c r="Y592" t="inlineStr">
        <is>
          <t>37767201</t>
        </is>
      </c>
      <c r="Z592" t="inlineStr">
        <is>
          <t>37767201</t>
        </is>
      </c>
      <c r="AA592" t="inlineStr">
        <is>
          <t>Puma Black-rose Gold-puma White</t>
        </is>
      </c>
      <c r="AB592" t="inlineStr">
        <is>
          <t>0195102570909</t>
        </is>
      </c>
      <c r="AC592" t="inlineStr">
        <is>
          <t>no Amazon offer exists</t>
        </is>
      </c>
      <c r="AD592" t="inlineStr">
        <is>
          <t>PUMA</t>
        </is>
      </c>
      <c r="AE592" t="inlineStr">
        <is>
          <t>7.5</t>
        </is>
      </c>
      <c r="AF592"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2" t="inlineStr">
        <is>
          <t>Description
PUMA womens Softride One4all Cross Trainer</t>
        </is>
      </c>
    </row>
    <row r="593">
      <c r="A593" t="inlineStr">
        <is>
          <t>com</t>
        </is>
      </c>
      <c r="B593" t="inlineStr">
        <is>
          <t>B0BWLT4MGD</t>
        </is>
      </c>
      <c r="C593" t="inlineStr">
        <is>
          <t>PUMA Womens Softride One4all Cross Trainer, PUMA Womens Black-Rose Gold-PUMA Womens White, 8</t>
        </is>
      </c>
      <c r="D593" t="n">
        <v>63.67</v>
      </c>
      <c r="E593" t="inlineStr"/>
      <c r="G593" t="n">
        <v>247194</v>
      </c>
      <c r="H593" t="n">
        <v>63.67</v>
      </c>
      <c r="I593" t="n">
        <v>66.13</v>
      </c>
      <c r="J593" t="n">
        <v>0.85</v>
      </c>
      <c r="K593" t="n">
        <v>0.85</v>
      </c>
      <c r="L593" t="n">
        <v>1</v>
      </c>
      <c r="N593" t="n">
        <v>4.5</v>
      </c>
      <c r="O593" t="n">
        <v>11</v>
      </c>
      <c r="P593" t="n">
        <v>114</v>
      </c>
      <c r="Q593" t="n">
        <v>10</v>
      </c>
      <c r="R593" t="n">
        <v>28</v>
      </c>
      <c r="S593" t="inlineStr">
        <is>
          <t>B0DF2WXW9S</t>
        </is>
      </c>
      <c r="U593" t="n">
        <v>1.55866634</v>
      </c>
      <c r="V593" t="n">
        <v>7.78</v>
      </c>
      <c r="W593" t="inlineStr"/>
      <c r="X593" t="inlineStr">
        <is>
          <t>195102570916</t>
        </is>
      </c>
      <c r="Y593" t="inlineStr">
        <is>
          <t>37767201</t>
        </is>
      </c>
      <c r="Z593" t="inlineStr">
        <is>
          <t>37767201</t>
        </is>
      </c>
      <c r="AA593" t="inlineStr">
        <is>
          <t>Puma Black-rose Gold-puma White</t>
        </is>
      </c>
      <c r="AB593" t="inlineStr">
        <is>
          <t>0195102570916</t>
        </is>
      </c>
      <c r="AC593" t="inlineStr">
        <is>
          <t>no Amazon offer exists</t>
        </is>
      </c>
      <c r="AD593" t="inlineStr">
        <is>
          <t>PUMA</t>
        </is>
      </c>
      <c r="AE593" t="inlineStr">
        <is>
          <t>8</t>
        </is>
      </c>
      <c r="AF593"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3" t="inlineStr">
        <is>
          <t>Description
PUMA womens Softride One4all Cross Trainer</t>
        </is>
      </c>
    </row>
    <row r="594">
      <c r="A594" t="inlineStr">
        <is>
          <t>com</t>
        </is>
      </c>
      <c r="B594" t="inlineStr">
        <is>
          <t>B0BWLQJZXY</t>
        </is>
      </c>
      <c r="C594" t="inlineStr">
        <is>
          <t>PUMA Womens Softride One4all Cross Trainer, PUMA Womens Black-Rose Gold-PUMA Womens White, 8.5</t>
        </is>
      </c>
      <c r="D594" t="n">
        <v>73.94</v>
      </c>
      <c r="E594" t="n">
        <v>73.94</v>
      </c>
      <c r="F594" t="n">
        <v>195047</v>
      </c>
      <c r="G594" t="n">
        <v>264430</v>
      </c>
      <c r="H594" t="n">
        <v>65.75</v>
      </c>
      <c r="I594" t="n">
        <v>62.79</v>
      </c>
      <c r="J594" t="n">
        <v>0.12</v>
      </c>
      <c r="K594" t="n">
        <v>0.82</v>
      </c>
      <c r="L594" t="n">
        <v>1</v>
      </c>
      <c r="M594" t="n">
        <v>2</v>
      </c>
      <c r="N594" t="n">
        <v>4.5</v>
      </c>
      <c r="O594" t="n">
        <v>6</v>
      </c>
      <c r="P594" t="n">
        <v>117</v>
      </c>
      <c r="Q594" t="n">
        <v>23</v>
      </c>
      <c r="R594" t="n">
        <v>57</v>
      </c>
      <c r="S594" t="inlineStr">
        <is>
          <t>B0DF2WXW9S</t>
        </is>
      </c>
      <c r="U594" t="n">
        <v>1.56087096</v>
      </c>
      <c r="V594" t="n">
        <v>7.62</v>
      </c>
      <c r="W594" t="n">
        <v>11.09</v>
      </c>
      <c r="X594" t="inlineStr">
        <is>
          <t>195102570923</t>
        </is>
      </c>
      <c r="Y594" t="inlineStr">
        <is>
          <t>37767201</t>
        </is>
      </c>
      <c r="Z594" t="inlineStr">
        <is>
          <t>37767201</t>
        </is>
      </c>
      <c r="AA594" t="inlineStr">
        <is>
          <t>Puma Black-rose Gold-puma White</t>
        </is>
      </c>
      <c r="AB594" t="inlineStr">
        <is>
          <t>0195102570923</t>
        </is>
      </c>
      <c r="AC594" t="inlineStr">
        <is>
          <t>no Amazon offer exists</t>
        </is>
      </c>
      <c r="AD594" t="inlineStr">
        <is>
          <t>PUMA</t>
        </is>
      </c>
      <c r="AE594" t="inlineStr">
        <is>
          <t>8.5</t>
        </is>
      </c>
      <c r="AF594"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4" t="inlineStr">
        <is>
          <t>Description
PUMA womens Softride One4all Cross Trainer</t>
        </is>
      </c>
    </row>
    <row r="595">
      <c r="A595" t="inlineStr">
        <is>
          <t>com</t>
        </is>
      </c>
      <c r="B595" t="inlineStr">
        <is>
          <t>B0BVPTJQFY</t>
        </is>
      </c>
      <c r="C595" t="inlineStr">
        <is>
          <t>PUMA Womens Softride One4all Cross Trainer, PUMA Womens Black-Rose Gold-PUMA Womens White, 9</t>
        </is>
      </c>
      <c r="D595" t="n">
        <v>69.95</v>
      </c>
      <c r="E595" t="n">
        <v>69.95</v>
      </c>
      <c r="F595" t="n">
        <v>208133</v>
      </c>
      <c r="G595" t="n">
        <v>253461</v>
      </c>
      <c r="H595" t="n">
        <v>69.41</v>
      </c>
      <c r="I595" t="n">
        <v>65.3</v>
      </c>
      <c r="J595" t="n">
        <v>0.17</v>
      </c>
      <c r="K595" t="n">
        <v>1</v>
      </c>
      <c r="L595" t="n">
        <v>1</v>
      </c>
      <c r="M595" t="n">
        <v>1</v>
      </c>
      <c r="N595" t="n">
        <v>4.5</v>
      </c>
      <c r="O595" t="n">
        <v>9</v>
      </c>
      <c r="P595" t="n">
        <v>116</v>
      </c>
      <c r="Q595" t="n">
        <v>22</v>
      </c>
      <c r="R595" t="n">
        <v>47</v>
      </c>
      <c r="S595" t="inlineStr">
        <is>
          <t>B0DF2WXW9S</t>
        </is>
      </c>
      <c r="U595" t="n">
        <v>1.63803266</v>
      </c>
      <c r="V595" t="n">
        <v>7.78</v>
      </c>
      <c r="W595" t="n">
        <v>10.49</v>
      </c>
      <c r="X595" t="inlineStr">
        <is>
          <t>195102570930</t>
        </is>
      </c>
      <c r="Y595" t="inlineStr">
        <is>
          <t>37767201</t>
        </is>
      </c>
      <c r="Z595" t="inlineStr">
        <is>
          <t>37767201</t>
        </is>
      </c>
      <c r="AA595" t="inlineStr">
        <is>
          <t>Puma Black-rose Gold-puma White</t>
        </is>
      </c>
      <c r="AB595" t="inlineStr">
        <is>
          <t>0195102570930</t>
        </is>
      </c>
      <c r="AC595" t="inlineStr">
        <is>
          <t>no Amazon offer exists</t>
        </is>
      </c>
      <c r="AD595" t="inlineStr">
        <is>
          <t>PUMA</t>
        </is>
      </c>
      <c r="AE595" t="inlineStr">
        <is>
          <t>9</t>
        </is>
      </c>
      <c r="AF595"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5" t="inlineStr">
        <is>
          <t>Description
PUMA womens Softride One4all Cross Trainer</t>
        </is>
      </c>
    </row>
    <row r="596">
      <c r="A596" t="inlineStr">
        <is>
          <t>com</t>
        </is>
      </c>
      <c r="B596" t="inlineStr">
        <is>
          <t>B0BXBDSVDW</t>
        </is>
      </c>
      <c r="C596" t="inlineStr">
        <is>
          <t>PUMA Womens Softride One4all Cross Trainer, PUMA Womens Black-Rose Gold-PUMA Womens White, 9.5</t>
        </is>
      </c>
      <c r="D596" t="n">
        <v>69.95</v>
      </c>
      <c r="E596" t="inlineStr"/>
      <c r="F596" t="n">
        <v>196367</v>
      </c>
      <c r="G596" t="n">
        <v>218653</v>
      </c>
      <c r="H596" t="n">
        <v>69.95</v>
      </c>
      <c r="I596" t="n">
        <v>64.98</v>
      </c>
      <c r="J596" t="n">
        <v>0.79</v>
      </c>
      <c r="K596" t="n">
        <v>1</v>
      </c>
      <c r="L596" t="n">
        <v>1</v>
      </c>
      <c r="M596" t="n">
        <v>1</v>
      </c>
      <c r="N596" t="n">
        <v>4.5</v>
      </c>
      <c r="O596" t="n">
        <v>3</v>
      </c>
      <c r="P596" t="n">
        <v>116</v>
      </c>
      <c r="Q596" t="n">
        <v>17</v>
      </c>
      <c r="R596" t="n">
        <v>25</v>
      </c>
      <c r="S596" t="inlineStr">
        <is>
          <t>B0DF2WXW9S</t>
        </is>
      </c>
      <c r="U596" t="n">
        <v>1.67771582</v>
      </c>
      <c r="V596" t="n">
        <v>7.7</v>
      </c>
      <c r="W596" t="inlineStr"/>
      <c r="X596" t="inlineStr">
        <is>
          <t>195102570947</t>
        </is>
      </c>
      <c r="Y596" t="inlineStr">
        <is>
          <t>37767201</t>
        </is>
      </c>
      <c r="Z596" t="inlineStr">
        <is>
          <t>37767201</t>
        </is>
      </c>
      <c r="AA596" t="inlineStr">
        <is>
          <t>Puma Black-rose Gold-puma White</t>
        </is>
      </c>
      <c r="AB596" t="inlineStr">
        <is>
          <t>0195102570947</t>
        </is>
      </c>
      <c r="AC596" t="inlineStr">
        <is>
          <t>no Amazon offer exists</t>
        </is>
      </c>
      <c r="AD596" t="inlineStr">
        <is>
          <t>PUMA</t>
        </is>
      </c>
      <c r="AE596" t="inlineStr">
        <is>
          <t>9.5</t>
        </is>
      </c>
      <c r="AF596"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6" t="inlineStr">
        <is>
          <t>Description
PUMA womens Softride One4all Cross Trainer</t>
        </is>
      </c>
    </row>
    <row r="597">
      <c r="A597" t="inlineStr">
        <is>
          <t>com</t>
        </is>
      </c>
      <c r="B597" t="inlineStr">
        <is>
          <t>B0BXGV67KK</t>
        </is>
      </c>
      <c r="C597" t="inlineStr">
        <is>
          <t>PUMA Womens Softride One4all Cross Trainer, PUMA Womens Black-Rose Gold-PUMA Womens White, 10</t>
        </is>
      </c>
      <c r="D597" t="n">
        <v>66.47</v>
      </c>
      <c r="E597" t="inlineStr"/>
      <c r="F597" t="n">
        <v>197965</v>
      </c>
      <c r="G597" t="n">
        <v>234416</v>
      </c>
      <c r="H597" t="n">
        <v>66.47</v>
      </c>
      <c r="I597" t="n">
        <v>64.2</v>
      </c>
      <c r="J597" t="n">
        <v>0.95</v>
      </c>
      <c r="K597" t="n">
        <v>1</v>
      </c>
      <c r="L597" t="n">
        <v>1</v>
      </c>
      <c r="M597" t="n">
        <v>1</v>
      </c>
      <c r="N597" t="n">
        <v>4.5</v>
      </c>
      <c r="O597" t="n">
        <v>5</v>
      </c>
      <c r="P597" t="n">
        <v>114</v>
      </c>
      <c r="Q597" t="n">
        <v>9</v>
      </c>
      <c r="R597" t="n">
        <v>18</v>
      </c>
      <c r="S597" t="inlineStr">
        <is>
          <t>B0DF2WXW9S</t>
        </is>
      </c>
      <c r="U597" t="n">
        <v>1.69094354</v>
      </c>
      <c r="V597" t="n">
        <v>7.86</v>
      </c>
      <c r="W597" t="inlineStr"/>
      <c r="X597" t="inlineStr">
        <is>
          <t>195102570954</t>
        </is>
      </c>
      <c r="Y597" t="inlineStr">
        <is>
          <t>37767201</t>
        </is>
      </c>
      <c r="Z597" t="inlineStr">
        <is>
          <t>37767201</t>
        </is>
      </c>
      <c r="AA597" t="inlineStr">
        <is>
          <t>Puma Black-rose Gold-puma White</t>
        </is>
      </c>
      <c r="AB597" t="inlineStr">
        <is>
          <t>0195102570954</t>
        </is>
      </c>
      <c r="AC597" t="inlineStr">
        <is>
          <t>no Amazon offer exists</t>
        </is>
      </c>
      <c r="AD597" t="inlineStr">
        <is>
          <t>PUMA</t>
        </is>
      </c>
      <c r="AE597" t="inlineStr">
        <is>
          <t>10</t>
        </is>
      </c>
      <c r="AF597" t="inlineStr">
        <is>
          <t>https://m.media-amazon.com/images/I/71yWnYggizL.jpg;https://m.media-amazon.com/images/I/41At77QkE8L.jpg;https://m.media-amazon.com/images/I/31e+dBBBGcL.jpg;https://m.media-amazon.com/images/I/41HSgjC1-EL.jpg;https://m.media-amazon.com/images/I/419u-lttDHL.jpg;https://m.media-amazon.com/images/I/41jRSPJXIjL.jpg;https://m.media-amazon.com/images/I/41ytd9p-yBL.jpg</t>
        </is>
      </c>
      <c r="AG597" t="inlineStr">
        <is>
          <t>Description
PUMA womens Softride One4all Cross Trainer</t>
        </is>
      </c>
    </row>
    <row r="598">
      <c r="A598" t="inlineStr">
        <is>
          <t>com</t>
        </is>
      </c>
      <c r="B598" t="inlineStr">
        <is>
          <t>B0BWW88RL2</t>
        </is>
      </c>
      <c r="C598" t="inlineStr">
        <is>
          <t>PUMA Women's Softride One4all WN's Sneaker, Black-Rose Gold White, 11</t>
        </is>
      </c>
      <c r="D598" t="n">
        <v>56.45</v>
      </c>
      <c r="E598" t="n">
        <v>56.45</v>
      </c>
      <c r="F598" t="n">
        <v>4198723</v>
      </c>
      <c r="G598" t="n">
        <v>2928928</v>
      </c>
      <c r="H598" t="inlineStr"/>
      <c r="I598" t="n">
        <v>55.7</v>
      </c>
      <c r="J598" t="n">
        <v>0.19</v>
      </c>
      <c r="K598" t="n">
        <v>1</v>
      </c>
      <c r="L598" t="n">
        <v>1</v>
      </c>
      <c r="M598" t="n">
        <v>1</v>
      </c>
      <c r="O598" t="n">
        <v>0</v>
      </c>
      <c r="Q598" t="n">
        <v>0</v>
      </c>
      <c r="R598" t="n">
        <v>8</v>
      </c>
      <c r="S598" t="inlineStr"/>
      <c r="U598" t="n">
        <v>1.36906902</v>
      </c>
      <c r="V598" t="n">
        <v>7.54</v>
      </c>
      <c r="W598" t="inlineStr"/>
      <c r="X598" t="inlineStr">
        <is>
          <t>195102570978</t>
        </is>
      </c>
      <c r="Y598" t="inlineStr">
        <is>
          <t>37767201</t>
        </is>
      </c>
      <c r="Z598" t="inlineStr">
        <is>
          <t>37767201</t>
        </is>
      </c>
      <c r="AA598" t="inlineStr">
        <is>
          <t>Puma Black-rose Gold-puma White</t>
        </is>
      </c>
      <c r="AB598" t="inlineStr">
        <is>
          <t>0195102570978</t>
        </is>
      </c>
      <c r="AC598" t="inlineStr">
        <is>
          <t>no Amazon offer exists</t>
        </is>
      </c>
      <c r="AD598" t="inlineStr">
        <is>
          <t>PUMA</t>
        </is>
      </c>
      <c r="AE598" t="inlineStr">
        <is>
          <t>11</t>
        </is>
      </c>
      <c r="AF598" t="inlineStr">
        <is>
          <t>https://m.media-amazon.com/images/I/710VC7djEwL.jpg;https://m.media-amazon.com/images/I/41uI8ULx-qL.jpg;https://m.media-amazon.com/images/I/41ClQxC1zwL.jpg;https://m.media-amazon.com/images/I/31qVRW1B6GL.jpg;https://m.media-amazon.com/images/I/31HIZzY7bgL.jpg;https://m.media-amazon.com/images/I/31wdxudUGiL.jpg;https://m.media-amazon.com/images/I/419u-lttDHL.jpg;https://m.media-amazon.com/images/I/41VDHUYZQ3L.jpg</t>
        </is>
      </c>
      <c r="AG598" t="inlineStr">
        <is>
          <t>Description
?Introducing the new Softride Oneforall.The Softride Oneforall utilizes our Softride EVA technology that provides extreme cushioning, all-day comfort, and showcases a progressive upper design language, highlighted by bold branding, and a unique lacing detail. This style is sure to help you stand out amongst the crowd.</t>
        </is>
      </c>
    </row>
    <row r="599">
      <c r="A599" t="inlineStr">
        <is>
          <t>com</t>
        </is>
      </c>
      <c r="B599" t="inlineStr">
        <is>
          <t>B0BHPRL4D8</t>
        </is>
      </c>
      <c r="C599" t="inlineStr">
        <is>
          <t>adidas Women's Eastrail 2.0 Sneaker, Black/Carbon/Grey, 5</t>
        </is>
      </c>
      <c r="D599" t="inlineStr"/>
      <c r="E599" t="inlineStr"/>
      <c r="G599" t="n">
        <v>889519</v>
      </c>
      <c r="H599" t="inlineStr"/>
      <c r="I599" t="inlineStr"/>
      <c r="J599" t="n">
        <v>1</v>
      </c>
      <c r="K599" t="n">
        <v>1</v>
      </c>
      <c r="N599" t="n">
        <v>5</v>
      </c>
      <c r="O599" t="n">
        <v>0</v>
      </c>
      <c r="P599" t="n">
        <v>1</v>
      </c>
      <c r="Q599" t="n">
        <v>1</v>
      </c>
      <c r="R599" t="n">
        <v>4</v>
      </c>
      <c r="S599" t="inlineStr">
        <is>
          <t>B0C63SM43G</t>
        </is>
      </c>
      <c r="U599" t="n">
        <v>1.00089748</v>
      </c>
      <c r="V599" t="n">
        <v>8.1</v>
      </c>
      <c r="W599" t="inlineStr"/>
      <c r="X599" t="inlineStr">
        <is>
          <t>195748940821</t>
        </is>
      </c>
      <c r="Y599" t="inlineStr">
        <is>
          <t>LTG30</t>
        </is>
      </c>
      <c r="Z599" t="inlineStr">
        <is>
          <t>LTG30</t>
        </is>
      </c>
      <c r="AA599" t="inlineStr">
        <is>
          <t>Black/Carbon/Grey</t>
        </is>
      </c>
      <c r="AB599" t="inlineStr">
        <is>
          <t>0195748940821</t>
        </is>
      </c>
      <c r="AC599" t="inlineStr">
        <is>
          <t>no Amazon offer exists</t>
        </is>
      </c>
      <c r="AD599" t="inlineStr">
        <is>
          <t>adidas</t>
        </is>
      </c>
      <c r="AE599" t="inlineStr">
        <is>
          <t>5</t>
        </is>
      </c>
      <c r="AF599"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599"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0">
      <c r="A600" t="inlineStr">
        <is>
          <t>com</t>
        </is>
      </c>
      <c r="B600" t="inlineStr">
        <is>
          <t>B0BHPNV4R9</t>
        </is>
      </c>
      <c r="C600" t="inlineStr">
        <is>
          <t>adidas Women's Eastrail 2.0 Sneaker, Black/Carbon/Grey, 5.5</t>
        </is>
      </c>
      <c r="D600" t="n">
        <v>86.58</v>
      </c>
      <c r="E600" t="n">
        <v>86.58</v>
      </c>
      <c r="F600" t="n">
        <v>1345026</v>
      </c>
      <c r="G600" t="n">
        <v>1007183</v>
      </c>
      <c r="H600" t="n">
        <v>73.34</v>
      </c>
      <c r="I600" t="n">
        <v>73.36</v>
      </c>
      <c r="J600" t="n">
        <v>0.07000000000000001</v>
      </c>
      <c r="K600" t="n">
        <v>1</v>
      </c>
      <c r="L600" t="n">
        <v>1</v>
      </c>
      <c r="M600" t="n">
        <v>1</v>
      </c>
      <c r="N600" t="n">
        <v>2.9</v>
      </c>
      <c r="O600" t="n">
        <v>0</v>
      </c>
      <c r="P600" t="n">
        <v>2</v>
      </c>
      <c r="Q600" t="n">
        <v>6</v>
      </c>
      <c r="R600" t="n">
        <v>18</v>
      </c>
      <c r="S600" t="inlineStr">
        <is>
          <t>B0C63SM43G</t>
        </is>
      </c>
      <c r="U600" t="n">
        <v>1.84967618</v>
      </c>
      <c r="V600" t="n">
        <v>7.62</v>
      </c>
      <c r="W600" t="n">
        <v>12.99</v>
      </c>
      <c r="X600" t="inlineStr">
        <is>
          <t>195748940814</t>
        </is>
      </c>
      <c r="Y600" t="inlineStr">
        <is>
          <t>LTG30</t>
        </is>
      </c>
      <c r="Z600" t="inlineStr">
        <is>
          <t>LTG30</t>
        </is>
      </c>
      <c r="AA600" t="inlineStr">
        <is>
          <t>Black/Carbon/Grey</t>
        </is>
      </c>
      <c r="AB600" t="inlineStr">
        <is>
          <t>0195748940814</t>
        </is>
      </c>
      <c r="AC600" t="inlineStr">
        <is>
          <t>no Amazon offer exists</t>
        </is>
      </c>
      <c r="AD600" t="inlineStr">
        <is>
          <t>adidas</t>
        </is>
      </c>
      <c r="AE600" t="inlineStr">
        <is>
          <t>5.5</t>
        </is>
      </c>
      <c r="AF600"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600"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1">
      <c r="A601" t="inlineStr">
        <is>
          <t>com</t>
        </is>
      </c>
      <c r="B601" t="inlineStr">
        <is>
          <t>B0BHPQBTDW</t>
        </is>
      </c>
      <c r="C601" t="inlineStr">
        <is>
          <t>adidas Women's Eastrail 2.0 Hiking Sneaker, Black/Carbon/Grey, 6</t>
        </is>
      </c>
      <c r="D601" t="n">
        <v>78.70999999999999</v>
      </c>
      <c r="E601" t="n">
        <v>78.7</v>
      </c>
      <c r="F601" t="n">
        <v>8642007</v>
      </c>
      <c r="G601" t="n">
        <v>8332180</v>
      </c>
      <c r="H601" t="n">
        <v>74.11</v>
      </c>
      <c r="I601" t="n">
        <v>72.12</v>
      </c>
      <c r="J601" t="n">
        <v>0</v>
      </c>
      <c r="K601" t="n">
        <v>0</v>
      </c>
      <c r="L601" t="n">
        <v>2</v>
      </c>
      <c r="M601" t="n">
        <v>2</v>
      </c>
      <c r="O601" t="n">
        <v>0</v>
      </c>
      <c r="Q601" t="n">
        <v>0</v>
      </c>
      <c r="R601" t="n">
        <v>0</v>
      </c>
      <c r="S601" t="inlineStr">
        <is>
          <t>B0CMXWCLZX</t>
        </is>
      </c>
      <c r="U601" t="n">
        <v>1.67992044</v>
      </c>
      <c r="V601" t="n">
        <v>7.62</v>
      </c>
      <c r="W601" t="n">
        <v>11.81</v>
      </c>
      <c r="X601" t="inlineStr">
        <is>
          <t>195748940890</t>
        </is>
      </c>
      <c r="Y601" t="inlineStr">
        <is>
          <t>LTG30</t>
        </is>
      </c>
      <c r="Z601" t="inlineStr">
        <is>
          <t>LTG30</t>
        </is>
      </c>
      <c r="AA601" t="inlineStr">
        <is>
          <t>Black/Carbon/Grey</t>
        </is>
      </c>
      <c r="AB601" t="inlineStr">
        <is>
          <t>0195748940890</t>
        </is>
      </c>
      <c r="AC601" t="inlineStr">
        <is>
          <t>Amazon offer is in stock and shippable</t>
        </is>
      </c>
      <c r="AD601" t="inlineStr">
        <is>
          <t>adidas</t>
        </is>
      </c>
      <c r="AE601" t="inlineStr">
        <is>
          <t>6</t>
        </is>
      </c>
      <c r="AF601" t="inlineStr">
        <is>
          <t>https://m.media-amazon.com/images/I/81-qgci157L.jpg;https://m.media-amazon.com/images/I/71ZQpQPB26L.jpg;https://m.media-amazon.com/images/I/71BTRrtpFZL.jpg;https://m.media-amazon.com/images/I/81okmep6k4L.jpg;https://m.media-amazon.com/images/I/81BakJEd9zL.jpg;https://m.media-amazon.com/images/I/815X4WcSXEL.jpg;https://m.media-amazon.com/images/I/71LkzTyo2eL.jpg</t>
        </is>
      </c>
      <c r="AG601" t="inlineStr">
        <is>
          <t>Description
adidas womens Eastrail 2.0 Hiking</t>
        </is>
      </c>
    </row>
    <row r="602">
      <c r="A602" t="inlineStr">
        <is>
          <t>com</t>
        </is>
      </c>
      <c r="B602" t="inlineStr">
        <is>
          <t>B0BHPTRL4Q</t>
        </is>
      </c>
      <c r="C602" t="inlineStr">
        <is>
          <t>adidas Women's Eastrail 2.0 Hiking Sneaker, Black/Carbon/Grey, 6.5</t>
        </is>
      </c>
      <c r="D602" t="n">
        <v>49.97</v>
      </c>
      <c r="E602" t="n">
        <v>49.97</v>
      </c>
      <c r="F602" t="n">
        <v>8638684</v>
      </c>
      <c r="G602" t="n">
        <v>8320555</v>
      </c>
      <c r="H602" t="n">
        <v>56.27</v>
      </c>
      <c r="I602" t="n">
        <v>61.64</v>
      </c>
      <c r="J602" t="n">
        <v>0</v>
      </c>
      <c r="K602" t="n">
        <v>0</v>
      </c>
      <c r="L602" t="n">
        <v>2</v>
      </c>
      <c r="M602" t="n">
        <v>3</v>
      </c>
      <c r="O602" t="n">
        <v>0</v>
      </c>
      <c r="Q602" t="n">
        <v>0</v>
      </c>
      <c r="R602" t="n">
        <v>0</v>
      </c>
      <c r="S602" t="inlineStr">
        <is>
          <t>B0CMXWCLZX</t>
        </is>
      </c>
      <c r="U602" t="n">
        <v>1.8518808</v>
      </c>
      <c r="V602" t="n">
        <v>7.7</v>
      </c>
      <c r="W602" t="n">
        <v>7.5</v>
      </c>
      <c r="X602" t="inlineStr">
        <is>
          <t>195748940852</t>
        </is>
      </c>
      <c r="Y602" t="inlineStr">
        <is>
          <t>LTG30</t>
        </is>
      </c>
      <c r="Z602" t="inlineStr">
        <is>
          <t>LTG30</t>
        </is>
      </c>
      <c r="AA602" t="inlineStr">
        <is>
          <t>Black/Carbon/Grey</t>
        </is>
      </c>
      <c r="AB602" t="inlineStr">
        <is>
          <t>0195748940852</t>
        </is>
      </c>
      <c r="AC602" t="inlineStr">
        <is>
          <t>Amazon offer is in stock and shippable</t>
        </is>
      </c>
      <c r="AD602" t="inlineStr">
        <is>
          <t>adidas</t>
        </is>
      </c>
      <c r="AE602" t="inlineStr">
        <is>
          <t>6.5</t>
        </is>
      </c>
      <c r="AF602" t="inlineStr">
        <is>
          <t>https://m.media-amazon.com/images/I/81-qgci157L.jpg;https://m.media-amazon.com/images/I/71ZQpQPB26L.jpg;https://m.media-amazon.com/images/I/71BTRrtpFZL.jpg;https://m.media-amazon.com/images/I/81okmep6k4L.jpg;https://m.media-amazon.com/images/I/81BakJEd9zL.jpg;https://m.media-amazon.com/images/I/815X4WcSXEL.jpg;https://m.media-amazon.com/images/I/71LkzTyo2eL.jpg</t>
        </is>
      </c>
      <c r="AG602" t="inlineStr">
        <is>
          <t>Description
adidas womens Eastrail 2.0 Hiking</t>
        </is>
      </c>
    </row>
    <row r="603">
      <c r="A603" t="inlineStr">
        <is>
          <t>com</t>
        </is>
      </c>
      <c r="B603" t="inlineStr">
        <is>
          <t>B0BHPQTVCS</t>
        </is>
      </c>
      <c r="C603" t="inlineStr">
        <is>
          <t>adidas Women's Eastrail 2.0 Sneaker, Black/Carbon/Grey, 7</t>
        </is>
      </c>
      <c r="D603" t="n">
        <v>59.69</v>
      </c>
      <c r="E603" t="n">
        <v>59.69</v>
      </c>
      <c r="F603" t="n">
        <v>1313467</v>
      </c>
      <c r="G603" t="n">
        <v>1013573</v>
      </c>
      <c r="H603" t="n">
        <v>67.48999999999999</v>
      </c>
      <c r="I603" t="n">
        <v>70.13</v>
      </c>
      <c r="J603" t="n">
        <v>0</v>
      </c>
      <c r="K603" t="n">
        <v>1</v>
      </c>
      <c r="L603" t="n">
        <v>5</v>
      </c>
      <c r="M603" t="n">
        <v>5</v>
      </c>
      <c r="N603" t="n">
        <v>2.9</v>
      </c>
      <c r="O603" t="n">
        <v>0</v>
      </c>
      <c r="P603" t="n">
        <v>2</v>
      </c>
      <c r="Q603" t="n">
        <v>8</v>
      </c>
      <c r="R603" t="n">
        <v>25</v>
      </c>
      <c r="S603" t="inlineStr">
        <is>
          <t>B0C63SM43G</t>
        </is>
      </c>
      <c r="U603" t="n">
        <v>1.8518808</v>
      </c>
      <c r="V603" t="n">
        <v>7.7</v>
      </c>
      <c r="W603" t="n">
        <v>8.949999999999999</v>
      </c>
      <c r="X603" t="inlineStr">
        <is>
          <t>195748940869</t>
        </is>
      </c>
      <c r="Y603" t="inlineStr">
        <is>
          <t>LTG30</t>
        </is>
      </c>
      <c r="Z603" t="inlineStr">
        <is>
          <t>LTG30</t>
        </is>
      </c>
      <c r="AA603" t="inlineStr">
        <is>
          <t>Black/Carbon/Grey</t>
        </is>
      </c>
      <c r="AB603" t="inlineStr">
        <is>
          <t>0195748940869</t>
        </is>
      </c>
      <c r="AC603" t="inlineStr">
        <is>
          <t>no Amazon offer exists</t>
        </is>
      </c>
      <c r="AD603" t="inlineStr">
        <is>
          <t>adidas</t>
        </is>
      </c>
      <c r="AE603" t="inlineStr">
        <is>
          <t>7</t>
        </is>
      </c>
      <c r="AF603" t="inlineStr">
        <is>
          <t>https://m.media-amazon.com/images/I/41gjGQ2wJxL.jpg;https://m.media-amazon.com/images/I/31OqsM03MYL.jpg;https://m.media-amazon.com/images/I/31Eg-fAGpbL.jpg;https://m.media-amazon.com/images/I/41njHhu7tvL.jpg;https://m.media-amazon.com/images/I/41AUQe4VK6L.jpg;https://m.media-amazon.com/images/I/41BtuMZuktL.jpg;https://m.media-amazon.com/images/I/31FO2MwFIwL.jpg</t>
        </is>
      </c>
      <c r="AG603"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4">
      <c r="A604" t="inlineStr">
        <is>
          <t>com</t>
        </is>
      </c>
      <c r="B604" t="inlineStr">
        <is>
          <t>B0BHPQSJGH</t>
        </is>
      </c>
      <c r="C604" t="inlineStr">
        <is>
          <t>adidas Women's Eastrail 2.0 Hiking Sneaker, Black/Carbon/Grey, 7.5</t>
        </is>
      </c>
      <c r="D604" t="n">
        <v>72.26000000000001</v>
      </c>
      <c r="E604" t="n">
        <v>72.25</v>
      </c>
      <c r="F604" t="n">
        <v>4470559</v>
      </c>
      <c r="G604" t="n">
        <v>2488395</v>
      </c>
      <c r="H604" t="n">
        <v>68.12</v>
      </c>
      <c r="I604" t="n">
        <v>66.06</v>
      </c>
      <c r="J604" t="n">
        <v>0</v>
      </c>
      <c r="K604" t="n">
        <v>0.99</v>
      </c>
      <c r="L604" t="n">
        <v>5</v>
      </c>
      <c r="M604" t="n">
        <v>6</v>
      </c>
      <c r="N604" t="n">
        <v>5</v>
      </c>
      <c r="O604" t="n">
        <v>1</v>
      </c>
      <c r="P604" t="n">
        <v>1</v>
      </c>
      <c r="Q604" t="n">
        <v>4</v>
      </c>
      <c r="R604" t="n">
        <v>9</v>
      </c>
      <c r="S604" t="inlineStr">
        <is>
          <t>B0BHQ5M5ZQ</t>
        </is>
      </c>
      <c r="U604" t="n">
        <v>1.8849501</v>
      </c>
      <c r="V604" t="n">
        <v>7.78</v>
      </c>
      <c r="W604" t="n">
        <v>10.84</v>
      </c>
      <c r="X604" t="inlineStr">
        <is>
          <t>195748940784</t>
        </is>
      </c>
      <c r="Y604" t="inlineStr">
        <is>
          <t>LTG30</t>
        </is>
      </c>
      <c r="Z604" t="inlineStr">
        <is>
          <t>LTG30</t>
        </is>
      </c>
      <c r="AA604" t="inlineStr">
        <is>
          <t>Black/Carbon/Grey</t>
        </is>
      </c>
      <c r="AB604" t="inlineStr">
        <is>
          <t>0195748940784</t>
        </is>
      </c>
      <c r="AC604" t="inlineStr">
        <is>
          <t>no Amazon offer exists</t>
        </is>
      </c>
      <c r="AD604" t="inlineStr">
        <is>
          <t>adidas</t>
        </is>
      </c>
      <c r="AE604" t="inlineStr">
        <is>
          <t>7.5</t>
        </is>
      </c>
      <c r="AF604" t="inlineStr">
        <is>
          <t>https://m.media-amazon.com/images/I/81-qgci157L.jpg;https://m.media-amazon.com/images/I/71ZQpQPB26L.jpg;https://m.media-amazon.com/images/I/71BTRrtpFZL.jpg;https://m.media-amazon.com/images/I/81okmep6k4L.jpg;https://m.media-amazon.com/images/I/81BakJEd9zL.jpg;https://m.media-amazon.com/images/I/815X4WcSXEL.jpg;https://m.media-amazon.com/images/I/71LkzTyo2eL.jpg</t>
        </is>
      </c>
      <c r="AG604" t="inlineStr">
        <is>
          <t>Description
adidas Womens Eastrail 2.0 Hiking</t>
        </is>
      </c>
    </row>
    <row r="605">
      <c r="A605" t="inlineStr">
        <is>
          <t>com</t>
        </is>
      </c>
      <c r="B605" t="inlineStr">
        <is>
          <t>B0BHPM4VFT</t>
        </is>
      </c>
      <c r="C605" t="inlineStr">
        <is>
          <t>adidas Women's Eastrail 2.0 Hiking Sneaker, Black/Carbon/Grey, 8</t>
        </is>
      </c>
      <c r="D605" t="n">
        <v>52.96</v>
      </c>
      <c r="E605" t="n">
        <v>52.96</v>
      </c>
      <c r="F605" t="n">
        <v>4155674</v>
      </c>
      <c r="G605" t="n">
        <v>2500159</v>
      </c>
      <c r="H605" t="n">
        <v>63.17</v>
      </c>
      <c r="I605" t="n">
        <v>65.05</v>
      </c>
      <c r="J605" t="n">
        <v>0</v>
      </c>
      <c r="K605" t="n">
        <v>0</v>
      </c>
      <c r="L605" t="n">
        <v>5</v>
      </c>
      <c r="M605" t="n">
        <v>7</v>
      </c>
      <c r="N605" t="n">
        <v>5</v>
      </c>
      <c r="O605" t="n">
        <v>0</v>
      </c>
      <c r="P605" t="n">
        <v>1</v>
      </c>
      <c r="Q605" t="n">
        <v>7</v>
      </c>
      <c r="R605" t="n">
        <v>11</v>
      </c>
      <c r="S605" t="inlineStr">
        <is>
          <t>B0BHQ5M5ZQ</t>
        </is>
      </c>
      <c r="U605" t="n">
        <v>1.8959732</v>
      </c>
      <c r="V605" t="n">
        <v>8.02</v>
      </c>
      <c r="W605" t="n">
        <v>7.94</v>
      </c>
      <c r="X605" t="inlineStr">
        <is>
          <t>195748940838</t>
        </is>
      </c>
      <c r="Y605" t="inlineStr">
        <is>
          <t>LTG30</t>
        </is>
      </c>
      <c r="Z605" t="inlineStr">
        <is>
          <t>LTG30</t>
        </is>
      </c>
      <c r="AA605" t="inlineStr">
        <is>
          <t>Black/Carbon/Grey</t>
        </is>
      </c>
      <c r="AB605" t="inlineStr">
        <is>
          <t>0195748940838</t>
        </is>
      </c>
      <c r="AC605" t="inlineStr">
        <is>
          <t>Amazon offer is in stock and shippable</t>
        </is>
      </c>
      <c r="AD605" t="inlineStr">
        <is>
          <t>adidas</t>
        </is>
      </c>
      <c r="AE605" t="inlineStr">
        <is>
          <t>8</t>
        </is>
      </c>
      <c r="AF605" t="inlineStr">
        <is>
          <t>https://m.media-amazon.com/images/I/81-qgci157L.jpg;https://m.media-amazon.com/images/I/71ZQpQPB26L.jpg;https://m.media-amazon.com/images/I/71BTRrtpFZL.jpg;https://m.media-amazon.com/images/I/81okmep6k4L.jpg;https://m.media-amazon.com/images/I/81BakJEd9zL.jpg;https://m.media-amazon.com/images/I/815X4WcSXEL.jpg;https://m.media-amazon.com/images/I/71LkzTyo2eL.jpg</t>
        </is>
      </c>
      <c r="AG605" t="inlineStr">
        <is>
          <t>Description
adidas Womens Eastrail 2.0 Hiking</t>
        </is>
      </c>
    </row>
    <row r="606">
      <c r="A606" t="inlineStr">
        <is>
          <t>com</t>
        </is>
      </c>
      <c r="B606" t="inlineStr">
        <is>
          <t>B0BHQDXFF7</t>
        </is>
      </c>
      <c r="C606" t="inlineStr">
        <is>
          <t>adidas Women's Eastrail 2.0 Sneaker, Black/Carbon/Grey, 8.5</t>
        </is>
      </c>
      <c r="D606" t="n">
        <v>64.86</v>
      </c>
      <c r="E606" t="n">
        <v>64.86</v>
      </c>
      <c r="F606" t="n">
        <v>1201795</v>
      </c>
      <c r="G606" t="n">
        <v>993344</v>
      </c>
      <c r="H606" t="n">
        <v>69.08</v>
      </c>
      <c r="I606" t="n">
        <v>69.65000000000001</v>
      </c>
      <c r="J606" t="n">
        <v>0</v>
      </c>
      <c r="K606" t="n">
        <v>1</v>
      </c>
      <c r="L606" t="n">
        <v>5</v>
      </c>
      <c r="M606" t="n">
        <v>7</v>
      </c>
      <c r="N606" t="n">
        <v>2.9</v>
      </c>
      <c r="O606" t="n">
        <v>0</v>
      </c>
      <c r="P606" t="n">
        <v>2</v>
      </c>
      <c r="Q606" t="n">
        <v>11</v>
      </c>
      <c r="R606" t="n">
        <v>37</v>
      </c>
      <c r="S606" t="inlineStr">
        <is>
          <t>B0C63SM43G</t>
        </is>
      </c>
      <c r="U606" t="n">
        <v>1.9400656</v>
      </c>
      <c r="V606" t="n">
        <v>7.7</v>
      </c>
      <c r="W606" t="n">
        <v>9.73</v>
      </c>
      <c r="X606" t="inlineStr">
        <is>
          <t>195748940807</t>
        </is>
      </c>
      <c r="Y606" t="inlineStr">
        <is>
          <t>LTG30</t>
        </is>
      </c>
      <c r="Z606" t="inlineStr">
        <is>
          <t>LTG30</t>
        </is>
      </c>
      <c r="AA606" t="inlineStr">
        <is>
          <t>Black/Carbon/Grey</t>
        </is>
      </c>
      <c r="AB606" t="inlineStr">
        <is>
          <t>0195748940807</t>
        </is>
      </c>
      <c r="AC606" t="inlineStr">
        <is>
          <t>no Amazon offer exists</t>
        </is>
      </c>
      <c r="AD606" t="inlineStr">
        <is>
          <t>adidas</t>
        </is>
      </c>
      <c r="AE606" t="inlineStr">
        <is>
          <t>8.5</t>
        </is>
      </c>
      <c r="AF606"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606"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7">
      <c r="A607" t="inlineStr">
        <is>
          <t>com</t>
        </is>
      </c>
      <c r="B607" t="inlineStr">
        <is>
          <t>B0BHPSGRGY</t>
        </is>
      </c>
      <c r="C607" t="inlineStr">
        <is>
          <t>adidas Women's Eastrail 2.0 Sneaker, Black/Carbon/Grey, 9</t>
        </is>
      </c>
      <c r="D607" t="n">
        <v>63.6</v>
      </c>
      <c r="E607" t="n">
        <v>63.6</v>
      </c>
      <c r="F607" t="n">
        <v>1345026</v>
      </c>
      <c r="G607" t="n">
        <v>1004657</v>
      </c>
      <c r="H607" t="n">
        <v>65.38</v>
      </c>
      <c r="I607" t="n">
        <v>71.53</v>
      </c>
      <c r="J607" t="n">
        <v>0</v>
      </c>
      <c r="K607" t="n">
        <v>1</v>
      </c>
      <c r="L607" t="n">
        <v>5</v>
      </c>
      <c r="M607" t="n">
        <v>6</v>
      </c>
      <c r="N607" t="n">
        <v>2.9</v>
      </c>
      <c r="O607" t="n">
        <v>0</v>
      </c>
      <c r="P607" t="n">
        <v>2</v>
      </c>
      <c r="Q607" t="n">
        <v>11</v>
      </c>
      <c r="R607" t="n">
        <v>29</v>
      </c>
      <c r="S607" t="inlineStr">
        <is>
          <t>B0C63SM43G</t>
        </is>
      </c>
      <c r="U607" t="n">
        <v>1.9621118</v>
      </c>
      <c r="V607" t="n">
        <v>7.7</v>
      </c>
      <c r="W607" t="n">
        <v>9.539999999999999</v>
      </c>
      <c r="X607" t="inlineStr">
        <is>
          <t>195748940876</t>
        </is>
      </c>
      <c r="Y607" t="inlineStr">
        <is>
          <t>LTG30</t>
        </is>
      </c>
      <c r="Z607" t="inlineStr">
        <is>
          <t>LTG30</t>
        </is>
      </c>
      <c r="AA607" t="inlineStr">
        <is>
          <t>Black/Carbon/Grey</t>
        </is>
      </c>
      <c r="AB607" t="inlineStr">
        <is>
          <t>0195748940876</t>
        </is>
      </c>
      <c r="AC607" t="inlineStr">
        <is>
          <t>no Amazon offer exists</t>
        </is>
      </c>
      <c r="AD607" t="inlineStr">
        <is>
          <t>adidas</t>
        </is>
      </c>
      <c r="AE607" t="inlineStr">
        <is>
          <t>9</t>
        </is>
      </c>
      <c r="AF607" t="inlineStr">
        <is>
          <t>https://m.media-amazon.com/images/I/41gjGQ2wJxL.jpg;https://m.media-amazon.com/images/I/31OqsM03MYL.jpg;https://m.media-amazon.com/images/I/31Eg-fAGpbL.jpg;https://m.media-amazon.com/images/I/41njHhu7tvL.jpg;https://m.media-amazon.com/images/I/41AUQe4VK6L.jpg;https://m.media-amazon.com/images/I/41BtuMZuktL.jpg;https://m.media-amazon.com/images/I/31FO2MwFIwL.jpg</t>
        </is>
      </c>
      <c r="AG607"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8">
      <c r="A608" t="inlineStr">
        <is>
          <t>com</t>
        </is>
      </c>
      <c r="B608" t="inlineStr">
        <is>
          <t>B0BHPTZNDM</t>
        </is>
      </c>
      <c r="C608" t="inlineStr">
        <is>
          <t>adidas Women's Eastrail 2.0 Sneaker, Black/Carbon/Grey, 9.5</t>
        </is>
      </c>
      <c r="D608" t="n">
        <v>69.78</v>
      </c>
      <c r="E608" t="n">
        <v>69.78</v>
      </c>
      <c r="F608" t="n">
        <v>1186644</v>
      </c>
      <c r="G608" t="n">
        <v>987633</v>
      </c>
      <c r="H608" t="n">
        <v>62.92</v>
      </c>
      <c r="I608" t="n">
        <v>62.61</v>
      </c>
      <c r="J608" t="n">
        <v>0</v>
      </c>
      <c r="K608" t="n">
        <v>0.32</v>
      </c>
      <c r="L608" t="n">
        <v>4</v>
      </c>
      <c r="M608" t="n">
        <v>2</v>
      </c>
      <c r="N608" t="n">
        <v>2.9</v>
      </c>
      <c r="O608" t="n">
        <v>0</v>
      </c>
      <c r="P608" t="n">
        <v>2</v>
      </c>
      <c r="Q608" t="n">
        <v>6</v>
      </c>
      <c r="R608" t="n">
        <v>28</v>
      </c>
      <c r="S608" t="inlineStr">
        <is>
          <t>B0C63SM43G</t>
        </is>
      </c>
      <c r="U608" t="n">
        <v>2.0282504</v>
      </c>
      <c r="V608" t="n">
        <v>7.86</v>
      </c>
      <c r="W608" t="n">
        <v>10.47</v>
      </c>
      <c r="X608" t="inlineStr">
        <is>
          <t>195748940791</t>
        </is>
      </c>
      <c r="Y608" t="inlineStr">
        <is>
          <t>LTG30</t>
        </is>
      </c>
      <c r="Z608" t="inlineStr">
        <is>
          <t>LTG30</t>
        </is>
      </c>
      <c r="AA608" t="inlineStr">
        <is>
          <t>Black/Carbon/Grey</t>
        </is>
      </c>
      <c r="AB608" t="inlineStr">
        <is>
          <t>0195748940791</t>
        </is>
      </c>
      <c r="AC608" t="inlineStr">
        <is>
          <t>no Amazon offer exists</t>
        </is>
      </c>
      <c r="AD608" t="inlineStr">
        <is>
          <t>adidas</t>
        </is>
      </c>
      <c r="AE608" t="inlineStr">
        <is>
          <t>9.5</t>
        </is>
      </c>
      <c r="AF608"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608"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09">
      <c r="A609" t="inlineStr">
        <is>
          <t>com</t>
        </is>
      </c>
      <c r="B609" t="inlineStr">
        <is>
          <t>B0BHPT23NK</t>
        </is>
      </c>
      <c r="C609" t="inlineStr">
        <is>
          <t>adidas Women's Eastrail 2.0 Sneaker, Black/Carbon/Grey, 10</t>
        </is>
      </c>
      <c r="D609" t="n">
        <v>73.2</v>
      </c>
      <c r="E609" t="n">
        <v>73.2</v>
      </c>
      <c r="F609" t="n">
        <v>1112758</v>
      </c>
      <c r="G609" t="n">
        <v>978777</v>
      </c>
      <c r="H609" t="n">
        <v>72.51000000000001</v>
      </c>
      <c r="I609" t="n">
        <v>68.06</v>
      </c>
      <c r="J609" t="n">
        <v>0</v>
      </c>
      <c r="K609" t="n">
        <v>0</v>
      </c>
      <c r="L609" t="n">
        <v>2</v>
      </c>
      <c r="M609" t="n">
        <v>3</v>
      </c>
      <c r="N609" t="n">
        <v>2.9</v>
      </c>
      <c r="O609" t="n">
        <v>2</v>
      </c>
      <c r="P609" t="n">
        <v>2</v>
      </c>
      <c r="Q609" t="n">
        <v>11</v>
      </c>
      <c r="R609" t="n">
        <v>29</v>
      </c>
      <c r="S609" t="inlineStr">
        <is>
          <t>B0C63SM43G</t>
        </is>
      </c>
      <c r="U609" t="n">
        <v>2.31044176</v>
      </c>
      <c r="V609" t="n">
        <v>7.94</v>
      </c>
      <c r="W609" t="n">
        <v>10.98</v>
      </c>
      <c r="X609" t="inlineStr">
        <is>
          <t>195748940883</t>
        </is>
      </c>
      <c r="Y609" t="inlineStr">
        <is>
          <t>LTG30</t>
        </is>
      </c>
      <c r="Z609" t="inlineStr">
        <is>
          <t>LTG30</t>
        </is>
      </c>
      <c r="AA609" t="inlineStr">
        <is>
          <t>Black/Carbon/Grey</t>
        </is>
      </c>
      <c r="AB609" t="inlineStr">
        <is>
          <t>0195748940883</t>
        </is>
      </c>
      <c r="AC609" t="inlineStr">
        <is>
          <t>Amazon offer is in stock and shippable</t>
        </is>
      </c>
      <c r="AD609" t="inlineStr">
        <is>
          <t>adidas</t>
        </is>
      </c>
      <c r="AE609" t="inlineStr">
        <is>
          <t>10</t>
        </is>
      </c>
      <c r="AF609"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609"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0">
      <c r="A610" t="inlineStr">
        <is>
          <t>com</t>
        </is>
      </c>
      <c r="B610" t="inlineStr">
        <is>
          <t>B0BHPR6286</t>
        </is>
      </c>
      <c r="C610" t="inlineStr">
        <is>
          <t>adidas Women's Eastrail 2.0 Sneaker, Black/Carbon/Grey, 11</t>
        </is>
      </c>
      <c r="D610" t="n">
        <v>72.98</v>
      </c>
      <c r="E610" t="n">
        <v>67.91</v>
      </c>
      <c r="F610" t="n">
        <v>1112758</v>
      </c>
      <c r="G610" t="n">
        <v>1052872</v>
      </c>
      <c r="H610" t="n">
        <v>73.75</v>
      </c>
      <c r="I610" t="n">
        <v>76.25</v>
      </c>
      <c r="J610" t="n">
        <v>0</v>
      </c>
      <c r="K610" t="n">
        <v>1</v>
      </c>
      <c r="L610" t="n">
        <v>4</v>
      </c>
      <c r="M610" t="n">
        <v>4</v>
      </c>
      <c r="N610" t="n">
        <v>2.9</v>
      </c>
      <c r="O610" t="n">
        <v>0</v>
      </c>
      <c r="P610" t="n">
        <v>2</v>
      </c>
      <c r="Q610" t="n">
        <v>7</v>
      </c>
      <c r="R610" t="n">
        <v>22</v>
      </c>
      <c r="S610" t="inlineStr">
        <is>
          <t>B0C63SM43G</t>
        </is>
      </c>
      <c r="U610" t="n">
        <v>2.3809896</v>
      </c>
      <c r="V610" t="n">
        <v>7.86</v>
      </c>
      <c r="W610" t="n">
        <v>10.95</v>
      </c>
      <c r="X610" t="inlineStr">
        <is>
          <t>195748940845</t>
        </is>
      </c>
      <c r="Y610" t="inlineStr">
        <is>
          <t>LTG30</t>
        </is>
      </c>
      <c r="Z610" t="inlineStr">
        <is>
          <t>LTG30</t>
        </is>
      </c>
      <c r="AA610" t="inlineStr">
        <is>
          <t>Black/Carbon/Grey</t>
        </is>
      </c>
      <c r="AB610" t="inlineStr">
        <is>
          <t>0195748940845</t>
        </is>
      </c>
      <c r="AC610" t="inlineStr">
        <is>
          <t>no Amazon offer exists</t>
        </is>
      </c>
      <c r="AD610" t="inlineStr">
        <is>
          <t>adidas</t>
        </is>
      </c>
      <c r="AE610" t="inlineStr">
        <is>
          <t>11</t>
        </is>
      </c>
      <c r="AF610" t="inlineStr">
        <is>
          <t>https://m.media-amazon.com/images/I/71HHTpdE3qL.jpg;https://m.media-amazon.com/images/I/71ZQpQPB26L.jpg;https://m.media-amazon.com/images/I/71BTRrtpFZL.jpg;https://m.media-amazon.com/images/I/81okmep6k4L.jpg;https://m.media-amazon.com/images/I/81BakJEd9zL.jpg;https://m.media-amazon.com/images/I/815X4WcSXEL.jpg;https://m.media-amazon.com/images/I/71LkzTyo2eL.jpg</t>
        </is>
      </c>
      <c r="AG610"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1">
      <c r="A611" t="inlineStr">
        <is>
          <t>com</t>
        </is>
      </c>
      <c r="B611" t="inlineStr">
        <is>
          <t>B09VCNLMP5</t>
        </is>
      </c>
      <c r="C611" t="inlineStr">
        <is>
          <t>adidas Women's Terrex Eastrail 2 Sneaker, Grey/Dash Grey/Mint Ton, 5</t>
        </is>
      </c>
      <c r="D611" t="n">
        <v>67.45999999999999</v>
      </c>
      <c r="E611" t="n">
        <v>67.45999999999999</v>
      </c>
      <c r="F611" t="n">
        <v>1242854</v>
      </c>
      <c r="G611" t="n">
        <v>576638</v>
      </c>
      <c r="H611" t="n">
        <v>76.18000000000001</v>
      </c>
      <c r="I611" t="n">
        <v>73.43000000000001</v>
      </c>
      <c r="J611" t="n">
        <v>0.17</v>
      </c>
      <c r="K611" t="n">
        <v>0.17</v>
      </c>
      <c r="L611" t="n">
        <v>1</v>
      </c>
      <c r="M611" t="n">
        <v>1</v>
      </c>
      <c r="N611" t="n">
        <v>4.2</v>
      </c>
      <c r="O611" t="n">
        <v>0</v>
      </c>
      <c r="P611" t="n">
        <v>33</v>
      </c>
      <c r="Q611" t="n">
        <v>8</v>
      </c>
      <c r="R611" t="n">
        <v>45</v>
      </c>
      <c r="S611" t="inlineStr">
        <is>
          <t>B0CMXTPLC8</t>
        </is>
      </c>
      <c r="U611" t="n">
        <v>1.69976202</v>
      </c>
      <c r="V611" t="n">
        <v>7.62</v>
      </c>
      <c r="W611" t="n">
        <v>10.12</v>
      </c>
      <c r="X611" t="inlineStr">
        <is>
          <t>195748952329</t>
        </is>
      </c>
      <c r="Y611" t="inlineStr">
        <is>
          <t>LTG30</t>
        </is>
      </c>
      <c r="Z611" t="inlineStr">
        <is>
          <t>LTG30</t>
        </is>
      </c>
      <c r="AA611" t="inlineStr">
        <is>
          <t>Grey/Dash Grey/Mint Ton</t>
        </is>
      </c>
      <c r="AB611" t="inlineStr">
        <is>
          <t>0195748952329</t>
        </is>
      </c>
      <c r="AC611" t="inlineStr">
        <is>
          <t>Amazon offer is back-ordered</t>
        </is>
      </c>
      <c r="AD611" t="inlineStr">
        <is>
          <t>adidas</t>
        </is>
      </c>
      <c r="AE611" t="inlineStr">
        <is>
          <t>5</t>
        </is>
      </c>
      <c r="AF611"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1"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2">
      <c r="A612" t="inlineStr">
        <is>
          <t>com</t>
        </is>
      </c>
      <c r="B612" t="inlineStr">
        <is>
          <t>B09VCN67FV</t>
        </is>
      </c>
      <c r="C612" t="inlineStr">
        <is>
          <t>adidas Women's Terrex Eastrail 2 Sneaker, Grey/Dash Grey/Mint Ton, 5.5</t>
        </is>
      </c>
      <c r="D612" t="n">
        <v>94.8</v>
      </c>
      <c r="E612" t="n">
        <v>73.98999999999999</v>
      </c>
      <c r="F612" t="n">
        <v>859257</v>
      </c>
      <c r="G612" t="n">
        <v>472077</v>
      </c>
      <c r="H612" t="n">
        <v>94.68000000000001</v>
      </c>
      <c r="I612" t="n">
        <v>75.66</v>
      </c>
      <c r="J612" t="n">
        <v>0.6</v>
      </c>
      <c r="K612" t="n">
        <v>1</v>
      </c>
      <c r="L612" t="n">
        <v>1</v>
      </c>
      <c r="M612" t="n">
        <v>1</v>
      </c>
      <c r="N612" t="n">
        <v>4</v>
      </c>
      <c r="O612" t="n">
        <v>2</v>
      </c>
      <c r="P612" t="n">
        <v>59</v>
      </c>
      <c r="Q612" t="n">
        <v>12</v>
      </c>
      <c r="R612" t="n">
        <v>22</v>
      </c>
      <c r="S612" t="inlineStr">
        <is>
          <t>B0CMTWVSN8</t>
        </is>
      </c>
      <c r="U612" t="n">
        <v>1.64905576</v>
      </c>
      <c r="V612" t="n">
        <v>8.1</v>
      </c>
      <c r="W612" t="n">
        <v>14.22</v>
      </c>
      <c r="X612" t="inlineStr">
        <is>
          <t>195748952244</t>
        </is>
      </c>
      <c r="Y612" t="inlineStr">
        <is>
          <t>HQ0936</t>
        </is>
      </c>
      <c r="Z612" t="inlineStr">
        <is>
          <t>LTG30</t>
        </is>
      </c>
      <c r="AA612" t="inlineStr">
        <is>
          <t>Grey/Dash Grey/Mint Ton</t>
        </is>
      </c>
      <c r="AB612" t="inlineStr">
        <is>
          <t>0195748952244</t>
        </is>
      </c>
      <c r="AC612" t="inlineStr">
        <is>
          <t>no Amazon offer exists</t>
        </is>
      </c>
      <c r="AD612" t="inlineStr">
        <is>
          <t>adidas</t>
        </is>
      </c>
      <c r="AE612" t="inlineStr">
        <is>
          <t>5.5</t>
        </is>
      </c>
      <c r="AF612" t="inlineStr">
        <is>
          <t>https://m.media-amazon.com/images/I/4173qu0G+XL.jpg;https://m.media-amazon.com/images/I/31wf50a9twL.jpg;https://m.media-amazon.com/images/I/31SOnZBz-6L.jpg;https://m.media-amazon.com/images/I/41Pp5a2762L.jpg;https://m.media-amazon.com/images/I/41EM77A5uzL.jpg;https://m.media-amazon.com/images/I/31CJp89M0BL.jpg;https://m.media-amazon.com/images/I/31SUryRv4qL.jpg;https://m.media-amazon.com/images/I/31dJkk8X5DL.jpg;https://m.media-amazon.com/images/I/41KE8q5oHzL.jpg;https://m.media-amazon.com/images/I/41MYLkBTsvL.jpg</t>
        </is>
      </c>
      <c r="AG612"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3">
      <c r="A613" t="inlineStr">
        <is>
          <t>com</t>
        </is>
      </c>
      <c r="B613" t="inlineStr">
        <is>
          <t>B09VCMHXPC</t>
        </is>
      </c>
      <c r="C613" t="inlineStr">
        <is>
          <t>adidas Women's Terrex Eastrail 2 Sneaker, Grey/Dash Grey/Mint Ton, 6</t>
        </is>
      </c>
      <c r="D613" t="n">
        <v>66.95</v>
      </c>
      <c r="E613" t="n">
        <v>66.95</v>
      </c>
      <c r="F613" t="n">
        <v>817316</v>
      </c>
      <c r="G613" t="n">
        <v>484097</v>
      </c>
      <c r="H613" t="n">
        <v>98.43000000000001</v>
      </c>
      <c r="I613" t="n">
        <v>98.43000000000001</v>
      </c>
      <c r="J613" t="n">
        <v>0</v>
      </c>
      <c r="K613" t="n">
        <v>1</v>
      </c>
      <c r="L613" t="n">
        <v>3</v>
      </c>
      <c r="M613" t="n">
        <v>3</v>
      </c>
      <c r="N613" t="n">
        <v>4</v>
      </c>
      <c r="O613" t="n">
        <v>1</v>
      </c>
      <c r="P613" t="n">
        <v>59</v>
      </c>
      <c r="Q613" t="n">
        <v>14</v>
      </c>
      <c r="R613" t="n">
        <v>48</v>
      </c>
      <c r="S613" t="inlineStr">
        <is>
          <t>B0CMTWVSN8</t>
        </is>
      </c>
      <c r="U613" t="n">
        <v>1.75928676</v>
      </c>
      <c r="V613" t="n">
        <v>7.62</v>
      </c>
      <c r="W613" t="inlineStr"/>
      <c r="X613" t="inlineStr">
        <is>
          <t>195748952350</t>
        </is>
      </c>
      <c r="Y613" t="inlineStr">
        <is>
          <t>HQ0936</t>
        </is>
      </c>
      <c r="Z613" t="inlineStr">
        <is>
          <t>LTG30</t>
        </is>
      </c>
      <c r="AA613" t="inlineStr">
        <is>
          <t>Grey/Dash Grey/Mint Ton</t>
        </is>
      </c>
      <c r="AB613" t="inlineStr">
        <is>
          <t>0195748952350</t>
        </is>
      </c>
      <c r="AC613" t="inlineStr">
        <is>
          <t>no Amazon offer exists</t>
        </is>
      </c>
      <c r="AD613" t="inlineStr">
        <is>
          <t>adidas</t>
        </is>
      </c>
      <c r="AE613" t="inlineStr">
        <is>
          <t>6</t>
        </is>
      </c>
      <c r="AF613" t="inlineStr">
        <is>
          <t>https://m.media-amazon.com/images/I/4173qu0G+XL.jpg;https://m.media-amazon.com/images/I/31wf50a9twL.jpg;https://m.media-amazon.com/images/I/31SOnZBz-6L.jpg;https://m.media-amazon.com/images/I/41Pp5a2762L.jpg;https://m.media-amazon.com/images/I/41EM77A5uzL.jpg;https://m.media-amazon.com/images/I/31CJp89M0BL.jpg;https://m.media-amazon.com/images/I/31SUryRv4qL.jpg;https://m.media-amazon.com/images/I/31dJkk8X5DL.jpg;https://m.media-amazon.com/images/I/41KE8q5oHzL.jpg;https://m.media-amazon.com/images/I/41MYLkBTsvL.jpg</t>
        </is>
      </c>
      <c r="AG613"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4">
      <c r="A614" t="inlineStr">
        <is>
          <t>com</t>
        </is>
      </c>
      <c r="B614" t="inlineStr">
        <is>
          <t>B09VCMMGZD</t>
        </is>
      </c>
      <c r="C614" t="inlineStr">
        <is>
          <t>adidas Women's Terrex Eastrail 2 Sneaker, Grey/Dash Grey/Mint Ton, 6.5</t>
        </is>
      </c>
      <c r="D614" t="n">
        <v>79.98999999999999</v>
      </c>
      <c r="E614" t="n">
        <v>79.98999999999999</v>
      </c>
      <c r="F614" t="n">
        <v>871626</v>
      </c>
      <c r="G614" t="n">
        <v>494926</v>
      </c>
      <c r="H614" t="n">
        <v>80</v>
      </c>
      <c r="I614" t="n">
        <v>78.75</v>
      </c>
      <c r="J614" t="n">
        <v>0</v>
      </c>
      <c r="K614" t="n">
        <v>1</v>
      </c>
      <c r="L614" t="n">
        <v>3</v>
      </c>
      <c r="M614" t="n">
        <v>2</v>
      </c>
      <c r="N614" t="n">
        <v>4</v>
      </c>
      <c r="O614" t="n">
        <v>3</v>
      </c>
      <c r="P614" t="n">
        <v>59</v>
      </c>
      <c r="Q614" t="n">
        <v>14</v>
      </c>
      <c r="R614" t="n">
        <v>37</v>
      </c>
      <c r="S614" t="inlineStr">
        <is>
          <t>B0CMTWVSN8</t>
        </is>
      </c>
      <c r="U614" t="n">
        <v>1.79015144</v>
      </c>
      <c r="V614" t="n">
        <v>7.7</v>
      </c>
      <c r="W614" t="inlineStr"/>
      <c r="X614" t="inlineStr">
        <is>
          <t>195748952268</t>
        </is>
      </c>
      <c r="Y614" t="inlineStr">
        <is>
          <t>HQ0936</t>
        </is>
      </c>
      <c r="Z614" t="inlineStr">
        <is>
          <t>LTG30</t>
        </is>
      </c>
      <c r="AA614" t="inlineStr">
        <is>
          <t>Grey/Dash Grey/Mint Ton</t>
        </is>
      </c>
      <c r="AB614" t="inlineStr">
        <is>
          <t>0195748952268</t>
        </is>
      </c>
      <c r="AC614" t="inlineStr">
        <is>
          <t>no Amazon offer exists</t>
        </is>
      </c>
      <c r="AD614" t="inlineStr">
        <is>
          <t>adidas</t>
        </is>
      </c>
      <c r="AE614" t="inlineStr">
        <is>
          <t>6.5</t>
        </is>
      </c>
      <c r="AF614"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4"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5">
      <c r="A615" t="inlineStr">
        <is>
          <t>com</t>
        </is>
      </c>
      <c r="B615" t="inlineStr">
        <is>
          <t>B09VCN85XS</t>
        </is>
      </c>
      <c r="C615" t="inlineStr">
        <is>
          <t>adidas Women's Terrex Eastrail 2 Sneaker, Grey/Dash Grey/Mint Ton, 7</t>
        </is>
      </c>
      <c r="D615" t="n">
        <v>81</v>
      </c>
      <c r="E615" t="n">
        <v>81</v>
      </c>
      <c r="F615" t="n">
        <v>972258</v>
      </c>
      <c r="G615" t="n">
        <v>508504</v>
      </c>
      <c r="H615" t="n">
        <v>80.83</v>
      </c>
      <c r="I615" t="n">
        <v>74</v>
      </c>
      <c r="J615" t="n">
        <v>0.48</v>
      </c>
      <c r="K615" t="n">
        <v>1</v>
      </c>
      <c r="L615" t="n">
        <v>1</v>
      </c>
      <c r="M615" t="n">
        <v>1</v>
      </c>
      <c r="N615" t="n">
        <v>4</v>
      </c>
      <c r="O615" t="n">
        <v>10</v>
      </c>
      <c r="P615" t="n">
        <v>59</v>
      </c>
      <c r="Q615" t="n">
        <v>12</v>
      </c>
      <c r="R615" t="n">
        <v>39</v>
      </c>
      <c r="S615" t="inlineStr">
        <is>
          <t>B0CMTWVSN8</t>
        </is>
      </c>
      <c r="U615" t="n">
        <v>1.9400656</v>
      </c>
      <c r="V615" t="n">
        <v>7.7</v>
      </c>
      <c r="W615" t="inlineStr"/>
      <c r="X615" t="inlineStr">
        <is>
          <t>195748952305</t>
        </is>
      </c>
      <c r="Y615" t="inlineStr">
        <is>
          <t>HQ0936</t>
        </is>
      </c>
      <c r="Z615" t="inlineStr">
        <is>
          <t>LTG30</t>
        </is>
      </c>
      <c r="AA615" t="inlineStr">
        <is>
          <t>Grey/Dash Grey/Mint Ton</t>
        </is>
      </c>
      <c r="AB615" t="inlineStr">
        <is>
          <t>0195748952305</t>
        </is>
      </c>
      <c r="AC615" t="inlineStr">
        <is>
          <t>no Amazon offer exists</t>
        </is>
      </c>
      <c r="AD615" t="inlineStr">
        <is>
          <t>adidas</t>
        </is>
      </c>
      <c r="AE615" t="inlineStr">
        <is>
          <t>7</t>
        </is>
      </c>
      <c r="AF615"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5"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6">
      <c r="A616" t="inlineStr">
        <is>
          <t>com</t>
        </is>
      </c>
      <c r="B616" t="inlineStr">
        <is>
          <t>B09VCM8XC7</t>
        </is>
      </c>
      <c r="C616" t="inlineStr">
        <is>
          <t>adidas Women's Terrex Eastrail 2 Sneaker, Grey/Dash Grey/Mint Ton, 7.5</t>
        </is>
      </c>
      <c r="D616" t="n">
        <v>71.98999999999999</v>
      </c>
      <c r="E616" t="n">
        <v>71.98999999999999</v>
      </c>
      <c r="F616" t="n">
        <v>859257</v>
      </c>
      <c r="G616" t="n">
        <v>481088</v>
      </c>
      <c r="H616" t="n">
        <v>92.90000000000001</v>
      </c>
      <c r="I616" t="n">
        <v>80.59</v>
      </c>
      <c r="J616" t="n">
        <v>0.08</v>
      </c>
      <c r="K616" t="n">
        <v>1</v>
      </c>
      <c r="L616" t="n">
        <v>2</v>
      </c>
      <c r="M616" t="n">
        <v>1</v>
      </c>
      <c r="N616" t="n">
        <v>4</v>
      </c>
      <c r="O616" t="n">
        <v>3</v>
      </c>
      <c r="P616" t="n">
        <v>59</v>
      </c>
      <c r="Q616" t="n">
        <v>21</v>
      </c>
      <c r="R616" t="n">
        <v>54</v>
      </c>
      <c r="S616" t="inlineStr">
        <is>
          <t>B0CMTWVSN8</t>
        </is>
      </c>
      <c r="U616" t="n">
        <v>1.9400656</v>
      </c>
      <c r="V616" t="n">
        <v>7.7</v>
      </c>
      <c r="W616" t="inlineStr"/>
      <c r="X616" t="inlineStr">
        <is>
          <t>195748952251</t>
        </is>
      </c>
      <c r="Y616" t="inlineStr">
        <is>
          <t>HQ0936</t>
        </is>
      </c>
      <c r="Z616" t="inlineStr">
        <is>
          <t>LTG30</t>
        </is>
      </c>
      <c r="AA616" t="inlineStr">
        <is>
          <t>Grey/Dash Grey/Mint Ton</t>
        </is>
      </c>
      <c r="AB616" t="inlineStr">
        <is>
          <t>0195748952251</t>
        </is>
      </c>
      <c r="AC616" t="inlineStr">
        <is>
          <t>no Amazon offer exists</t>
        </is>
      </c>
      <c r="AD616" t="inlineStr">
        <is>
          <t>adidas</t>
        </is>
      </c>
      <c r="AE616" t="inlineStr">
        <is>
          <t>7.5</t>
        </is>
      </c>
      <c r="AF616"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6"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7">
      <c r="A617" t="inlineStr">
        <is>
          <t>com</t>
        </is>
      </c>
      <c r="B617" t="inlineStr">
        <is>
          <t>B09VCLZRGX</t>
        </is>
      </c>
      <c r="C617" t="inlineStr">
        <is>
          <t>adidas Women's Terrex Eastrail 2 Sneaker, Grey/Dash Grey/Mint Ton, 8</t>
        </is>
      </c>
      <c r="D617" t="n">
        <v>80.64</v>
      </c>
      <c r="E617" t="n">
        <v>80.64</v>
      </c>
      <c r="F617" t="n">
        <v>685078</v>
      </c>
      <c r="G617" t="n">
        <v>476528</v>
      </c>
      <c r="H617" t="n">
        <v>80.3</v>
      </c>
      <c r="I617" t="n">
        <v>75.95999999999999</v>
      </c>
      <c r="J617" t="n">
        <v>0.49</v>
      </c>
      <c r="K617" t="n">
        <v>0.82</v>
      </c>
      <c r="L617" t="n">
        <v>2</v>
      </c>
      <c r="N617" t="n">
        <v>4</v>
      </c>
      <c r="O617" t="n">
        <v>6</v>
      </c>
      <c r="P617" t="n">
        <v>59</v>
      </c>
      <c r="Q617" t="n">
        <v>12</v>
      </c>
      <c r="R617" t="n">
        <v>35</v>
      </c>
      <c r="S617" t="inlineStr">
        <is>
          <t>B0CMTWVSN8</t>
        </is>
      </c>
      <c r="U617" t="n">
        <v>1.984158</v>
      </c>
      <c r="V617" t="n">
        <v>7.62</v>
      </c>
      <c r="W617" t="n">
        <v>12.1</v>
      </c>
      <c r="X617" t="inlineStr">
        <is>
          <t>195748952336</t>
        </is>
      </c>
      <c r="Y617" t="inlineStr">
        <is>
          <t>HQ0936</t>
        </is>
      </c>
      <c r="Z617" t="inlineStr">
        <is>
          <t>LTG30</t>
        </is>
      </c>
      <c r="AA617" t="inlineStr">
        <is>
          <t>Grey/Dash Grey/Mint Ton</t>
        </is>
      </c>
      <c r="AB617" t="inlineStr">
        <is>
          <t>0195748952336</t>
        </is>
      </c>
      <c r="AC617" t="inlineStr">
        <is>
          <t>Amazon offer is back-ordered</t>
        </is>
      </c>
      <c r="AD617" t="inlineStr">
        <is>
          <t>adidas</t>
        </is>
      </c>
      <c r="AE617" t="inlineStr">
        <is>
          <t>8</t>
        </is>
      </c>
      <c r="AF617"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7"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8">
      <c r="A618" t="inlineStr">
        <is>
          <t>com</t>
        </is>
      </c>
      <c r="B618" t="inlineStr">
        <is>
          <t>B09VCM72XL</t>
        </is>
      </c>
      <c r="C618" t="inlineStr">
        <is>
          <t>adidas Women's Terrex Eastrail 2 Sneaker, Grey/Dash Grey/Mint Ton, 8.5</t>
        </is>
      </c>
      <c r="D618" t="n">
        <v>64.45999999999999</v>
      </c>
      <c r="E618" t="n">
        <v>49.51</v>
      </c>
      <c r="F618" t="n">
        <v>853786</v>
      </c>
      <c r="G618" t="n">
        <v>609103</v>
      </c>
      <c r="H618" t="n">
        <v>68.90000000000001</v>
      </c>
      <c r="I618" t="n">
        <v>71.53</v>
      </c>
      <c r="J618" t="n">
        <v>0.03</v>
      </c>
      <c r="K618" t="n">
        <v>0.06</v>
      </c>
      <c r="L618" t="n">
        <v>5</v>
      </c>
      <c r="M618" t="n">
        <v>6</v>
      </c>
      <c r="N618" t="n">
        <v>4.2</v>
      </c>
      <c r="O618" t="n">
        <v>6</v>
      </c>
      <c r="P618" t="n">
        <v>33</v>
      </c>
      <c r="Q618" t="n">
        <v>24</v>
      </c>
      <c r="R618" t="n">
        <v>74</v>
      </c>
      <c r="S618" t="inlineStr">
        <is>
          <t>B0CMXTPLC8</t>
        </is>
      </c>
      <c r="U618" t="n">
        <v>2.0282504</v>
      </c>
      <c r="V618" t="n">
        <v>7.7</v>
      </c>
      <c r="W618" t="n">
        <v>9.67</v>
      </c>
      <c r="X618" t="inlineStr">
        <is>
          <t>195748952343</t>
        </is>
      </c>
      <c r="Y618" t="inlineStr">
        <is>
          <t>HQ0936</t>
        </is>
      </c>
      <c r="Z618" t="inlineStr">
        <is>
          <t>LTG30</t>
        </is>
      </c>
      <c r="AA618" t="inlineStr">
        <is>
          <t>Grey/Dash Grey/Mint Ton</t>
        </is>
      </c>
      <c r="AB618" t="inlineStr">
        <is>
          <t>0195748952343</t>
        </is>
      </c>
      <c r="AC618" t="inlineStr">
        <is>
          <t>Amazon offer is in stock and shippable</t>
        </is>
      </c>
      <c r="AD618" t="inlineStr">
        <is>
          <t>adidas</t>
        </is>
      </c>
      <c r="AE618" t="inlineStr">
        <is>
          <t>8.5</t>
        </is>
      </c>
      <c r="AF618"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8"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19">
      <c r="A619" t="inlineStr">
        <is>
          <t>com</t>
        </is>
      </c>
      <c r="B619" t="inlineStr">
        <is>
          <t>B09VCM6NCH</t>
        </is>
      </c>
      <c r="C619" t="inlineStr">
        <is>
          <t>adidas Women's Terrex Eastrail 2 Sneaker, Grey/Dash Grey/Mint Ton, 9</t>
        </is>
      </c>
      <c r="D619" t="n">
        <v>39.98</v>
      </c>
      <c r="E619" t="n">
        <v>39.98</v>
      </c>
      <c r="F619" t="n">
        <v>871626</v>
      </c>
      <c r="G619" t="n">
        <v>480136</v>
      </c>
      <c r="H619" t="n">
        <v>60.12</v>
      </c>
      <c r="I619" t="n">
        <v>65.93000000000001</v>
      </c>
      <c r="J619" t="n">
        <v>0</v>
      </c>
      <c r="K619" t="n">
        <v>0</v>
      </c>
      <c r="L619" t="n">
        <v>3</v>
      </c>
      <c r="M619" t="n">
        <v>3</v>
      </c>
      <c r="N619" t="n">
        <v>4</v>
      </c>
      <c r="O619" t="n">
        <v>6</v>
      </c>
      <c r="P619" t="n">
        <v>59</v>
      </c>
      <c r="Q619" t="n">
        <v>22</v>
      </c>
      <c r="R619" t="n">
        <v>60</v>
      </c>
      <c r="S619" t="inlineStr">
        <is>
          <t>B0CMTWVSN8</t>
        </is>
      </c>
      <c r="U619" t="n">
        <v>2.07013818</v>
      </c>
      <c r="V619" t="n">
        <v>7.7</v>
      </c>
      <c r="W619" t="n">
        <v>6</v>
      </c>
      <c r="X619" t="inlineStr">
        <is>
          <t>195748952275</t>
        </is>
      </c>
      <c r="Y619" t="inlineStr">
        <is>
          <t>HQ0936</t>
        </is>
      </c>
      <c r="Z619" t="inlineStr">
        <is>
          <t>LTG30</t>
        </is>
      </c>
      <c r="AA619" t="inlineStr">
        <is>
          <t>Grey/Dash Grey/Mint Ton</t>
        </is>
      </c>
      <c r="AB619" t="inlineStr">
        <is>
          <t>0195748952275</t>
        </is>
      </c>
      <c r="AC619" t="inlineStr">
        <is>
          <t>Amazon offer is in stock and shippable</t>
        </is>
      </c>
      <c r="AD619" t="inlineStr">
        <is>
          <t>adidas</t>
        </is>
      </c>
      <c r="AE619" t="inlineStr">
        <is>
          <t>9</t>
        </is>
      </c>
      <c r="AF619"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19"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20">
      <c r="A620" t="inlineStr">
        <is>
          <t>com</t>
        </is>
      </c>
      <c r="B620" t="inlineStr">
        <is>
          <t>B09VCPM439</t>
        </is>
      </c>
      <c r="C620" t="inlineStr">
        <is>
          <t>adidas Women's Terrex Eastrail 2 Sneaker, Grey/Dash Grey/Mint Ton, 9.5</t>
        </is>
      </c>
      <c r="D620" t="n">
        <v>80.64</v>
      </c>
      <c r="E620" t="n">
        <v>80.64</v>
      </c>
      <c r="F620" t="n">
        <v>887642</v>
      </c>
      <c r="G620" t="n">
        <v>487746</v>
      </c>
      <c r="H620" t="n">
        <v>70.7</v>
      </c>
      <c r="I620" t="n">
        <v>71.28</v>
      </c>
      <c r="J620" t="n">
        <v>0</v>
      </c>
      <c r="K620" t="n">
        <v>0</v>
      </c>
      <c r="L620" t="n">
        <v>4</v>
      </c>
      <c r="M620" t="n">
        <v>5</v>
      </c>
      <c r="N620" t="n">
        <v>4</v>
      </c>
      <c r="O620" t="n">
        <v>0</v>
      </c>
      <c r="P620" t="n">
        <v>59</v>
      </c>
      <c r="Q620" t="n">
        <v>18</v>
      </c>
      <c r="R620" t="n">
        <v>57</v>
      </c>
      <c r="S620" t="inlineStr">
        <is>
          <t>B0CMTWVSN8</t>
        </is>
      </c>
      <c r="U620" t="n">
        <v>2.12084444</v>
      </c>
      <c r="V620" t="n">
        <v>7.94</v>
      </c>
      <c r="W620" t="n">
        <v>12.1</v>
      </c>
      <c r="X620" t="inlineStr">
        <is>
          <t>195748952282</t>
        </is>
      </c>
      <c r="Y620" t="inlineStr">
        <is>
          <t>HQ0936</t>
        </is>
      </c>
      <c r="Z620" t="inlineStr">
        <is>
          <t>LTG30</t>
        </is>
      </c>
      <c r="AA620" t="inlineStr">
        <is>
          <t>Grey/Dash Grey/Mint Ton</t>
        </is>
      </c>
      <c r="AB620" t="inlineStr">
        <is>
          <t>0195748952282</t>
        </is>
      </c>
      <c r="AC620" t="inlineStr">
        <is>
          <t>Amazon offer is in stock and shippable</t>
        </is>
      </c>
      <c r="AD620" t="inlineStr">
        <is>
          <t>adidas</t>
        </is>
      </c>
      <c r="AE620" t="inlineStr">
        <is>
          <t>9.5</t>
        </is>
      </c>
      <c r="AF620" t="inlineStr">
        <is>
          <t>https://m.media-amazon.com/images/I/4173qu0G+XL.jpg;https://m.media-amazon.com/images/I/31wf50a9twL.jpg;https://m.media-amazon.com/images/I/31SOnZBz-6L.jpg;https://m.media-amazon.com/images/I/41Pp5a2762L.jpg;https://m.media-amazon.com/images/I/41EM77A5uzL.jpg;https://m.media-amazon.com/images/I/31CJp89M0BL.jpg;https://m.media-amazon.com/images/I/31SUryRv4qL.jpg;https://m.media-amazon.com/images/I/31dJkk8X5DL.jpg;https://m.media-amazon.com/images/I/41KE8q5oHzL.jpg;https://m.media-amazon.com/images/I/41MYLkBTsvL.jpg</t>
        </is>
      </c>
      <c r="AG620"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21">
      <c r="A621" t="inlineStr">
        <is>
          <t>com</t>
        </is>
      </c>
      <c r="B621" t="inlineStr">
        <is>
          <t>B09VCMMNMH</t>
        </is>
      </c>
      <c r="C621" t="inlineStr">
        <is>
          <t>adidas Women's Terrex Eastrail 2 Sneaker, Grey/Dash Grey/Mint Ton, 10</t>
        </is>
      </c>
      <c r="D621" t="n">
        <v>41</v>
      </c>
      <c r="E621" t="n">
        <v>41</v>
      </c>
      <c r="F621" t="n">
        <v>887642</v>
      </c>
      <c r="G621" t="n">
        <v>491406</v>
      </c>
      <c r="H621" t="n">
        <v>66.02</v>
      </c>
      <c r="I621" t="n">
        <v>68.55</v>
      </c>
      <c r="J621" t="n">
        <v>0</v>
      </c>
      <c r="K621" t="n">
        <v>0</v>
      </c>
      <c r="L621" t="n">
        <v>4</v>
      </c>
      <c r="M621" t="n">
        <v>5</v>
      </c>
      <c r="N621" t="n">
        <v>4</v>
      </c>
      <c r="O621" t="n">
        <v>3</v>
      </c>
      <c r="P621" t="n">
        <v>60</v>
      </c>
      <c r="Q621" t="n">
        <v>25</v>
      </c>
      <c r="R621" t="n">
        <v>73</v>
      </c>
      <c r="S621" t="inlineStr">
        <is>
          <t>B0CMTWVSN8</t>
        </is>
      </c>
      <c r="U621" t="n">
        <v>2.20021076</v>
      </c>
      <c r="V621" t="n">
        <v>7.86</v>
      </c>
      <c r="W621" t="n">
        <v>6.15</v>
      </c>
      <c r="X621" t="inlineStr">
        <is>
          <t>195748952312</t>
        </is>
      </c>
      <c r="Y621" t="inlineStr">
        <is>
          <t>HQ0936</t>
        </is>
      </c>
      <c r="Z621" t="inlineStr">
        <is>
          <t>LTG30</t>
        </is>
      </c>
      <c r="AA621" t="inlineStr">
        <is>
          <t>Grey/Dash Grey/Mint Ton</t>
        </is>
      </c>
      <c r="AB621" t="inlineStr">
        <is>
          <t>0195748952312</t>
        </is>
      </c>
      <c r="AC621" t="inlineStr">
        <is>
          <t>Amazon offer is in stock and shippable</t>
        </is>
      </c>
      <c r="AD621" t="inlineStr">
        <is>
          <t>adidas</t>
        </is>
      </c>
      <c r="AE621" t="inlineStr">
        <is>
          <t>10</t>
        </is>
      </c>
      <c r="AF621"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21"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22">
      <c r="A622" t="inlineStr">
        <is>
          <t>com</t>
        </is>
      </c>
      <c r="B622" t="inlineStr">
        <is>
          <t>B09VCNPC5P</t>
        </is>
      </c>
      <c r="C622" t="inlineStr">
        <is>
          <t>adidas Women's Terrex Eastrail 2 Sneaker, Grey/Dash Grey/Mint Ton, 11</t>
        </is>
      </c>
      <c r="D622" t="n">
        <v>80.64</v>
      </c>
      <c r="E622" t="n">
        <v>80.64</v>
      </c>
      <c r="F622" t="n">
        <v>871626</v>
      </c>
      <c r="G622" t="n">
        <v>502595</v>
      </c>
      <c r="H622" t="n">
        <v>74.73999999999999</v>
      </c>
      <c r="I622" t="n">
        <v>72.22</v>
      </c>
      <c r="J622" t="n">
        <v>0</v>
      </c>
      <c r="K622" t="n">
        <v>0</v>
      </c>
      <c r="L622" t="n">
        <v>3</v>
      </c>
      <c r="M622" t="n">
        <v>3</v>
      </c>
      <c r="N622" t="n">
        <v>4</v>
      </c>
      <c r="O622" t="n">
        <v>1</v>
      </c>
      <c r="P622" t="n">
        <v>59</v>
      </c>
      <c r="Q622" t="n">
        <v>18</v>
      </c>
      <c r="R622" t="n">
        <v>54</v>
      </c>
      <c r="S622" t="inlineStr">
        <is>
          <t>B0CMTWVSN8</t>
        </is>
      </c>
      <c r="U622" t="n">
        <v>2.23107544</v>
      </c>
      <c r="V622" t="n">
        <v>7.86</v>
      </c>
      <c r="W622" t="n">
        <v>12.1</v>
      </c>
      <c r="X622" t="inlineStr">
        <is>
          <t>195748952299</t>
        </is>
      </c>
      <c r="Y622" t="inlineStr">
        <is>
          <t>HQ0936</t>
        </is>
      </c>
      <c r="Z622" t="inlineStr">
        <is>
          <t>LTG30</t>
        </is>
      </c>
      <c r="AA622" t="inlineStr">
        <is>
          <t>Grey/Dash Grey/Mint Ton</t>
        </is>
      </c>
      <c r="AB622" t="inlineStr">
        <is>
          <t>0195748952299</t>
        </is>
      </c>
      <c r="AC622" t="inlineStr">
        <is>
          <t>Amazon offer is in stock and shippable</t>
        </is>
      </c>
      <c r="AD622" t="inlineStr">
        <is>
          <t>adidas</t>
        </is>
      </c>
      <c r="AE622" t="inlineStr">
        <is>
          <t>11</t>
        </is>
      </c>
      <c r="AF622" t="inlineStr">
        <is>
          <t>https://m.media-amazon.com/images/I/81LoH45d9BL.jpg;https://m.media-amazon.com/images/I/51RUkWpdycL.jpg;https://m.media-amazon.com/images/I/51o4ybsIoCL.jpg;https://m.media-amazon.com/images/I/619ybPVQ3RL.jpg;https://m.media-amazon.com/images/I/51OqYJoSKEL.jpg;https://m.media-amazon.com/images/I/61sOzzvWlGL.jpg;https://m.media-amazon.com/images/I/516oKQuYzHL.jpg;https://m.media-amazon.com/images/I/51Vj2l9qSJL.jpg;https://m.media-amazon.com/images/I/611pMfNwK4L.jpg;https://m.media-amazon.com/images/I/41MYLkBTsvL.jpg</t>
        </is>
      </c>
      <c r="AG622" t="inlineStr">
        <is>
          <t>Description
These women's adidas hiking shoes are lightweight, durable and comfortable right out of the box, so you'll never miss an opportunity to hit the trail. The rugged Traxion outsole offers maximum grip in all directions and the mesh upper helps keep your feet cool for the long haul.</t>
        </is>
      </c>
    </row>
    <row r="623">
      <c r="A623" t="inlineStr">
        <is>
          <t>com</t>
        </is>
      </c>
      <c r="B623" t="inlineStr">
        <is>
          <t>B0BTZBDXGF</t>
        </is>
      </c>
      <c r="C623" t="inlineStr">
        <is>
          <t>adidas Women's Kaptir Flow Sneaker</t>
        </is>
      </c>
      <c r="D623" t="n">
        <v>89.95</v>
      </c>
      <c r="E623" t="n">
        <v>89.95</v>
      </c>
      <c r="F623" t="n">
        <v>33858</v>
      </c>
      <c r="G623" t="n">
        <v>22917</v>
      </c>
      <c r="H623" t="n">
        <v>81.37</v>
      </c>
      <c r="I623" t="n">
        <v>84.3</v>
      </c>
      <c r="J623" t="n">
        <v>0</v>
      </c>
      <c r="K623" t="n">
        <v>0</v>
      </c>
      <c r="L623" t="n">
        <v>4</v>
      </c>
      <c r="M623" t="n">
        <v>6</v>
      </c>
      <c r="N623" t="n">
        <v>4.5</v>
      </c>
      <c r="O623" t="n">
        <v>1</v>
      </c>
      <c r="P623" t="n">
        <v>320</v>
      </c>
      <c r="Q623" t="n">
        <v>47</v>
      </c>
      <c r="R623" t="n">
        <v>124</v>
      </c>
      <c r="S623" t="inlineStr">
        <is>
          <t>B0CMXM3PD4</t>
        </is>
      </c>
      <c r="U623" t="n">
        <v>1.2676565</v>
      </c>
      <c r="V623" t="n">
        <v>7.54</v>
      </c>
      <c r="W623" t="n">
        <v>13.49</v>
      </c>
      <c r="X623" t="inlineStr">
        <is>
          <t>196471105792</t>
        </is>
      </c>
      <c r="Y623" t="inlineStr">
        <is>
          <t>NKH14</t>
        </is>
      </c>
      <c r="Z623" t="inlineStr">
        <is>
          <t>NKH14</t>
        </is>
      </c>
      <c r="AA623" t="inlineStr">
        <is>
          <t>Off White/Wonder Beige/Off White</t>
        </is>
      </c>
      <c r="AB623" t="inlineStr">
        <is>
          <t>0196471105792</t>
        </is>
      </c>
      <c r="AC623" t="inlineStr">
        <is>
          <t>Amazon offer is in stock and shippable</t>
        </is>
      </c>
      <c r="AD623" t="inlineStr">
        <is>
          <t>adidas</t>
        </is>
      </c>
      <c r="AE623" t="inlineStr">
        <is>
          <t>5</t>
        </is>
      </c>
      <c r="AF623" t="inlineStr">
        <is>
          <t>https://m.media-amazon.com/images/I/41HKqwlLI9L.jpg;https://m.media-amazon.com/images/I/31DHO7Xef1L.jpg;https://m.media-amazon.com/images/I/31VNcZePewL.jpg;https://m.media-amazon.com/images/I/31bPMIYbm7L.jpg;https://m.media-amazon.com/images/I/41E3N3iUO-L.jpg;https://m.media-amazon.com/images/I/31PeeSqnKML.jpg;https://m.media-amazon.com/images/I/314msX5HQcL.jpg</t>
        </is>
      </c>
      <c r="AG623"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4">
      <c r="A624" t="inlineStr">
        <is>
          <t>com</t>
        </is>
      </c>
      <c r="B624" t="inlineStr">
        <is>
          <t>B0BTZBDKGC</t>
        </is>
      </c>
      <c r="C624" t="inlineStr">
        <is>
          <t>adidas Women's Kaptir Flow Sneaker</t>
        </is>
      </c>
      <c r="D624" t="n">
        <v>89.36</v>
      </c>
      <c r="E624" t="n">
        <v>89.36</v>
      </c>
      <c r="F624" t="n">
        <v>482121</v>
      </c>
      <c r="G624" t="n">
        <v>474704</v>
      </c>
      <c r="H624" t="n">
        <v>86.70999999999999</v>
      </c>
      <c r="I624" t="n">
        <v>87.98999999999999</v>
      </c>
      <c r="J624" t="n">
        <v>0</v>
      </c>
      <c r="K624" t="n">
        <v>0</v>
      </c>
      <c r="L624" t="n">
        <v>5</v>
      </c>
      <c r="M624" t="n">
        <v>6</v>
      </c>
      <c r="N624" t="n">
        <v>4.5</v>
      </c>
      <c r="O624" t="n">
        <v>1</v>
      </c>
      <c r="P624" t="n">
        <v>29</v>
      </c>
      <c r="Q624" t="n">
        <v>28</v>
      </c>
      <c r="R624" t="n">
        <v>72</v>
      </c>
      <c r="S624" t="inlineStr">
        <is>
          <t>B0DJDKN1L7</t>
        </is>
      </c>
      <c r="U624" t="n">
        <v>1.2566334</v>
      </c>
      <c r="V624" t="n">
        <v>7.54</v>
      </c>
      <c r="W624" t="n">
        <v>13.4</v>
      </c>
      <c r="X624" t="inlineStr">
        <is>
          <t>196471109462</t>
        </is>
      </c>
      <c r="Y624" t="inlineStr">
        <is>
          <t>NKH14</t>
        </is>
      </c>
      <c r="Z624" t="inlineStr">
        <is>
          <t>NKH14</t>
        </is>
      </c>
      <c r="AA624" t="inlineStr">
        <is>
          <t>Off White/Wonder Beige/Off White</t>
        </is>
      </c>
      <c r="AB624" t="inlineStr">
        <is>
          <t>0196471109462</t>
        </is>
      </c>
      <c r="AC624" t="inlineStr">
        <is>
          <t>Amazon offer is in stock and shippable</t>
        </is>
      </c>
      <c r="AD624" t="inlineStr">
        <is>
          <t>adidas</t>
        </is>
      </c>
      <c r="AE624" t="inlineStr">
        <is>
          <t>5.5</t>
        </is>
      </c>
      <c r="AF624" t="inlineStr">
        <is>
          <t>https://m.media-amazon.com/images/I/41HKqwlLI9L.jpg;https://m.media-amazon.com/images/I/31DHO7Xef1L.jpg;https://m.media-amazon.com/images/I/31VNcZePewL.jpg;https://m.media-amazon.com/images/I/31bPMIYbm7L.jpg;https://m.media-amazon.com/images/I/41E3N3iUO-L.jpg;https://m.media-amazon.com/images/I/31PeeSqnKML.jpg;https://m.media-amazon.com/images/I/314msX5HQcL.jpg</t>
        </is>
      </c>
      <c r="AG624"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5">
      <c r="A625" t="inlineStr">
        <is>
          <t>com</t>
        </is>
      </c>
      <c r="B625" t="inlineStr">
        <is>
          <t>B0BTZ9RD4K</t>
        </is>
      </c>
      <c r="C625" t="inlineStr">
        <is>
          <t>adidas Women's Kaptir Flow Sneaker</t>
        </is>
      </c>
      <c r="D625" t="n">
        <v>68.98</v>
      </c>
      <c r="E625" t="n">
        <v>68.98</v>
      </c>
      <c r="F625" t="n">
        <v>482121</v>
      </c>
      <c r="G625" t="n">
        <v>349168</v>
      </c>
      <c r="H625" t="n">
        <v>73.05</v>
      </c>
      <c r="I625" t="n">
        <v>77.39</v>
      </c>
      <c r="J625" t="n">
        <v>0</v>
      </c>
      <c r="K625" t="n">
        <v>0</v>
      </c>
      <c r="L625" t="n">
        <v>9</v>
      </c>
      <c r="M625" t="n">
        <v>11</v>
      </c>
      <c r="N625" t="n">
        <v>4.5</v>
      </c>
      <c r="O625" t="n">
        <v>2</v>
      </c>
      <c r="P625" t="n">
        <v>29</v>
      </c>
      <c r="Q625" t="n">
        <v>28</v>
      </c>
      <c r="R625" t="n">
        <v>88</v>
      </c>
      <c r="S625" t="inlineStr">
        <is>
          <t>B0DJDKN1L7</t>
        </is>
      </c>
      <c r="U625" t="n">
        <v>1.3337951</v>
      </c>
      <c r="V625" t="n">
        <v>7.54</v>
      </c>
      <c r="W625" t="n">
        <v>10.35</v>
      </c>
      <c r="X625" t="inlineStr">
        <is>
          <t>196471105778</t>
        </is>
      </c>
      <c r="Y625" t="inlineStr">
        <is>
          <t>NKH14</t>
        </is>
      </c>
      <c r="Z625" t="inlineStr">
        <is>
          <t>NKH14</t>
        </is>
      </c>
      <c r="AA625" t="inlineStr">
        <is>
          <t>Off White/Wonder Beige/Off White</t>
        </is>
      </c>
      <c r="AB625" t="inlineStr">
        <is>
          <t>0196471105778</t>
        </is>
      </c>
      <c r="AC625" t="inlineStr">
        <is>
          <t>Amazon offer is in stock and shippable</t>
        </is>
      </c>
      <c r="AD625" t="inlineStr">
        <is>
          <t>adidas</t>
        </is>
      </c>
      <c r="AE625" t="inlineStr">
        <is>
          <t>6</t>
        </is>
      </c>
      <c r="AF625"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25"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6">
      <c r="A626" t="inlineStr">
        <is>
          <t>com</t>
        </is>
      </c>
      <c r="B626" t="inlineStr">
        <is>
          <t>B0BTZCHQPZ</t>
        </is>
      </c>
      <c r="C626" t="inlineStr">
        <is>
          <t>adidas Women's Kaptir Flow Sneaker</t>
        </is>
      </c>
      <c r="D626" t="n">
        <v>79.98999999999999</v>
      </c>
      <c r="E626" t="n">
        <v>79.83</v>
      </c>
      <c r="F626" t="n">
        <v>33858</v>
      </c>
      <c r="G626" t="n">
        <v>23011</v>
      </c>
      <c r="H626" t="n">
        <v>74.91</v>
      </c>
      <c r="I626" t="n">
        <v>77.59999999999999</v>
      </c>
      <c r="J626" t="n">
        <v>0</v>
      </c>
      <c r="K626" t="n">
        <v>0</v>
      </c>
      <c r="L626" t="n">
        <v>8</v>
      </c>
      <c r="M626" t="n">
        <v>10</v>
      </c>
      <c r="N626" t="n">
        <v>4.5</v>
      </c>
      <c r="O626" t="n">
        <v>4</v>
      </c>
      <c r="P626" t="n">
        <v>320</v>
      </c>
      <c r="Q626" t="n">
        <v>48</v>
      </c>
      <c r="R626" t="n">
        <v>132</v>
      </c>
      <c r="S626" t="inlineStr">
        <is>
          <t>B0CMXM3PD4</t>
        </is>
      </c>
      <c r="U626" t="n">
        <v>1.3007258</v>
      </c>
      <c r="V626" t="n">
        <v>7.54</v>
      </c>
      <c r="W626" t="n">
        <v>12</v>
      </c>
      <c r="X626" t="inlineStr">
        <is>
          <t>196471109448</t>
        </is>
      </c>
      <c r="Y626" t="inlineStr">
        <is>
          <t>NKH14</t>
        </is>
      </c>
      <c r="Z626" t="inlineStr">
        <is>
          <t>NKH14</t>
        </is>
      </c>
      <c r="AA626" t="inlineStr">
        <is>
          <t>Off White/Wonder Beige/Off White</t>
        </is>
      </c>
      <c r="AB626" t="inlineStr">
        <is>
          <t>0196471109448</t>
        </is>
      </c>
      <c r="AC626" t="inlineStr">
        <is>
          <t>Amazon offer is in stock and shippable</t>
        </is>
      </c>
      <c r="AD626" t="inlineStr">
        <is>
          <t>adidas</t>
        </is>
      </c>
      <c r="AE626" t="inlineStr">
        <is>
          <t>6.5</t>
        </is>
      </c>
      <c r="AF626"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26"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7">
      <c r="A627" t="inlineStr">
        <is>
          <t>com</t>
        </is>
      </c>
      <c r="B627" t="inlineStr">
        <is>
          <t>B0BTZ9FM8T</t>
        </is>
      </c>
      <c r="C627" t="inlineStr">
        <is>
          <t>adidas Women's Kaptir Flow Sneaker</t>
        </is>
      </c>
      <c r="D627" t="n">
        <v>79.98999999999999</v>
      </c>
      <c r="E627" t="n">
        <v>60</v>
      </c>
      <c r="F627" t="n">
        <v>33858</v>
      </c>
      <c r="G627" t="n">
        <v>22880</v>
      </c>
      <c r="H627" t="n">
        <v>72.09999999999999</v>
      </c>
      <c r="I627" t="n">
        <v>77.12</v>
      </c>
      <c r="J627" t="n">
        <v>0</v>
      </c>
      <c r="K627" t="n">
        <v>0</v>
      </c>
      <c r="L627" t="n">
        <v>8</v>
      </c>
      <c r="M627" t="n">
        <v>11</v>
      </c>
      <c r="N627" t="n">
        <v>4.5</v>
      </c>
      <c r="O627" t="n">
        <v>6</v>
      </c>
      <c r="P627" t="n">
        <v>320</v>
      </c>
      <c r="Q627" t="n">
        <v>54</v>
      </c>
      <c r="R627" t="n">
        <v>138</v>
      </c>
      <c r="S627" t="inlineStr">
        <is>
          <t>B0CMXM3PD4</t>
        </is>
      </c>
      <c r="T627" t="n">
        <v>50</v>
      </c>
      <c r="U627" t="n">
        <v>1.4109568</v>
      </c>
      <c r="V627" t="n">
        <v>7.54</v>
      </c>
      <c r="W627" t="n">
        <v>12</v>
      </c>
      <c r="X627" t="inlineStr">
        <is>
          <t>196471105808</t>
        </is>
      </c>
      <c r="Y627" t="inlineStr">
        <is>
          <t>NKH14</t>
        </is>
      </c>
      <c r="Z627" t="inlineStr">
        <is>
          <t>NKH14</t>
        </is>
      </c>
      <c r="AA627" t="inlineStr">
        <is>
          <t>Off White/Wonder Beige/Off White</t>
        </is>
      </c>
      <c r="AB627" t="inlineStr">
        <is>
          <t>0196471105808</t>
        </is>
      </c>
      <c r="AC627" t="inlineStr">
        <is>
          <t>Amazon offer is in stock and shippable</t>
        </is>
      </c>
      <c r="AD627" t="inlineStr">
        <is>
          <t>adidas</t>
        </is>
      </c>
      <c r="AE627" t="inlineStr">
        <is>
          <t>7</t>
        </is>
      </c>
      <c r="AF627"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27"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8">
      <c r="A628" t="inlineStr">
        <is>
          <t>com</t>
        </is>
      </c>
      <c r="B628" t="inlineStr">
        <is>
          <t>B0BTZCGHDL</t>
        </is>
      </c>
      <c r="C628" t="inlineStr">
        <is>
          <t>adidas Women's Kaptir Flow Sneaker</t>
        </is>
      </c>
      <c r="D628" t="n">
        <v>79.98999999999999</v>
      </c>
      <c r="E628" t="n">
        <v>79.59</v>
      </c>
      <c r="F628" t="n">
        <v>33858</v>
      </c>
      <c r="G628" t="n">
        <v>23009</v>
      </c>
      <c r="H628" t="n">
        <v>72.86</v>
      </c>
      <c r="I628" t="n">
        <v>76.48999999999999</v>
      </c>
      <c r="J628" t="n">
        <v>0</v>
      </c>
      <c r="K628" t="n">
        <v>0</v>
      </c>
      <c r="L628" t="n">
        <v>9</v>
      </c>
      <c r="M628" t="n">
        <v>10</v>
      </c>
      <c r="N628" t="n">
        <v>4.5</v>
      </c>
      <c r="O628" t="n">
        <v>5</v>
      </c>
      <c r="P628" t="n">
        <v>320</v>
      </c>
      <c r="Q628" t="n">
        <v>55</v>
      </c>
      <c r="R628" t="n">
        <v>133</v>
      </c>
      <c r="S628" t="inlineStr">
        <is>
          <t>B0CMXM3PD4</t>
        </is>
      </c>
      <c r="T628" t="n">
        <v>50</v>
      </c>
      <c r="U628" t="n">
        <v>1.3999337</v>
      </c>
      <c r="V628" t="n">
        <v>7.86</v>
      </c>
      <c r="W628" t="n">
        <v>12</v>
      </c>
      <c r="X628" t="inlineStr">
        <is>
          <t>196471109424</t>
        </is>
      </c>
      <c r="Y628" t="inlineStr">
        <is>
          <t>NKH14</t>
        </is>
      </c>
      <c r="Z628" t="inlineStr">
        <is>
          <t>NKH14</t>
        </is>
      </c>
      <c r="AA628" t="inlineStr">
        <is>
          <t>Off White/Wonder Beige/Off White</t>
        </is>
      </c>
      <c r="AB628" t="inlineStr">
        <is>
          <t>0196471109424</t>
        </is>
      </c>
      <c r="AC628" t="inlineStr">
        <is>
          <t>Amazon offer is in stock and shippable</t>
        </is>
      </c>
      <c r="AD628" t="inlineStr">
        <is>
          <t>adidas</t>
        </is>
      </c>
      <c r="AE628" t="inlineStr">
        <is>
          <t>7.5</t>
        </is>
      </c>
      <c r="AF628"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28"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29">
      <c r="A629" t="inlineStr">
        <is>
          <t>com</t>
        </is>
      </c>
      <c r="B629" t="inlineStr">
        <is>
          <t>B0BTZBY5H7</t>
        </is>
      </c>
      <c r="C629" t="inlineStr">
        <is>
          <t>adidas Women's Kaptir Flow Sneaker</t>
        </is>
      </c>
      <c r="D629" t="n">
        <v>79.98999999999999</v>
      </c>
      <c r="E629" t="n">
        <v>76.04000000000001</v>
      </c>
      <c r="F629" t="n">
        <v>33858</v>
      </c>
      <c r="G629" t="n">
        <v>22936</v>
      </c>
      <c r="H629" t="n">
        <v>73.92</v>
      </c>
      <c r="I629" t="n">
        <v>76.31</v>
      </c>
      <c r="J629" t="n">
        <v>0</v>
      </c>
      <c r="K629" t="n">
        <v>0</v>
      </c>
      <c r="L629" t="n">
        <v>12</v>
      </c>
      <c r="M629" t="n">
        <v>15</v>
      </c>
      <c r="N629" t="n">
        <v>4.5</v>
      </c>
      <c r="O629" t="n">
        <v>9</v>
      </c>
      <c r="P629" t="n">
        <v>320</v>
      </c>
      <c r="Q629" t="n">
        <v>64</v>
      </c>
      <c r="R629" t="n">
        <v>153</v>
      </c>
      <c r="S629" t="inlineStr">
        <is>
          <t>B0CMXM3PD4</t>
        </is>
      </c>
      <c r="T629" t="n">
        <v>50</v>
      </c>
      <c r="U629" t="n">
        <v>1.51898318</v>
      </c>
      <c r="V629" t="n">
        <v>7.86</v>
      </c>
      <c r="W629" t="n">
        <v>12</v>
      </c>
      <c r="X629" t="inlineStr">
        <is>
          <t>196471105754</t>
        </is>
      </c>
      <c r="Y629" t="inlineStr">
        <is>
          <t>NKH14</t>
        </is>
      </c>
      <c r="Z629" t="inlineStr">
        <is>
          <t>NKH14</t>
        </is>
      </c>
      <c r="AA629" t="inlineStr">
        <is>
          <t>Off White/Wonder Beige/Off White</t>
        </is>
      </c>
      <c r="AB629" t="inlineStr">
        <is>
          <t>0196471105754</t>
        </is>
      </c>
      <c r="AC629" t="inlineStr">
        <is>
          <t>Amazon offer is in stock and shippable</t>
        </is>
      </c>
      <c r="AD629" t="inlineStr">
        <is>
          <t>adidas</t>
        </is>
      </c>
      <c r="AE629" t="inlineStr">
        <is>
          <t>8</t>
        </is>
      </c>
      <c r="AF629"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29"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0">
      <c r="A630" t="inlineStr">
        <is>
          <t>com</t>
        </is>
      </c>
      <c r="B630" t="inlineStr">
        <is>
          <t>B0BTZCT57L</t>
        </is>
      </c>
      <c r="C630" t="inlineStr">
        <is>
          <t>adidas Women's Kaptir Flow Sneaker</t>
        </is>
      </c>
      <c r="D630" t="n">
        <v>79.98999999999999</v>
      </c>
      <c r="E630" t="n">
        <v>79.98999999999999</v>
      </c>
      <c r="F630" t="n">
        <v>33858</v>
      </c>
      <c r="G630" t="n">
        <v>140619</v>
      </c>
      <c r="H630" t="n">
        <v>76.31</v>
      </c>
      <c r="I630" t="n">
        <v>78.15000000000001</v>
      </c>
      <c r="J630" t="n">
        <v>0</v>
      </c>
      <c r="K630" t="n">
        <v>0</v>
      </c>
      <c r="L630" t="n">
        <v>8</v>
      </c>
      <c r="M630" t="n">
        <v>10</v>
      </c>
      <c r="N630" t="n">
        <v>4.5</v>
      </c>
      <c r="O630" t="n">
        <v>5</v>
      </c>
      <c r="P630" t="n">
        <v>320</v>
      </c>
      <c r="Q630" t="n">
        <v>49</v>
      </c>
      <c r="R630" t="n">
        <v>117</v>
      </c>
      <c r="S630" t="inlineStr">
        <is>
          <t>B0CMXM3PD4</t>
        </is>
      </c>
      <c r="U630" t="n">
        <v>1.5101647</v>
      </c>
      <c r="V630" t="n">
        <v>8.02</v>
      </c>
      <c r="W630" t="n">
        <v>12</v>
      </c>
      <c r="X630" t="inlineStr">
        <is>
          <t>196471105747</t>
        </is>
      </c>
      <c r="Y630" t="inlineStr">
        <is>
          <t>NKH14</t>
        </is>
      </c>
      <c r="Z630" t="inlineStr">
        <is>
          <t>NKH14</t>
        </is>
      </c>
      <c r="AA630" t="inlineStr">
        <is>
          <t>Off White/Wonder Beige/Off White</t>
        </is>
      </c>
      <c r="AB630" t="inlineStr">
        <is>
          <t>0196471105747</t>
        </is>
      </c>
      <c r="AC630" t="inlineStr">
        <is>
          <t>Amazon offer is in stock and shippable</t>
        </is>
      </c>
      <c r="AD630" t="inlineStr">
        <is>
          <t>adidas</t>
        </is>
      </c>
      <c r="AE630" t="inlineStr">
        <is>
          <t>8.5</t>
        </is>
      </c>
      <c r="AF630"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30"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1">
      <c r="A631" t="inlineStr">
        <is>
          <t>com</t>
        </is>
      </c>
      <c r="B631" t="inlineStr">
        <is>
          <t>B0BTZ9LPVT</t>
        </is>
      </c>
      <c r="C631" t="inlineStr">
        <is>
          <t>adidas Women's Kaptir Flow Sneaker</t>
        </is>
      </c>
      <c r="D631" t="n">
        <v>79.98999999999999</v>
      </c>
      <c r="E631" t="n">
        <v>74.98999999999999</v>
      </c>
      <c r="F631" t="n">
        <v>33858</v>
      </c>
      <c r="G631" t="n">
        <v>146726</v>
      </c>
      <c r="H631" t="n">
        <v>76.81999999999999</v>
      </c>
      <c r="I631" t="n">
        <v>78.31999999999999</v>
      </c>
      <c r="J631" t="n">
        <v>0</v>
      </c>
      <c r="K631" t="n">
        <v>0</v>
      </c>
      <c r="L631" t="n">
        <v>9</v>
      </c>
      <c r="M631" t="n">
        <v>11</v>
      </c>
      <c r="N631" t="n">
        <v>4.5</v>
      </c>
      <c r="O631" t="n">
        <v>6</v>
      </c>
      <c r="P631" t="n">
        <v>320</v>
      </c>
      <c r="Q631" t="n">
        <v>56</v>
      </c>
      <c r="R631" t="n">
        <v>139</v>
      </c>
      <c r="S631" t="inlineStr">
        <is>
          <t>B0CMXM3PD4</t>
        </is>
      </c>
      <c r="U631" t="n">
        <v>1.5652802</v>
      </c>
      <c r="V631" t="n">
        <v>7.86</v>
      </c>
      <c r="W631" t="n">
        <v>12</v>
      </c>
      <c r="X631" t="inlineStr">
        <is>
          <t>196471105761</t>
        </is>
      </c>
      <c r="Y631" t="inlineStr">
        <is>
          <t>NKH14</t>
        </is>
      </c>
      <c r="Z631" t="inlineStr">
        <is>
          <t>NKH14</t>
        </is>
      </c>
      <c r="AA631" t="inlineStr">
        <is>
          <t>Off White/Wonder Beige/Off White</t>
        </is>
      </c>
      <c r="AB631" t="inlineStr">
        <is>
          <t>0196471105761</t>
        </is>
      </c>
      <c r="AC631" t="inlineStr">
        <is>
          <t>Amazon offer is in stock and shippable</t>
        </is>
      </c>
      <c r="AD631" t="inlineStr">
        <is>
          <t>adidas</t>
        </is>
      </c>
      <c r="AE631" t="inlineStr">
        <is>
          <t>9</t>
        </is>
      </c>
      <c r="AF631"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31"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2">
      <c r="A632" t="inlineStr">
        <is>
          <t>com</t>
        </is>
      </c>
      <c r="B632" t="inlineStr">
        <is>
          <t>B0BTZ9Y8ZK</t>
        </is>
      </c>
      <c r="C632" t="inlineStr">
        <is>
          <t>adidas Women's Kaptir Flow Sneaker</t>
        </is>
      </c>
      <c r="D632" t="n">
        <v>79.2</v>
      </c>
      <c r="E632" t="n">
        <v>78.98999999999999</v>
      </c>
      <c r="F632" t="n">
        <v>28347</v>
      </c>
      <c r="G632" t="n">
        <v>167621</v>
      </c>
      <c r="H632" t="n">
        <v>78.43000000000001</v>
      </c>
      <c r="I632" t="n">
        <v>82.23</v>
      </c>
      <c r="J632" t="n">
        <v>0</v>
      </c>
      <c r="K632" t="n">
        <v>0</v>
      </c>
      <c r="L632" t="n">
        <v>8</v>
      </c>
      <c r="M632" t="n">
        <v>11</v>
      </c>
      <c r="N632" t="n">
        <v>4.5</v>
      </c>
      <c r="O632" t="n">
        <v>4</v>
      </c>
      <c r="P632" t="n">
        <v>320</v>
      </c>
      <c r="Q632" t="n">
        <v>43</v>
      </c>
      <c r="R632" t="n">
        <v>123</v>
      </c>
      <c r="S632" t="inlineStr">
        <is>
          <t>B0CMXM3PD4</t>
        </is>
      </c>
      <c r="U632" t="n">
        <v>1.5983495</v>
      </c>
      <c r="V632" t="n">
        <v>8.1</v>
      </c>
      <c r="W632" t="n">
        <v>11.88</v>
      </c>
      <c r="X632" t="inlineStr">
        <is>
          <t>196471105815</t>
        </is>
      </c>
      <c r="Y632" t="inlineStr">
        <is>
          <t>NKH14</t>
        </is>
      </c>
      <c r="Z632" t="inlineStr">
        <is>
          <t>NKH14</t>
        </is>
      </c>
      <c r="AA632" t="inlineStr">
        <is>
          <t>Off White/Wonder Beige/Off White</t>
        </is>
      </c>
      <c r="AB632" t="inlineStr">
        <is>
          <t>0196471105815</t>
        </is>
      </c>
      <c r="AC632" t="inlineStr">
        <is>
          <t>Amazon offer is in stock and shippable</t>
        </is>
      </c>
      <c r="AD632" t="inlineStr">
        <is>
          <t>adidas</t>
        </is>
      </c>
      <c r="AE632" t="inlineStr">
        <is>
          <t>9.5</t>
        </is>
      </c>
      <c r="AF632"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32"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3">
      <c r="A633" t="inlineStr">
        <is>
          <t>com</t>
        </is>
      </c>
      <c r="B633" t="inlineStr">
        <is>
          <t>B0BTZCQB2K</t>
        </is>
      </c>
      <c r="C633" t="inlineStr">
        <is>
          <t>adidas Women's Kaptir Flow Sneaker</t>
        </is>
      </c>
      <c r="D633" t="n">
        <v>79.98999999999999</v>
      </c>
      <c r="E633" t="n">
        <v>79.98999999999999</v>
      </c>
      <c r="F633" t="n">
        <v>31995</v>
      </c>
      <c r="G633" t="n">
        <v>22910</v>
      </c>
      <c r="H633" t="n">
        <v>75.94</v>
      </c>
      <c r="I633" t="n">
        <v>80.34</v>
      </c>
      <c r="J633" t="n">
        <v>0</v>
      </c>
      <c r="K633" t="n">
        <v>0</v>
      </c>
      <c r="L633" t="n">
        <v>7</v>
      </c>
      <c r="M633" t="n">
        <v>8</v>
      </c>
      <c r="N633" t="n">
        <v>4.5</v>
      </c>
      <c r="O633" t="n">
        <v>5</v>
      </c>
      <c r="P633" t="n">
        <v>320</v>
      </c>
      <c r="Q633" t="n">
        <v>41</v>
      </c>
      <c r="R633" t="n">
        <v>150</v>
      </c>
      <c r="S633" t="inlineStr">
        <is>
          <t>B0CMXM3PD4</t>
        </is>
      </c>
      <c r="U633" t="n">
        <v>1.6093726</v>
      </c>
      <c r="V633" t="n">
        <v>7.86</v>
      </c>
      <c r="W633" t="n">
        <v>12</v>
      </c>
      <c r="X633" t="inlineStr">
        <is>
          <t>196471105785</t>
        </is>
      </c>
      <c r="Y633" t="inlineStr">
        <is>
          <t>NKH14</t>
        </is>
      </c>
      <c r="Z633" t="inlineStr">
        <is>
          <t>NKH14</t>
        </is>
      </c>
      <c r="AA633" t="inlineStr">
        <is>
          <t>Off White/Wonder Beige/Off White</t>
        </is>
      </c>
      <c r="AB633" t="inlineStr">
        <is>
          <t>0196471105785</t>
        </is>
      </c>
      <c r="AC633" t="inlineStr">
        <is>
          <t>Amazon offer is in stock and shippable</t>
        </is>
      </c>
      <c r="AD633" t="inlineStr">
        <is>
          <t>adidas</t>
        </is>
      </c>
      <c r="AE633" t="inlineStr">
        <is>
          <t>10</t>
        </is>
      </c>
      <c r="AF633"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33"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4">
      <c r="A634" t="inlineStr">
        <is>
          <t>com</t>
        </is>
      </c>
      <c r="B634" t="inlineStr">
        <is>
          <t>B0BTZBWRJ3</t>
        </is>
      </c>
      <c r="C634" t="inlineStr">
        <is>
          <t>adidas Women's Kaptir Flow Sneaker</t>
        </is>
      </c>
      <c r="D634" t="n">
        <v>75.05</v>
      </c>
      <c r="E634" t="n">
        <v>75.04000000000001</v>
      </c>
      <c r="F634" t="n">
        <v>33858</v>
      </c>
      <c r="G634" t="n">
        <v>23171</v>
      </c>
      <c r="H634" t="n">
        <v>78.68000000000001</v>
      </c>
      <c r="I634" t="n">
        <v>82.92</v>
      </c>
      <c r="J634" t="n">
        <v>0</v>
      </c>
      <c r="K634" t="n">
        <v>0</v>
      </c>
      <c r="L634" t="n">
        <v>6</v>
      </c>
      <c r="M634" t="n">
        <v>9</v>
      </c>
      <c r="N634" t="n">
        <v>4.5</v>
      </c>
      <c r="O634" t="n">
        <v>2</v>
      </c>
      <c r="P634" t="n">
        <v>320</v>
      </c>
      <c r="Q634" t="n">
        <v>40</v>
      </c>
      <c r="R634" t="n">
        <v>111</v>
      </c>
      <c r="S634" t="inlineStr">
        <is>
          <t>B0CMXM3PD4</t>
        </is>
      </c>
      <c r="U634" t="n">
        <v>1.67992044</v>
      </c>
      <c r="V634" t="n">
        <v>7.94</v>
      </c>
      <c r="W634" t="n">
        <v>11.26</v>
      </c>
      <c r="X634" t="inlineStr">
        <is>
          <t>196471109455</t>
        </is>
      </c>
      <c r="Y634" t="inlineStr">
        <is>
          <t>NKH14</t>
        </is>
      </c>
      <c r="Z634" t="inlineStr">
        <is>
          <t>NKH14</t>
        </is>
      </c>
      <c r="AA634" t="inlineStr">
        <is>
          <t>Off White/Wonder Beige/Off White</t>
        </is>
      </c>
      <c r="AB634" t="inlineStr">
        <is>
          <t>0196471109455</t>
        </is>
      </c>
      <c r="AC634" t="inlineStr">
        <is>
          <t>Amazon offer is in stock and shippable</t>
        </is>
      </c>
      <c r="AD634" t="inlineStr">
        <is>
          <t>adidas</t>
        </is>
      </c>
      <c r="AE634" t="inlineStr">
        <is>
          <t>11</t>
        </is>
      </c>
      <c r="AF634" t="inlineStr">
        <is>
          <t>https://m.media-amazon.com/images/I/71TbTvFaqPL.jpg;https://m.media-amazon.com/images/I/71yTKjlk1HL.jpg;https://m.media-amazon.com/images/I/71EkLEaqjJL.jpg;https://m.media-amazon.com/images/I/712P3s2yU+L.jpg;https://m.media-amazon.com/images/I/81BYjA6ansL.jpg;https://m.media-amazon.com/images/I/71Mbm7PZyYL.jpg;https://m.media-amazon.com/images/I/71yDjOdcl1L.jpg</t>
        </is>
      </c>
      <c r="AG634" t="inlineStr">
        <is>
          <t>Description
These women's adidas shoes are perfectly proportioned and ultra-comfy. They're great for active days when you still want a stylish edge. The mesh upper is breathable and airy, while the Bounce and Cloudfoam cushioning keep your foot wrapped in comfort. The chunky rubber outsole completes the look.</t>
        </is>
      </c>
    </row>
    <row r="635">
      <c r="A635" t="inlineStr">
        <is>
          <t>com</t>
        </is>
      </c>
      <c r="B635" t="inlineStr">
        <is>
          <t>B07TR6GV3L</t>
        </is>
      </c>
      <c r="C635" t="inlineStr">
        <is>
          <t>PUMA Womens Prowl Slip On Cross Trainer, PUMA Womens black-PUMA Womens white, 5.5</t>
        </is>
      </c>
      <c r="D635" t="n">
        <v>32.5</v>
      </c>
      <c r="E635" t="n">
        <v>32.45</v>
      </c>
      <c r="F635" t="n">
        <v>17278</v>
      </c>
      <c r="G635" t="n">
        <v>48115</v>
      </c>
      <c r="H635" t="n">
        <v>48.38</v>
      </c>
      <c r="I635" t="n">
        <v>53.63</v>
      </c>
      <c r="J635" t="n">
        <v>0</v>
      </c>
      <c r="K635" t="n">
        <v>0</v>
      </c>
      <c r="L635" t="n">
        <v>3</v>
      </c>
      <c r="M635" t="n">
        <v>4</v>
      </c>
      <c r="N635" t="n">
        <v>4.6</v>
      </c>
      <c r="O635" t="n">
        <v>67</v>
      </c>
      <c r="P635" t="n">
        <v>2677</v>
      </c>
      <c r="Q635" t="n">
        <v>19</v>
      </c>
      <c r="R635" t="n">
        <v>53</v>
      </c>
      <c r="S635" t="inlineStr">
        <is>
          <t>B0DBTXP1PF</t>
        </is>
      </c>
      <c r="U635" t="n">
        <v>0.99648824</v>
      </c>
      <c r="V635" t="n">
        <v>7.03</v>
      </c>
      <c r="W635" t="n">
        <v>4.88</v>
      </c>
      <c r="X635" t="inlineStr">
        <is>
          <t>193525445323</t>
        </is>
      </c>
      <c r="Y635" t="inlineStr">
        <is>
          <t>19307801-001-5.5 M US</t>
        </is>
      </c>
      <c r="Z635" t="inlineStr">
        <is>
          <t>19307801</t>
        </is>
      </c>
      <c r="AA635" t="inlineStr">
        <is>
          <t>Black/White</t>
        </is>
      </c>
      <c r="AB635" t="inlineStr">
        <is>
          <t>0193525445323</t>
        </is>
      </c>
      <c r="AC635" t="inlineStr">
        <is>
          <t>Amazon offer is in stock and shippable</t>
        </is>
      </c>
      <c r="AD635" t="inlineStr">
        <is>
          <t>PUMA</t>
        </is>
      </c>
      <c r="AE635" t="inlineStr">
        <is>
          <t>5.5</t>
        </is>
      </c>
      <c r="AF635"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35" t="inlineStr">
        <is>
          <t>Description
PUMA Womens Prowl Slip On Cross Trainer</t>
        </is>
      </c>
    </row>
    <row r="636">
      <c r="A636" t="inlineStr">
        <is>
          <t>com</t>
        </is>
      </c>
      <c r="B636" t="inlineStr">
        <is>
          <t>B07TLXWVHN</t>
        </is>
      </c>
      <c r="C636" t="inlineStr">
        <is>
          <t>PUMA Womens Prowl Slip On Cross Trainer, PUMA Womens black-PUMA Womens white, 6</t>
        </is>
      </c>
      <c r="D636" t="n">
        <v>32.5</v>
      </c>
      <c r="E636" t="n">
        <v>32.5</v>
      </c>
      <c r="F636" t="n">
        <v>17278</v>
      </c>
      <c r="G636" t="n">
        <v>46203</v>
      </c>
      <c r="H636" t="n">
        <v>51.33</v>
      </c>
      <c r="I636" t="n">
        <v>55.71</v>
      </c>
      <c r="J636" t="n">
        <v>0.3</v>
      </c>
      <c r="K636" t="n">
        <v>0.45</v>
      </c>
      <c r="L636" t="n">
        <v>2</v>
      </c>
      <c r="M636" t="n">
        <v>2</v>
      </c>
      <c r="N636" t="n">
        <v>4.6</v>
      </c>
      <c r="O636" t="n">
        <v>102</v>
      </c>
      <c r="P636" t="n">
        <v>2677</v>
      </c>
      <c r="Q636" t="n">
        <v>52</v>
      </c>
      <c r="R636" t="n">
        <v>99</v>
      </c>
      <c r="S636" t="inlineStr">
        <is>
          <t>B0DBTXP1PF</t>
        </is>
      </c>
      <c r="T636" t="n">
        <v>50</v>
      </c>
      <c r="U636" t="n">
        <v>1.06042222</v>
      </c>
      <c r="V636" t="n">
        <v>6.61</v>
      </c>
      <c r="W636" t="n">
        <v>4.88</v>
      </c>
      <c r="X636" t="inlineStr">
        <is>
          <t>193525445491</t>
        </is>
      </c>
      <c r="Y636" t="inlineStr">
        <is>
          <t>19307801-001-6 M US</t>
        </is>
      </c>
      <c r="Z636" t="inlineStr">
        <is>
          <t>19307801</t>
        </is>
      </c>
      <c r="AA636" t="inlineStr">
        <is>
          <t>Black/White</t>
        </is>
      </c>
      <c r="AB636" t="inlineStr">
        <is>
          <t>0193525445491</t>
        </is>
      </c>
      <c r="AC636" t="inlineStr">
        <is>
          <t>Amazon offer is in stock and shippable</t>
        </is>
      </c>
      <c r="AD636" t="inlineStr">
        <is>
          <t>PUMA</t>
        </is>
      </c>
      <c r="AE636" t="inlineStr">
        <is>
          <t>6</t>
        </is>
      </c>
      <c r="AF636" t="inlineStr">
        <is>
          <t>https://m.media-amazon.com/images/I/31AjuyneK2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36" t="inlineStr">
        <is>
          <t>Description
PUMA Womens Prowl Slip On Cross Trainer</t>
        </is>
      </c>
    </row>
    <row r="637">
      <c r="A637" t="inlineStr">
        <is>
          <t>com</t>
        </is>
      </c>
      <c r="B637" t="inlineStr">
        <is>
          <t>B07TLXZXC7</t>
        </is>
      </c>
      <c r="C637" t="inlineStr">
        <is>
          <t>PUMA Womens Prowl Slip On Cross Trainer, PUMA Womens black-PUMA Womens white, 6.5</t>
        </is>
      </c>
      <c r="D637" t="n">
        <v>32.5</v>
      </c>
      <c r="E637" t="n">
        <v>32.5</v>
      </c>
      <c r="F637" t="n">
        <v>17278</v>
      </c>
      <c r="G637" t="n">
        <v>47794</v>
      </c>
      <c r="H637" t="n">
        <v>51.59</v>
      </c>
      <c r="I637" t="n">
        <v>54.4</v>
      </c>
      <c r="J637" t="n">
        <v>0.01</v>
      </c>
      <c r="K637" t="n">
        <v>0.24</v>
      </c>
      <c r="L637" t="n">
        <v>3</v>
      </c>
      <c r="M637" t="n">
        <v>4</v>
      </c>
      <c r="N637" t="n">
        <v>4.6</v>
      </c>
      <c r="O637" t="n">
        <v>114</v>
      </c>
      <c r="P637" t="n">
        <v>2677</v>
      </c>
      <c r="Q637" t="n">
        <v>44</v>
      </c>
      <c r="R637" t="n">
        <v>115</v>
      </c>
      <c r="S637" t="inlineStr">
        <is>
          <t>B0DBTXP1PF</t>
        </is>
      </c>
      <c r="T637" t="n">
        <v>50</v>
      </c>
      <c r="U637" t="n">
        <v>1.06042222</v>
      </c>
      <c r="V637" t="n">
        <v>7.03</v>
      </c>
      <c r="W637" t="n">
        <v>4.88</v>
      </c>
      <c r="X637" t="inlineStr">
        <is>
          <t>193525445682</t>
        </is>
      </c>
      <c r="Y637" t="inlineStr">
        <is>
          <t>19307801-001-6.5 M US</t>
        </is>
      </c>
      <c r="Z637" t="inlineStr">
        <is>
          <t>19307801</t>
        </is>
      </c>
      <c r="AA637" t="inlineStr">
        <is>
          <t>Black/White</t>
        </is>
      </c>
      <c r="AB637" t="inlineStr">
        <is>
          <t>0193525445682</t>
        </is>
      </c>
      <c r="AC637" t="inlineStr">
        <is>
          <t>Amazon offer is in stock and shippable</t>
        </is>
      </c>
      <c r="AD637" t="inlineStr">
        <is>
          <t>PUMA</t>
        </is>
      </c>
      <c r="AE637" t="inlineStr">
        <is>
          <t>6.5</t>
        </is>
      </c>
      <c r="AF637"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37" t="inlineStr">
        <is>
          <t>Description
PUMA Womens Prowl Slip On Cross Trainer</t>
        </is>
      </c>
    </row>
    <row r="638">
      <c r="A638" t="inlineStr">
        <is>
          <t>com</t>
        </is>
      </c>
      <c r="B638" t="inlineStr">
        <is>
          <t>B07TR6GTY2</t>
        </is>
      </c>
      <c r="C638" t="inlineStr">
        <is>
          <t>PUMA Womens Prowl Slip On Cross Trainer, Womens Black Womens White, 7</t>
        </is>
      </c>
      <c r="D638" t="n">
        <v>32.5</v>
      </c>
      <c r="E638" t="n">
        <v>32.5</v>
      </c>
      <c r="F638" t="n">
        <v>17278</v>
      </c>
      <c r="G638" t="n">
        <v>47717</v>
      </c>
      <c r="H638" t="n">
        <v>50.55</v>
      </c>
      <c r="I638" t="n">
        <v>52.51</v>
      </c>
      <c r="J638" t="n">
        <v>0</v>
      </c>
      <c r="K638" t="n">
        <v>0</v>
      </c>
      <c r="L638" t="n">
        <v>6</v>
      </c>
      <c r="M638" t="n">
        <v>6</v>
      </c>
      <c r="N638" t="n">
        <v>4.6</v>
      </c>
      <c r="O638" t="n">
        <v>236</v>
      </c>
      <c r="P638" t="n">
        <v>2677</v>
      </c>
      <c r="Q638" t="n">
        <v>57</v>
      </c>
      <c r="R638" t="n">
        <v>102</v>
      </c>
      <c r="S638" t="inlineStr">
        <is>
          <t>B0DBTXP1PF</t>
        </is>
      </c>
      <c r="T638" t="n">
        <v>100</v>
      </c>
      <c r="U638" t="n">
        <v>1.80999302</v>
      </c>
      <c r="V638" t="n">
        <v>7.62</v>
      </c>
      <c r="W638" t="n">
        <v>4.88</v>
      </c>
      <c r="X638" t="inlineStr">
        <is>
          <t>193525445859</t>
        </is>
      </c>
      <c r="Y638" t="inlineStr">
        <is>
          <t>19307801-001-7 M US</t>
        </is>
      </c>
      <c r="Z638" t="inlineStr">
        <is>
          <t>19307801</t>
        </is>
      </c>
      <c r="AA638" t="inlineStr">
        <is>
          <t>Black/White</t>
        </is>
      </c>
      <c r="AB638" t="inlineStr">
        <is>
          <t>0195101221185, 0193525445859</t>
        </is>
      </c>
      <c r="AC638" t="inlineStr">
        <is>
          <t>Amazon offer is back-ordered</t>
        </is>
      </c>
      <c r="AD638" t="inlineStr">
        <is>
          <t>PUMA</t>
        </is>
      </c>
      <c r="AE638" t="inlineStr">
        <is>
          <t>7</t>
        </is>
      </c>
      <c r="AF638"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38" t="inlineStr">
        <is>
          <t>Description
PUMA Womens Prowl Slip On Cross Trainer</t>
        </is>
      </c>
    </row>
    <row r="639">
      <c r="A639" t="inlineStr">
        <is>
          <t>com</t>
        </is>
      </c>
      <c r="B639" t="inlineStr">
        <is>
          <t>B07TKWZP32</t>
        </is>
      </c>
      <c r="C639" t="inlineStr">
        <is>
          <t>PUMA Womens Prowl Slip On Cross Trainer, PUMA Womens black-PUMA Womens white, 7.5</t>
        </is>
      </c>
      <c r="D639" t="n">
        <v>32.5</v>
      </c>
      <c r="E639" t="n">
        <v>32.5</v>
      </c>
      <c r="F639" t="n">
        <v>17278</v>
      </c>
      <c r="G639" t="n">
        <v>47901</v>
      </c>
      <c r="H639" t="n">
        <v>49.16</v>
      </c>
      <c r="I639" t="n">
        <v>53.43</v>
      </c>
      <c r="J639" t="n">
        <v>0</v>
      </c>
      <c r="K639" t="n">
        <v>0</v>
      </c>
      <c r="L639" t="n">
        <v>4</v>
      </c>
      <c r="M639" t="n">
        <v>7</v>
      </c>
      <c r="N639" t="n">
        <v>4.6</v>
      </c>
      <c r="O639" t="n">
        <v>325</v>
      </c>
      <c r="P639" t="n">
        <v>2677</v>
      </c>
      <c r="Q639" t="n">
        <v>37</v>
      </c>
      <c r="R639" t="n">
        <v>102</v>
      </c>
      <c r="S639" t="inlineStr">
        <is>
          <t>B0DBTXP1PF</t>
        </is>
      </c>
      <c r="T639" t="n">
        <v>200</v>
      </c>
      <c r="U639" t="n">
        <v>1.1243562</v>
      </c>
      <c r="V639" t="n">
        <v>6.24</v>
      </c>
      <c r="W639" t="n">
        <v>4.88</v>
      </c>
      <c r="X639" t="inlineStr">
        <is>
          <t>193525446009</t>
        </is>
      </c>
      <c r="Y639" t="inlineStr">
        <is>
          <t>19307801-001-7.5 M US</t>
        </is>
      </c>
      <c r="Z639" t="inlineStr">
        <is>
          <t>19307801</t>
        </is>
      </c>
      <c r="AA639" t="inlineStr">
        <is>
          <t>Black/White</t>
        </is>
      </c>
      <c r="AB639" t="inlineStr">
        <is>
          <t>0193525446009</t>
        </is>
      </c>
      <c r="AC639" t="inlineStr">
        <is>
          <t>Amazon offer is in stock and shippable</t>
        </is>
      </c>
      <c r="AD639" t="inlineStr">
        <is>
          <t>PUMA</t>
        </is>
      </c>
      <c r="AE639" t="inlineStr">
        <is>
          <t>7.5</t>
        </is>
      </c>
      <c r="AF639"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39" t="inlineStr">
        <is>
          <t>Description
PUMA Womens Prowl Slip On Cross Trainer</t>
        </is>
      </c>
    </row>
    <row r="640">
      <c r="A640" t="inlineStr">
        <is>
          <t>com</t>
        </is>
      </c>
      <c r="B640" t="inlineStr">
        <is>
          <t>B07TKX2L82</t>
        </is>
      </c>
      <c r="C640" t="inlineStr">
        <is>
          <t>PUMA Womens Prowl Slip On Cross Trainer, PUMA Womens black-PUMA Womens white, 8</t>
        </is>
      </c>
      <c r="D640" t="n">
        <v>32.5</v>
      </c>
      <c r="E640" t="n">
        <v>32.5</v>
      </c>
      <c r="F640" t="n">
        <v>17278</v>
      </c>
      <c r="G640" t="n">
        <v>47278</v>
      </c>
      <c r="H640" t="n">
        <v>50.93</v>
      </c>
      <c r="I640" t="n">
        <v>55.36</v>
      </c>
      <c r="J640" t="n">
        <v>0.22</v>
      </c>
      <c r="K640" t="n">
        <v>0.36</v>
      </c>
      <c r="L640" t="n">
        <v>3</v>
      </c>
      <c r="M640" t="n">
        <v>4</v>
      </c>
      <c r="N640" t="n">
        <v>4.6</v>
      </c>
      <c r="O640" t="n">
        <v>244</v>
      </c>
      <c r="P640" t="n">
        <v>2677</v>
      </c>
      <c r="Q640" t="n">
        <v>44</v>
      </c>
      <c r="R640" t="n">
        <v>78</v>
      </c>
      <c r="S640" t="inlineStr">
        <is>
          <t>B0DBTXP1PF</t>
        </is>
      </c>
      <c r="T640" t="n">
        <v>100</v>
      </c>
      <c r="U640" t="n">
        <v>1.0802638</v>
      </c>
      <c r="V640" t="n">
        <v>7.54</v>
      </c>
      <c r="W640" t="n">
        <v>4.88</v>
      </c>
      <c r="X640" t="inlineStr">
        <is>
          <t>193525446160</t>
        </is>
      </c>
      <c r="Y640" t="inlineStr">
        <is>
          <t>19307801-001-8 M US</t>
        </is>
      </c>
      <c r="Z640" t="inlineStr">
        <is>
          <t>19307801</t>
        </is>
      </c>
      <c r="AA640" t="inlineStr">
        <is>
          <t>Black/White</t>
        </is>
      </c>
      <c r="AB640" t="inlineStr">
        <is>
          <t>0193525446160</t>
        </is>
      </c>
      <c r="AC640" t="inlineStr">
        <is>
          <t>Amazon offer is back-ordered</t>
        </is>
      </c>
      <c r="AD640" t="inlineStr">
        <is>
          <t>PUMA</t>
        </is>
      </c>
      <c r="AE640" t="inlineStr">
        <is>
          <t>8</t>
        </is>
      </c>
      <c r="AF640"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0" t="inlineStr">
        <is>
          <t>Description
PUMA Womens Prowl Slip On Cross Trainer</t>
        </is>
      </c>
    </row>
    <row r="641">
      <c r="A641" t="inlineStr">
        <is>
          <t>com</t>
        </is>
      </c>
      <c r="B641" t="inlineStr">
        <is>
          <t>B07TP4BZWX</t>
        </is>
      </c>
      <c r="C641" t="inlineStr">
        <is>
          <t>PUMA Womens Prowl Slip On Cross Trainer, PUMA Womens black-PUMA Womens white, 8.5</t>
        </is>
      </c>
      <c r="D641" t="n">
        <v>32.5</v>
      </c>
      <c r="E641" t="n">
        <v>32.5</v>
      </c>
      <c r="F641" t="n">
        <v>17278</v>
      </c>
      <c r="G641" t="n">
        <v>47491</v>
      </c>
      <c r="H641" t="n">
        <v>51.06</v>
      </c>
      <c r="I641" t="n">
        <v>54.74</v>
      </c>
      <c r="J641" t="n">
        <v>0</v>
      </c>
      <c r="K641" t="n">
        <v>0</v>
      </c>
      <c r="L641" t="n">
        <v>5</v>
      </c>
      <c r="M641" t="n">
        <v>8</v>
      </c>
      <c r="N641" t="n">
        <v>4.6</v>
      </c>
      <c r="O641" t="n">
        <v>360</v>
      </c>
      <c r="P641" t="n">
        <v>2677</v>
      </c>
      <c r="Q641" t="n">
        <v>43</v>
      </c>
      <c r="R641" t="n">
        <v>106</v>
      </c>
      <c r="S641" t="inlineStr">
        <is>
          <t>B0DBTXP1PF</t>
        </is>
      </c>
      <c r="T641" t="n">
        <v>200</v>
      </c>
      <c r="U641" t="n">
        <v>1.11994696</v>
      </c>
      <c r="V641" t="n">
        <v>7.7</v>
      </c>
      <c r="W641" t="n">
        <v>4.88</v>
      </c>
      <c r="X641" t="inlineStr">
        <is>
          <t>193525446306</t>
        </is>
      </c>
      <c r="Y641" t="inlineStr">
        <is>
          <t>19307801-001-8.5 M US</t>
        </is>
      </c>
      <c r="Z641" t="inlineStr">
        <is>
          <t>19307801</t>
        </is>
      </c>
      <c r="AA641" t="inlineStr">
        <is>
          <t>Black/White</t>
        </is>
      </c>
      <c r="AB641" t="inlineStr">
        <is>
          <t>0193525446306</t>
        </is>
      </c>
      <c r="AC641" t="inlineStr">
        <is>
          <t>Amazon offer is in stock and shippable</t>
        </is>
      </c>
      <c r="AD641" t="inlineStr">
        <is>
          <t>PUMA</t>
        </is>
      </c>
      <c r="AE641" t="inlineStr">
        <is>
          <t>8.5</t>
        </is>
      </c>
      <c r="AF641"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1" t="inlineStr">
        <is>
          <t>Description
PUMA Womens Prowl Slip On Cross Trainer</t>
        </is>
      </c>
    </row>
    <row r="642">
      <c r="A642" t="inlineStr">
        <is>
          <t>com</t>
        </is>
      </c>
      <c r="B642" t="inlineStr">
        <is>
          <t>B07TN1L1QR</t>
        </is>
      </c>
      <c r="C642" t="inlineStr">
        <is>
          <t>PUMA Womens Prowl Slip On Cross Trainer, PUMA Womens black-PUMA Womens white, 9</t>
        </is>
      </c>
      <c r="D642" t="n">
        <v>32.5</v>
      </c>
      <c r="E642" t="n">
        <v>32.5</v>
      </c>
      <c r="F642" t="n">
        <v>17278</v>
      </c>
      <c r="G642" t="n">
        <v>47321</v>
      </c>
      <c r="H642" t="n">
        <v>50.73</v>
      </c>
      <c r="I642" t="n">
        <v>54.75</v>
      </c>
      <c r="J642" t="n">
        <v>0</v>
      </c>
      <c r="K642" t="n">
        <v>0</v>
      </c>
      <c r="L642" t="n">
        <v>3</v>
      </c>
      <c r="M642" t="n">
        <v>5</v>
      </c>
      <c r="N642" t="n">
        <v>4.6</v>
      </c>
      <c r="O642" t="n">
        <v>339</v>
      </c>
      <c r="P642" t="n">
        <v>2677</v>
      </c>
      <c r="Q642" t="n">
        <v>27</v>
      </c>
      <c r="R642" t="n">
        <v>83</v>
      </c>
      <c r="S642" t="inlineStr">
        <is>
          <t>B0DBTXP1PF</t>
        </is>
      </c>
      <c r="T642" t="n">
        <v>200</v>
      </c>
      <c r="U642" t="n">
        <v>1.17065322</v>
      </c>
      <c r="V642" t="n">
        <v>7.62</v>
      </c>
      <c r="W642" t="n">
        <v>4.88</v>
      </c>
      <c r="X642" t="inlineStr">
        <is>
          <t>193525446436</t>
        </is>
      </c>
      <c r="Y642" t="inlineStr">
        <is>
          <t>19307801-001-9 M US</t>
        </is>
      </c>
      <c r="Z642" t="inlineStr">
        <is>
          <t>19307801</t>
        </is>
      </c>
      <c r="AA642" t="inlineStr">
        <is>
          <t>Black/White</t>
        </is>
      </c>
      <c r="AB642" t="inlineStr">
        <is>
          <t>0193525446436</t>
        </is>
      </c>
      <c r="AC642" t="inlineStr">
        <is>
          <t>Amazon offer is in stock and shippable</t>
        </is>
      </c>
      <c r="AD642" t="inlineStr">
        <is>
          <t>PUMA</t>
        </is>
      </c>
      <c r="AE642" t="inlineStr">
        <is>
          <t>9</t>
        </is>
      </c>
      <c r="AF642"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2" t="inlineStr">
        <is>
          <t>Description
PUMA Womens Prowl Slip On Cross Trainer</t>
        </is>
      </c>
    </row>
    <row r="643">
      <c r="A643" t="inlineStr">
        <is>
          <t>com</t>
        </is>
      </c>
      <c r="B643" t="inlineStr">
        <is>
          <t>B07TKX53KM</t>
        </is>
      </c>
      <c r="C643" t="inlineStr">
        <is>
          <t>PUMA Womens Prowl Slip On Cross Trainer, PUMA Womens black-PUMA Womens white, 9.5</t>
        </is>
      </c>
      <c r="D643" t="n">
        <v>32.5</v>
      </c>
      <c r="E643" t="n">
        <v>26.88</v>
      </c>
      <c r="F643" t="n">
        <v>17278</v>
      </c>
      <c r="G643" t="n">
        <v>47117</v>
      </c>
      <c r="H643" t="n">
        <v>50.1</v>
      </c>
      <c r="I643" t="n">
        <v>51.23</v>
      </c>
      <c r="J643" t="n">
        <v>0.2</v>
      </c>
      <c r="K643" t="n">
        <v>0.36</v>
      </c>
      <c r="L643" t="n">
        <v>5</v>
      </c>
      <c r="M643" t="n">
        <v>9</v>
      </c>
      <c r="N643" t="n">
        <v>4.6</v>
      </c>
      <c r="O643" t="n">
        <v>175</v>
      </c>
      <c r="P643" t="n">
        <v>2677</v>
      </c>
      <c r="Q643" t="n">
        <v>73</v>
      </c>
      <c r="R643" t="n">
        <v>138</v>
      </c>
      <c r="S643" t="inlineStr">
        <is>
          <t>B0DBTXP1PF</t>
        </is>
      </c>
      <c r="T643" t="n">
        <v>50</v>
      </c>
      <c r="U643" t="n">
        <v>1.2786796</v>
      </c>
      <c r="V643" t="n">
        <v>7.7</v>
      </c>
      <c r="W643" t="n">
        <v>4.88</v>
      </c>
      <c r="X643" t="inlineStr">
        <is>
          <t>193525446559</t>
        </is>
      </c>
      <c r="Y643" t="inlineStr">
        <is>
          <t>19307801-001-9.5 M US</t>
        </is>
      </c>
      <c r="Z643" t="inlineStr">
        <is>
          <t>19307801</t>
        </is>
      </c>
      <c r="AA643" t="inlineStr">
        <is>
          <t>Black/White</t>
        </is>
      </c>
      <c r="AB643" t="inlineStr">
        <is>
          <t>0193525446559</t>
        </is>
      </c>
      <c r="AC643" t="inlineStr">
        <is>
          <t>Amazon offer is back-ordered</t>
        </is>
      </c>
      <c r="AD643" t="inlineStr">
        <is>
          <t>PUMA</t>
        </is>
      </c>
      <c r="AE643" t="inlineStr">
        <is>
          <t>9.5</t>
        </is>
      </c>
      <c r="AF643"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3" t="inlineStr">
        <is>
          <t>Description
PUMA Womens Prowl Slip On Cross Trainer</t>
        </is>
      </c>
    </row>
    <row r="644">
      <c r="A644" t="inlineStr">
        <is>
          <t>com</t>
        </is>
      </c>
      <c r="B644" t="inlineStr">
        <is>
          <t>B07TKX3PL3</t>
        </is>
      </c>
      <c r="C644" t="inlineStr">
        <is>
          <t>PUMA Womens Prowl Slip On Cross Trainer, PUMA Womens black-PUMA Womens white, 10</t>
        </is>
      </c>
      <c r="D644" t="n">
        <v>46.75</v>
      </c>
      <c r="E644" t="n">
        <v>46.75</v>
      </c>
      <c r="F644" t="n">
        <v>17278</v>
      </c>
      <c r="G644" t="n">
        <v>46021</v>
      </c>
      <c r="H644" t="n">
        <v>53.14</v>
      </c>
      <c r="I644" t="n">
        <v>56.52</v>
      </c>
      <c r="J644" t="n">
        <v>0.34</v>
      </c>
      <c r="K644" t="n">
        <v>0.51</v>
      </c>
      <c r="L644" t="n">
        <v>2</v>
      </c>
      <c r="M644" t="n">
        <v>2</v>
      </c>
      <c r="N644" t="n">
        <v>4.6</v>
      </c>
      <c r="O644" t="n">
        <v>139</v>
      </c>
      <c r="P644" t="n">
        <v>2677</v>
      </c>
      <c r="Q644" t="n">
        <v>46</v>
      </c>
      <c r="R644" t="n">
        <v>84</v>
      </c>
      <c r="S644" t="inlineStr">
        <is>
          <t>B0DBTXP1PF</t>
        </is>
      </c>
      <c r="T644" t="n">
        <v>100</v>
      </c>
      <c r="U644" t="n">
        <v>1.21033638</v>
      </c>
      <c r="V644" t="n">
        <v>7.62</v>
      </c>
      <c r="W644" t="inlineStr"/>
      <c r="X644" t="inlineStr">
        <is>
          <t>193525446641</t>
        </is>
      </c>
      <c r="Y644" t="inlineStr">
        <is>
          <t>19307801-001-10 M US</t>
        </is>
      </c>
      <c r="Z644" t="inlineStr">
        <is>
          <t>19307801</t>
        </is>
      </c>
      <c r="AA644" t="inlineStr">
        <is>
          <t>Black/White</t>
        </is>
      </c>
      <c r="AB644" t="inlineStr">
        <is>
          <t>0193525446641</t>
        </is>
      </c>
      <c r="AC644" t="inlineStr">
        <is>
          <t>no Amazon offer exists</t>
        </is>
      </c>
      <c r="AD644" t="inlineStr">
        <is>
          <t>PUMA</t>
        </is>
      </c>
      <c r="AE644" t="inlineStr">
        <is>
          <t>10</t>
        </is>
      </c>
      <c r="AF644"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4" t="inlineStr">
        <is>
          <t>Description
PUMA Womens Prowl Slip On Cross Trainer</t>
        </is>
      </c>
    </row>
    <row r="645">
      <c r="A645" t="inlineStr">
        <is>
          <t>com</t>
        </is>
      </c>
      <c r="B645" t="inlineStr">
        <is>
          <t>B07TN1MLW5</t>
        </is>
      </c>
      <c r="C645" t="inlineStr">
        <is>
          <t>PUMA Womens Prowl Slip On Cross Trainer, PUMA Womens black-PUMA Womens white, 11</t>
        </is>
      </c>
      <c r="D645" t="n">
        <v>32.5</v>
      </c>
      <c r="E645" t="n">
        <v>32.5</v>
      </c>
      <c r="F645" t="n">
        <v>17278</v>
      </c>
      <c r="G645" t="n">
        <v>48952</v>
      </c>
      <c r="H645" t="n">
        <v>50.22</v>
      </c>
      <c r="I645" t="n">
        <v>53.72</v>
      </c>
      <c r="J645" t="n">
        <v>0</v>
      </c>
      <c r="K645" t="n">
        <v>0</v>
      </c>
      <c r="L645" t="n">
        <v>2</v>
      </c>
      <c r="M645" t="n">
        <v>3</v>
      </c>
      <c r="N645" t="n">
        <v>4.6</v>
      </c>
      <c r="O645" t="n">
        <v>107</v>
      </c>
      <c r="P645" t="n">
        <v>2677</v>
      </c>
      <c r="Q645" t="n">
        <v>42</v>
      </c>
      <c r="R645" t="n">
        <v>95</v>
      </c>
      <c r="S645" t="inlineStr">
        <is>
          <t>B0DBTXP1PF</t>
        </is>
      </c>
      <c r="T645" t="n">
        <v>50</v>
      </c>
      <c r="U645" t="n">
        <v>1.28088422</v>
      </c>
      <c r="V645" t="n">
        <v>7.62</v>
      </c>
      <c r="W645" t="n">
        <v>4.88</v>
      </c>
      <c r="X645" t="inlineStr">
        <is>
          <t>193525446764</t>
        </is>
      </c>
      <c r="Y645" t="inlineStr">
        <is>
          <t>19307801-001-11 M US</t>
        </is>
      </c>
      <c r="Z645" t="inlineStr">
        <is>
          <t>19307801</t>
        </is>
      </c>
      <c r="AA645" t="inlineStr">
        <is>
          <t>Black/White</t>
        </is>
      </c>
      <c r="AB645" t="inlineStr">
        <is>
          <t>0193525446764</t>
        </is>
      </c>
      <c r="AC645" t="inlineStr">
        <is>
          <t>Amazon offer is in stock and shippable</t>
        </is>
      </c>
      <c r="AD645" t="inlineStr">
        <is>
          <t>PUMA</t>
        </is>
      </c>
      <c r="AE645" t="inlineStr">
        <is>
          <t>11</t>
        </is>
      </c>
      <c r="AF645" t="inlineStr">
        <is>
          <t>https://m.media-amazon.com/images/I/71sU3Wt25oL.jpg;https://m.media-amazon.com/images/I/41c+eY9rDDL.jpg;https://m.media-amazon.com/images/I/31TGF5nPAiL.jpg;https://m.media-amazon.com/images/I/31utVkN0rXL.jpg;https://m.media-amazon.com/images/I/317WQnCLDKL.jpg;https://m.media-amazon.com/images/I/317sjc9BeHL.jpg;https://m.media-amazon.com/images/I/419u-lttDHL.jpg;https://m.media-amazon.com/images/I/41cLKh+p+9L.jpg</t>
        </is>
      </c>
      <c r="AG645" t="inlineStr">
        <is>
          <t>Description
PUMA Womens Prowl Slip On Cross Trainer</t>
        </is>
      </c>
    </row>
    <row r="646">
      <c r="A646" t="inlineStr">
        <is>
          <t>com</t>
        </is>
      </c>
      <c r="B646" t="inlineStr">
        <is>
          <t>B0BXTD7SZ8</t>
        </is>
      </c>
      <c r="C646" t="inlineStr">
        <is>
          <t>PUMA Womens Carina 2.0 Sneaker, PUMA Womens White-PUMA Womens White-PUMA Womens Silver, 5.5</t>
        </is>
      </c>
      <c r="D646" t="n">
        <v>69.95</v>
      </c>
      <c r="E646" t="n">
        <v>59.18</v>
      </c>
      <c r="F646" t="n">
        <v>21288</v>
      </c>
      <c r="G646" t="n">
        <v>34470</v>
      </c>
      <c r="H646" t="n">
        <v>47.24</v>
      </c>
      <c r="I646" t="n">
        <v>49.75</v>
      </c>
      <c r="J646" t="n">
        <v>0</v>
      </c>
      <c r="K646" t="n">
        <v>0.17</v>
      </c>
      <c r="L646" t="n">
        <v>8</v>
      </c>
      <c r="M646" t="n">
        <v>6</v>
      </c>
      <c r="N646" t="n">
        <v>4.3</v>
      </c>
      <c r="O646" t="n">
        <v>5</v>
      </c>
      <c r="P646" t="n">
        <v>710</v>
      </c>
      <c r="Q646" t="n">
        <v>55</v>
      </c>
      <c r="R646" t="n">
        <v>134</v>
      </c>
      <c r="S646" t="inlineStr">
        <is>
          <t>B0D2NRMTLP</t>
        </is>
      </c>
      <c r="U646" t="n">
        <v>1.7857422</v>
      </c>
      <c r="V646" t="n">
        <v>8.66</v>
      </c>
      <c r="W646" t="n">
        <v>10.49</v>
      </c>
      <c r="X646" t="inlineStr">
        <is>
          <t>195102411776</t>
        </is>
      </c>
      <c r="Y646" t="inlineStr">
        <is>
          <t>38584902</t>
        </is>
      </c>
      <c r="Z646" t="inlineStr">
        <is>
          <t>38584902</t>
        </is>
      </c>
      <c r="AA646" t="inlineStr">
        <is>
          <t>Puma White-puma White-puma Silver</t>
        </is>
      </c>
      <c r="AB646" t="inlineStr">
        <is>
          <t>0195102411776</t>
        </is>
      </c>
      <c r="AC646" t="inlineStr">
        <is>
          <t>no Amazon offer exists</t>
        </is>
      </c>
      <c r="AD646" t="inlineStr">
        <is>
          <t>PUMA</t>
        </is>
      </c>
      <c r="AE646" t="inlineStr">
        <is>
          <t>5.5</t>
        </is>
      </c>
      <c r="AF646" t="inlineStr">
        <is>
          <t>https://m.media-amazon.com/images/I/51mnJi+n-E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46" t="inlineStr">
        <is>
          <t>Description
puma womens Carina V2.0</t>
        </is>
      </c>
    </row>
    <row r="647">
      <c r="A647" t="inlineStr">
        <is>
          <t>com</t>
        </is>
      </c>
      <c r="B647" t="inlineStr">
        <is>
          <t>B0BCHJXJ82</t>
        </is>
      </c>
      <c r="C647" t="inlineStr">
        <is>
          <t>PUMA Womens Carina 2.0 Sneaker, PUMA Womens White-PUMA Womens White-PUMA Womens Silver, 6</t>
        </is>
      </c>
      <c r="D647" t="n">
        <v>40</v>
      </c>
      <c r="E647" t="n">
        <v>40</v>
      </c>
      <c r="F647" t="n">
        <v>20139</v>
      </c>
      <c r="G647" t="n">
        <v>33865</v>
      </c>
      <c r="H647" t="n">
        <v>43.43</v>
      </c>
      <c r="I647" t="n">
        <v>47.28</v>
      </c>
      <c r="J647" t="n">
        <v>0</v>
      </c>
      <c r="K647" t="n">
        <v>0.04</v>
      </c>
      <c r="L647" t="n">
        <v>11</v>
      </c>
      <c r="M647" t="n">
        <v>7</v>
      </c>
      <c r="N647" t="n">
        <v>4.3</v>
      </c>
      <c r="O647" t="n">
        <v>34</v>
      </c>
      <c r="P647" t="n">
        <v>711</v>
      </c>
      <c r="Q647" t="n">
        <v>44</v>
      </c>
      <c r="R647" t="n">
        <v>127</v>
      </c>
      <c r="S647" t="inlineStr">
        <is>
          <t>B0D2NRMTLP</t>
        </is>
      </c>
      <c r="T647" t="n">
        <v>50</v>
      </c>
      <c r="U647" t="n">
        <v>1.54102938</v>
      </c>
      <c r="V647" t="n">
        <v>6.24</v>
      </c>
      <c r="W647" t="n">
        <v>6</v>
      </c>
      <c r="X647" t="inlineStr">
        <is>
          <t>195102411783</t>
        </is>
      </c>
      <c r="Y647" t="inlineStr">
        <is>
          <t>38584902-PUMA WHITE-PUMA WHITE-PUMA</t>
        </is>
      </c>
      <c r="Z647" t="inlineStr">
        <is>
          <t>38584902</t>
        </is>
      </c>
      <c r="AA647" t="inlineStr">
        <is>
          <t>Puma White-puma White-puma Silver</t>
        </is>
      </c>
      <c r="AB647" t="inlineStr">
        <is>
          <t>0195102411783</t>
        </is>
      </c>
      <c r="AC647" t="inlineStr">
        <is>
          <t>Amazon offer is in stock and shippable</t>
        </is>
      </c>
      <c r="AD647" t="inlineStr">
        <is>
          <t>PUMA</t>
        </is>
      </c>
      <c r="AE647" t="inlineStr">
        <is>
          <t>6</t>
        </is>
      </c>
      <c r="AF647"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47" t="inlineStr">
        <is>
          <t>Description
puma womens Carina V2.0</t>
        </is>
      </c>
    </row>
    <row r="648">
      <c r="A648" t="inlineStr">
        <is>
          <t>com</t>
        </is>
      </c>
      <c r="B648" t="inlineStr">
        <is>
          <t>B0BCHG364Z</t>
        </is>
      </c>
      <c r="C648" t="inlineStr">
        <is>
          <t>PUMA Womens Carina 2.0 Sneaker, PUMA Womens White-PUMA Womens White-PUMA Womens Silver, 6.5</t>
        </is>
      </c>
      <c r="D648" t="n">
        <v>40</v>
      </c>
      <c r="E648" t="n">
        <v>43.38</v>
      </c>
      <c r="F648" t="n">
        <v>24227</v>
      </c>
      <c r="G648" t="n">
        <v>34229</v>
      </c>
      <c r="H648" t="n">
        <v>46.6</v>
      </c>
      <c r="I648" t="n">
        <v>49.59</v>
      </c>
      <c r="J648" t="n">
        <v>0</v>
      </c>
      <c r="K648" t="n">
        <v>0.33</v>
      </c>
      <c r="L648" t="n">
        <v>9</v>
      </c>
      <c r="M648" t="n">
        <v>8</v>
      </c>
      <c r="N648" t="n">
        <v>4.3</v>
      </c>
      <c r="O648" t="n">
        <v>27</v>
      </c>
      <c r="P648" t="n">
        <v>710</v>
      </c>
      <c r="Q648" t="n">
        <v>37</v>
      </c>
      <c r="R648" t="n">
        <v>99</v>
      </c>
      <c r="S648" t="inlineStr">
        <is>
          <t>B0D2NRMTLP</t>
        </is>
      </c>
      <c r="T648" t="n">
        <v>50</v>
      </c>
      <c r="U648" t="n">
        <v>1.4991416</v>
      </c>
      <c r="V648" t="n">
        <v>6.24</v>
      </c>
      <c r="W648" t="n">
        <v>6</v>
      </c>
      <c r="X648" t="inlineStr">
        <is>
          <t>195102411790</t>
        </is>
      </c>
      <c r="Y648" t="inlineStr">
        <is>
          <t>38584902-PUMA WHITE-PUMA WHITE-PUMA</t>
        </is>
      </c>
      <c r="Z648" t="inlineStr">
        <is>
          <t>38584902</t>
        </is>
      </c>
      <c r="AA648" t="inlineStr">
        <is>
          <t>Puma White-puma White-puma Silver</t>
        </is>
      </c>
      <c r="AB648" t="inlineStr">
        <is>
          <t>0195102411790</t>
        </is>
      </c>
      <c r="AC648" t="inlineStr">
        <is>
          <t>no Amazon offer exists</t>
        </is>
      </c>
      <c r="AD648" t="inlineStr">
        <is>
          <t>PUMA</t>
        </is>
      </c>
      <c r="AE648" t="inlineStr">
        <is>
          <t>6.5</t>
        </is>
      </c>
      <c r="AF648"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48" t="inlineStr">
        <is>
          <t>Description
puma womens Carina V2.0</t>
        </is>
      </c>
    </row>
    <row r="649">
      <c r="A649" t="inlineStr">
        <is>
          <t>com</t>
        </is>
      </c>
      <c r="B649" t="inlineStr">
        <is>
          <t>B0BCHDPV99</t>
        </is>
      </c>
      <c r="C649" t="inlineStr">
        <is>
          <t>PUMA Womens Carina 2.0 Sneaker, PUMA Womens White-PUMA Womens White-PUMA Womens Silver, 7</t>
        </is>
      </c>
      <c r="D649" t="n">
        <v>40</v>
      </c>
      <c r="E649" t="n">
        <v>40</v>
      </c>
      <c r="F649" t="n">
        <v>19451</v>
      </c>
      <c r="G649" t="n">
        <v>36140</v>
      </c>
      <c r="H649" t="n">
        <v>44.19</v>
      </c>
      <c r="I649" t="n">
        <v>50.73</v>
      </c>
      <c r="J649" t="n">
        <v>0</v>
      </c>
      <c r="K649" t="n">
        <v>0.58</v>
      </c>
      <c r="L649" t="n">
        <v>9</v>
      </c>
      <c r="M649" t="n">
        <v>7</v>
      </c>
      <c r="N649" t="n">
        <v>4.3</v>
      </c>
      <c r="O649" t="n">
        <v>62</v>
      </c>
      <c r="P649" t="n">
        <v>710</v>
      </c>
      <c r="Q649" t="n">
        <v>34</v>
      </c>
      <c r="R649" t="n">
        <v>114</v>
      </c>
      <c r="S649" t="inlineStr">
        <is>
          <t>B0D2NRMTLP</t>
        </is>
      </c>
      <c r="T649" t="n">
        <v>100</v>
      </c>
      <c r="U649" t="n">
        <v>1.58953102</v>
      </c>
      <c r="V649" t="n">
        <v>6.61</v>
      </c>
      <c r="W649" t="n">
        <v>6</v>
      </c>
      <c r="X649" t="inlineStr">
        <is>
          <t>195102411806</t>
        </is>
      </c>
      <c r="Y649" t="inlineStr">
        <is>
          <t>38584902-PUMA WHITE-PUMA WHITE-PUMA</t>
        </is>
      </c>
      <c r="Z649" t="inlineStr">
        <is>
          <t>38584902</t>
        </is>
      </c>
      <c r="AA649" t="inlineStr">
        <is>
          <t>Puma White-puma White-puma Silver</t>
        </is>
      </c>
      <c r="AB649" t="inlineStr">
        <is>
          <t>0195102411806</t>
        </is>
      </c>
      <c r="AC649" t="inlineStr">
        <is>
          <t>Amazon offer is in stock and shippable</t>
        </is>
      </c>
      <c r="AD649" t="inlineStr">
        <is>
          <t>PUMA</t>
        </is>
      </c>
      <c r="AE649" t="inlineStr">
        <is>
          <t>7</t>
        </is>
      </c>
      <c r="AF649" t="inlineStr">
        <is>
          <t>https://m.media-amazon.com/images/I/51mnJi+n-E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49" t="inlineStr">
        <is>
          <t>Description
puma womens Carina V2.0</t>
        </is>
      </c>
    </row>
    <row r="650">
      <c r="A650" t="inlineStr">
        <is>
          <t>com</t>
        </is>
      </c>
      <c r="B650" t="inlineStr">
        <is>
          <t>B0BCHFQQ4D</t>
        </is>
      </c>
      <c r="C650" t="inlineStr">
        <is>
          <t>PUMA Womens Carina 2.0 Sneaker, PUMA Womens White-PUMA Womens White-PUMA Womens Silver, 7.5</t>
        </is>
      </c>
      <c r="D650" t="n">
        <v>39.95</v>
      </c>
      <c r="E650" t="n">
        <v>39.95</v>
      </c>
      <c r="F650" t="n">
        <v>18578</v>
      </c>
      <c r="G650" t="n">
        <v>36252</v>
      </c>
      <c r="H650" t="n">
        <v>47.08</v>
      </c>
      <c r="I650" t="n">
        <v>50.99</v>
      </c>
      <c r="J650" t="n">
        <v>0</v>
      </c>
      <c r="K650" t="n">
        <v>0.49</v>
      </c>
      <c r="L650" t="n">
        <v>12</v>
      </c>
      <c r="M650" t="n">
        <v>13</v>
      </c>
      <c r="N650" t="n">
        <v>4.3</v>
      </c>
      <c r="O650" t="n">
        <v>52</v>
      </c>
      <c r="P650" t="n">
        <v>710</v>
      </c>
      <c r="Q650" t="n">
        <v>44</v>
      </c>
      <c r="R650" t="n">
        <v>134</v>
      </c>
      <c r="S650" t="inlineStr">
        <is>
          <t>B0D2NRMTLP</t>
        </is>
      </c>
      <c r="T650" t="n">
        <v>100</v>
      </c>
      <c r="U650" t="n">
        <v>1.62921418</v>
      </c>
      <c r="V650" t="n">
        <v>7.03</v>
      </c>
      <c r="W650" t="n">
        <v>5.99</v>
      </c>
      <c r="X650" t="inlineStr">
        <is>
          <t>195102411813</t>
        </is>
      </c>
      <c r="Y650" t="inlineStr">
        <is>
          <t>38584902-PUMA WHITE-PUMA WHITE-PUMA</t>
        </is>
      </c>
      <c r="Z650" t="inlineStr">
        <is>
          <t>38584902</t>
        </is>
      </c>
      <c r="AA650" t="inlineStr">
        <is>
          <t>Puma White-puma White-puma Silver</t>
        </is>
      </c>
      <c r="AB650" t="inlineStr">
        <is>
          <t>0195102411813</t>
        </is>
      </c>
      <c r="AC650" t="inlineStr">
        <is>
          <t>Amazon offer is in stock and shippable</t>
        </is>
      </c>
      <c r="AD650" t="inlineStr">
        <is>
          <t>PUMA</t>
        </is>
      </c>
      <c r="AE650" t="inlineStr">
        <is>
          <t>7.5</t>
        </is>
      </c>
      <c r="AF650"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0" t="inlineStr">
        <is>
          <t>Description
puma womens Carina V2.0</t>
        </is>
      </c>
    </row>
    <row r="651">
      <c r="A651" t="inlineStr">
        <is>
          <t>com</t>
        </is>
      </c>
      <c r="B651" t="inlineStr">
        <is>
          <t>B0BCHDJJ18</t>
        </is>
      </c>
      <c r="C651" t="inlineStr">
        <is>
          <t>PUMA Womens Carina 2.0 Sneaker, PUMA Womens White-PUMA Womens White-PUMA Womens Silver, 8</t>
        </is>
      </c>
      <c r="D651" t="n">
        <v>40</v>
      </c>
      <c r="E651" t="n">
        <v>40</v>
      </c>
      <c r="F651" t="n">
        <v>18795</v>
      </c>
      <c r="G651" t="n">
        <v>36051</v>
      </c>
      <c r="H651" t="n">
        <v>44.69</v>
      </c>
      <c r="I651" t="n">
        <v>51.25</v>
      </c>
      <c r="J651" t="n">
        <v>0</v>
      </c>
      <c r="K651" t="n">
        <v>0.36</v>
      </c>
      <c r="L651" t="n">
        <v>9</v>
      </c>
      <c r="M651" t="n">
        <v>5</v>
      </c>
      <c r="N651" t="n">
        <v>4.3</v>
      </c>
      <c r="O651" t="n">
        <v>65</v>
      </c>
      <c r="P651" t="n">
        <v>710</v>
      </c>
      <c r="Q651" t="n">
        <v>38</v>
      </c>
      <c r="R651" t="n">
        <v>129</v>
      </c>
      <c r="S651" t="inlineStr">
        <is>
          <t>B0D2NRMTLP</t>
        </is>
      </c>
      <c r="T651" t="n">
        <v>100</v>
      </c>
      <c r="U651" t="n">
        <v>1.6093726</v>
      </c>
      <c r="V651" t="n">
        <v>6.61</v>
      </c>
      <c r="W651" t="n">
        <v>6</v>
      </c>
      <c r="X651" t="inlineStr">
        <is>
          <t>195102411820</t>
        </is>
      </c>
      <c r="Y651" t="inlineStr">
        <is>
          <t>38584902-PUMA WHITE-PUMA WHITE-PUMA</t>
        </is>
      </c>
      <c r="Z651" t="inlineStr">
        <is>
          <t>38584902</t>
        </is>
      </c>
      <c r="AA651" t="inlineStr">
        <is>
          <t>Puma White-puma White-puma Silver</t>
        </is>
      </c>
      <c r="AB651" t="inlineStr">
        <is>
          <t>0195102411820</t>
        </is>
      </c>
      <c r="AC651" t="inlineStr">
        <is>
          <t>Amazon offer is in stock and shippable</t>
        </is>
      </c>
      <c r="AD651" t="inlineStr">
        <is>
          <t>PUMA</t>
        </is>
      </c>
      <c r="AE651" t="inlineStr">
        <is>
          <t>8</t>
        </is>
      </c>
      <c r="AF651" t="inlineStr">
        <is>
          <t>https://m.media-amazon.com/images/I/51mnJi+n-E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1" t="inlineStr">
        <is>
          <t>Description
puma womens Carina V2.0</t>
        </is>
      </c>
    </row>
    <row r="652">
      <c r="A652" t="inlineStr">
        <is>
          <t>com</t>
        </is>
      </c>
      <c r="B652" t="inlineStr">
        <is>
          <t>B0BCHDBXFH</t>
        </is>
      </c>
      <c r="C652" t="inlineStr">
        <is>
          <t>PUMA Womens Carina 2.0 Sneaker, PUMA Womens White-PUMA Womens White-PUMA Womens Silver, 8.5</t>
        </is>
      </c>
      <c r="D652" t="n">
        <v>49.95</v>
      </c>
      <c r="E652" t="n">
        <v>49.9</v>
      </c>
      <c r="F652" t="n">
        <v>21288</v>
      </c>
      <c r="G652" t="n">
        <v>36262</v>
      </c>
      <c r="H652" t="n">
        <v>43.75</v>
      </c>
      <c r="I652" t="n">
        <v>48.21</v>
      </c>
      <c r="J652" t="n">
        <v>0</v>
      </c>
      <c r="K652" t="n">
        <v>0.46</v>
      </c>
      <c r="L652" t="n">
        <v>14</v>
      </c>
      <c r="M652" t="n">
        <v>16</v>
      </c>
      <c r="N652" t="n">
        <v>4.3</v>
      </c>
      <c r="O652" t="n">
        <v>61</v>
      </c>
      <c r="P652" t="n">
        <v>711</v>
      </c>
      <c r="Q652" t="n">
        <v>51</v>
      </c>
      <c r="R652" t="n">
        <v>143</v>
      </c>
      <c r="S652" t="inlineStr">
        <is>
          <t>B0D2NRMTLP</t>
        </is>
      </c>
      <c r="T652" t="n">
        <v>100</v>
      </c>
      <c r="U652" t="n">
        <v>1.763696</v>
      </c>
      <c r="V652" t="n">
        <v>6.61</v>
      </c>
      <c r="W652" t="n">
        <v>7.49</v>
      </c>
      <c r="X652" t="inlineStr">
        <is>
          <t>195102411837</t>
        </is>
      </c>
      <c r="Y652" t="inlineStr">
        <is>
          <t>38584902-PUMA WHITE-PUMA WHITE-PUMA</t>
        </is>
      </c>
      <c r="Z652" t="inlineStr">
        <is>
          <t>38584902</t>
        </is>
      </c>
      <c r="AA652" t="inlineStr">
        <is>
          <t>Puma White-puma White-puma Silver</t>
        </is>
      </c>
      <c r="AB652" t="inlineStr">
        <is>
          <t>0195102411837</t>
        </is>
      </c>
      <c r="AC652" t="inlineStr">
        <is>
          <t>Amazon offer is in stock and shippable</t>
        </is>
      </c>
      <c r="AD652" t="inlineStr">
        <is>
          <t>PUMA</t>
        </is>
      </c>
      <c r="AE652" t="inlineStr">
        <is>
          <t>8.5</t>
        </is>
      </c>
      <c r="AF652"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2" t="inlineStr">
        <is>
          <t>Description
puma womens Carina V2.0</t>
        </is>
      </c>
    </row>
    <row r="653">
      <c r="A653" t="inlineStr">
        <is>
          <t>com</t>
        </is>
      </c>
      <c r="B653" t="inlineStr">
        <is>
          <t>B0BCH8P9KL</t>
        </is>
      </c>
      <c r="C653" t="inlineStr">
        <is>
          <t>PUMA Womens Carina 2.0 Sneaker, PUMA Womens White-PUMA Womens White-PUMA Womens Silver, 9</t>
        </is>
      </c>
      <c r="D653" t="n">
        <v>49.95</v>
      </c>
      <c r="E653" t="n">
        <v>49.95</v>
      </c>
      <c r="F653" t="n">
        <v>20139</v>
      </c>
      <c r="G653" t="n">
        <v>33805</v>
      </c>
      <c r="H653" t="n">
        <v>42.99</v>
      </c>
      <c r="I653" t="n">
        <v>46.49</v>
      </c>
      <c r="J653" t="n">
        <v>0</v>
      </c>
      <c r="K653" t="n">
        <v>0.47</v>
      </c>
      <c r="L653" t="n">
        <v>12</v>
      </c>
      <c r="M653" t="n">
        <v>12</v>
      </c>
      <c r="N653" t="n">
        <v>4.3</v>
      </c>
      <c r="O653" t="n">
        <v>57</v>
      </c>
      <c r="P653" t="n">
        <v>711</v>
      </c>
      <c r="Q653" t="n">
        <v>49</v>
      </c>
      <c r="R653" t="n">
        <v>119</v>
      </c>
      <c r="S653" t="inlineStr">
        <is>
          <t>B0D2NRMTLP</t>
        </is>
      </c>
      <c r="T653" t="n">
        <v>100</v>
      </c>
      <c r="U653" t="n">
        <v>1.73944518</v>
      </c>
      <c r="V653" t="n">
        <v>7.03</v>
      </c>
      <c r="W653" t="inlineStr"/>
      <c r="X653" t="inlineStr">
        <is>
          <t>195102411844</t>
        </is>
      </c>
      <c r="Y653" t="inlineStr">
        <is>
          <t>38584902-PUMA WHITE-PUMA WHITE-PUMA</t>
        </is>
      </c>
      <c r="Z653" t="inlineStr">
        <is>
          <t>38584902</t>
        </is>
      </c>
      <c r="AA653" t="inlineStr">
        <is>
          <t>Puma White-puma White-puma Silver</t>
        </is>
      </c>
      <c r="AB653" t="inlineStr">
        <is>
          <t>0195102411844</t>
        </is>
      </c>
      <c r="AC653" t="inlineStr">
        <is>
          <t>no Amazon offer exists</t>
        </is>
      </c>
      <c r="AD653" t="inlineStr">
        <is>
          <t>PUMA</t>
        </is>
      </c>
      <c r="AE653" t="inlineStr">
        <is>
          <t>9</t>
        </is>
      </c>
      <c r="AF653"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3" t="inlineStr">
        <is>
          <t>Description
puma womens Carina V2.0</t>
        </is>
      </c>
    </row>
    <row r="654">
      <c r="A654" t="inlineStr">
        <is>
          <t>com</t>
        </is>
      </c>
      <c r="B654" t="inlineStr">
        <is>
          <t>B0BCHJFCLR</t>
        </is>
      </c>
      <c r="C654" t="inlineStr">
        <is>
          <t>PUMA Womens Carina 2.0 Sneaker, PUMA Womens White-PUMA Womens White-PUMA Womens Silver, 9.5</t>
        </is>
      </c>
      <c r="D654" t="n">
        <v>40</v>
      </c>
      <c r="E654" t="n">
        <v>40</v>
      </c>
      <c r="F654" t="n">
        <v>20139</v>
      </c>
      <c r="G654" t="n">
        <v>35920</v>
      </c>
      <c r="H654" t="n">
        <v>44.54</v>
      </c>
      <c r="I654" t="n">
        <v>48.34</v>
      </c>
      <c r="J654" t="n">
        <v>0</v>
      </c>
      <c r="K654" t="n">
        <v>0.03</v>
      </c>
      <c r="L654" t="n">
        <v>10</v>
      </c>
      <c r="M654" t="n">
        <v>10</v>
      </c>
      <c r="N654" t="n">
        <v>4.3</v>
      </c>
      <c r="O654" t="n">
        <v>28</v>
      </c>
      <c r="P654" t="n">
        <v>711</v>
      </c>
      <c r="Q654" t="n">
        <v>43</v>
      </c>
      <c r="R654" t="n">
        <v>111</v>
      </c>
      <c r="S654" t="inlineStr">
        <is>
          <t>B0D2NRMTLP</t>
        </is>
      </c>
      <c r="T654" t="n">
        <v>100</v>
      </c>
      <c r="U654" t="n">
        <v>1.8518808</v>
      </c>
      <c r="V654" t="n">
        <v>7.03</v>
      </c>
      <c r="W654" t="n">
        <v>6</v>
      </c>
      <c r="X654" t="inlineStr">
        <is>
          <t>195102411851</t>
        </is>
      </c>
      <c r="Y654" t="inlineStr">
        <is>
          <t>38584902-PUMA WHITE-PUMA WHITE-PUMA</t>
        </is>
      </c>
      <c r="Z654" t="inlineStr">
        <is>
          <t>38584902</t>
        </is>
      </c>
      <c r="AA654" t="inlineStr">
        <is>
          <t>Puma White-puma White-puma Silver</t>
        </is>
      </c>
      <c r="AB654" t="inlineStr">
        <is>
          <t>0195102411851</t>
        </is>
      </c>
      <c r="AC654" t="inlineStr">
        <is>
          <t>Amazon offer is in stock and shippable</t>
        </is>
      </c>
      <c r="AD654" t="inlineStr">
        <is>
          <t>PUMA</t>
        </is>
      </c>
      <c r="AE654" t="inlineStr">
        <is>
          <t>9.5</t>
        </is>
      </c>
      <c r="AF654" t="inlineStr">
        <is>
          <t>https://m.media-amazon.com/images/I/31TLxLBY4n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4" t="inlineStr">
        <is>
          <t>Description
puma womens Carina V2.0</t>
        </is>
      </c>
    </row>
    <row r="655">
      <c r="A655" t="inlineStr">
        <is>
          <t>com</t>
        </is>
      </c>
      <c r="B655" t="inlineStr">
        <is>
          <t>B0BCHF96X4</t>
        </is>
      </c>
      <c r="C655" t="inlineStr">
        <is>
          <t>PUMA Womens Carina 2.0 Sneaker, PUMA Womens White-PUMA Womens White-PUMA Womens Silver, 10</t>
        </is>
      </c>
      <c r="D655" t="n">
        <v>40</v>
      </c>
      <c r="E655" t="n">
        <v>40</v>
      </c>
      <c r="F655" t="n">
        <v>20139</v>
      </c>
      <c r="G655" t="n">
        <v>35958</v>
      </c>
      <c r="H655" t="n">
        <v>43.37</v>
      </c>
      <c r="I655" t="n">
        <v>49.66</v>
      </c>
      <c r="J655" t="n">
        <v>0</v>
      </c>
      <c r="K655" t="n">
        <v>0.6</v>
      </c>
      <c r="L655" t="n">
        <v>12</v>
      </c>
      <c r="M655" t="n">
        <v>10</v>
      </c>
      <c r="N655" t="n">
        <v>4.3</v>
      </c>
      <c r="O655" t="n">
        <v>34</v>
      </c>
      <c r="P655" t="n">
        <v>711</v>
      </c>
      <c r="Q655" t="n">
        <v>39</v>
      </c>
      <c r="R655" t="n">
        <v>101</v>
      </c>
      <c r="S655" t="inlineStr">
        <is>
          <t>B0D2NRMTLP</t>
        </is>
      </c>
      <c r="T655" t="n">
        <v>50</v>
      </c>
      <c r="U655" t="n">
        <v>1.84967618</v>
      </c>
      <c r="V655" t="n">
        <v>7.03</v>
      </c>
      <c r="W655" t="n">
        <v>6</v>
      </c>
      <c r="X655" t="inlineStr">
        <is>
          <t>195102411868</t>
        </is>
      </c>
      <c r="Y655" t="inlineStr">
        <is>
          <t>38584902-PUMA WHITE-PUMA WHITE-PUMA</t>
        </is>
      </c>
      <c r="Z655" t="inlineStr">
        <is>
          <t>38584902</t>
        </is>
      </c>
      <c r="AA655" t="inlineStr">
        <is>
          <t>Puma White-puma White-puma Silver</t>
        </is>
      </c>
      <c r="AB655" t="inlineStr">
        <is>
          <t>0195102411868</t>
        </is>
      </c>
      <c r="AC655" t="inlineStr">
        <is>
          <t>Amazon offer is in stock and shippable</t>
        </is>
      </c>
      <c r="AD655" t="inlineStr">
        <is>
          <t>PUMA</t>
        </is>
      </c>
      <c r="AE655" t="inlineStr">
        <is>
          <t>10</t>
        </is>
      </c>
      <c r="AF655" t="inlineStr">
        <is>
          <t>https://m.media-amazon.com/images/I/51mnJi+n-E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5" t="inlineStr">
        <is>
          <t>Description
puma womens Carina V2.0</t>
        </is>
      </c>
    </row>
    <row r="656">
      <c r="A656" t="inlineStr">
        <is>
          <t>com</t>
        </is>
      </c>
      <c r="B656" t="inlineStr">
        <is>
          <t>B0BLXZBRDK</t>
        </is>
      </c>
      <c r="C656" t="inlineStr">
        <is>
          <t>PUMA Womens Carina 2.0 Sneaker, PUMA Womens White-PUMA Womens White-PUMA Womens Silver, 11</t>
        </is>
      </c>
      <c r="D656" t="n">
        <v>59.99</v>
      </c>
      <c r="E656" t="n">
        <v>59.99</v>
      </c>
      <c r="F656" t="n">
        <v>21288</v>
      </c>
      <c r="G656" t="n">
        <v>34406</v>
      </c>
      <c r="H656" t="n">
        <v>44.39</v>
      </c>
      <c r="I656" t="n">
        <v>51.92</v>
      </c>
      <c r="J656" t="n">
        <v>0</v>
      </c>
      <c r="K656" t="n">
        <v>0.59</v>
      </c>
      <c r="L656" t="n">
        <v>8</v>
      </c>
      <c r="M656" t="n">
        <v>9</v>
      </c>
      <c r="N656" t="n">
        <v>4.3</v>
      </c>
      <c r="O656" t="n">
        <v>11</v>
      </c>
      <c r="P656" t="n">
        <v>710</v>
      </c>
      <c r="Q656" t="n">
        <v>46</v>
      </c>
      <c r="R656" t="n">
        <v>133</v>
      </c>
      <c r="S656" t="inlineStr">
        <is>
          <t>B0D2NRMTLP</t>
        </is>
      </c>
      <c r="U656" t="n">
        <v>2.03045502</v>
      </c>
      <c r="V656" t="n">
        <v>7.7</v>
      </c>
      <c r="W656" t="n">
        <v>9</v>
      </c>
      <c r="X656" t="inlineStr">
        <is>
          <t>195102411882</t>
        </is>
      </c>
      <c r="Y656" t="inlineStr">
        <is>
          <t>38584902-PUMA WHITE-PUMA WHITE-PUMA</t>
        </is>
      </c>
      <c r="Z656" t="inlineStr">
        <is>
          <t>38584902</t>
        </is>
      </c>
      <c r="AA656" t="inlineStr">
        <is>
          <t>Puma White-puma White-puma Silver</t>
        </is>
      </c>
      <c r="AB656" t="inlineStr">
        <is>
          <t>0195102411882</t>
        </is>
      </c>
      <c r="AC656" t="inlineStr">
        <is>
          <t>no Amazon offer exists</t>
        </is>
      </c>
      <c r="AD656" t="inlineStr">
        <is>
          <t>PUMA</t>
        </is>
      </c>
      <c r="AE656" t="inlineStr">
        <is>
          <t>11</t>
        </is>
      </c>
      <c r="AF656" t="inlineStr">
        <is>
          <t>https://m.media-amazon.com/images/I/51mnJi+n-EL.jpg;https://m.media-amazon.com/images/I/31TWNXYe-yL.jpg;https://m.media-amazon.com/images/I/31akikR9zBL.jpg;https://m.media-amazon.com/images/I/31q4v9DbvIL.jpg;https://m.media-amazon.com/images/I/31V5md4I9EL.jpg;https://m.media-amazon.com/images/I/419u-lttDHL.jpg;https://m.media-amazon.com/images/I/31KGXyaZ-oL.jpg;https://m.media-amazon.com/images/I/31Kfi660DBL.jpg</t>
        </is>
      </c>
      <c r="AG656" t="inlineStr">
        <is>
          <t>Description
puma womens Carina V2.0</t>
        </is>
      </c>
    </row>
    <row r="657">
      <c r="A657" t="inlineStr">
        <is>
          <t>com</t>
        </is>
      </c>
      <c r="B657" t="inlineStr">
        <is>
          <t>B0CV9GK6RX</t>
        </is>
      </c>
      <c r="C657" t="inlineStr">
        <is>
          <t>PUMA Women's Court Classic Vulc Sneaker, First Class White Gold, 5.5</t>
        </is>
      </c>
      <c r="D657" t="n">
        <v>59.15</v>
      </c>
      <c r="E657" t="inlineStr"/>
      <c r="F657" t="n">
        <v>726231</v>
      </c>
      <c r="G657" t="n">
        <v>449636</v>
      </c>
      <c r="H657" t="n">
        <v>59.15</v>
      </c>
      <c r="I657" t="n">
        <v>58.79</v>
      </c>
      <c r="J657" t="n">
        <v>0.15</v>
      </c>
      <c r="K657" t="n">
        <v>0.3</v>
      </c>
      <c r="L657" t="n">
        <v>2</v>
      </c>
      <c r="N657" t="n">
        <v>4.5</v>
      </c>
      <c r="O657" t="n">
        <v>1</v>
      </c>
      <c r="P657" t="n">
        <v>22</v>
      </c>
      <c r="Q657" t="n">
        <v>9</v>
      </c>
      <c r="R657" t="n">
        <v>37</v>
      </c>
      <c r="S657" t="inlineStr">
        <is>
          <t>B0D9WXM768</t>
        </is>
      </c>
      <c r="U657" t="n">
        <v>1.80999302</v>
      </c>
      <c r="V657" t="n">
        <v>6.61</v>
      </c>
      <c r="W657" t="inlineStr"/>
      <c r="X657" t="inlineStr">
        <is>
          <t>197646408397</t>
        </is>
      </c>
      <c r="Y657" t="inlineStr">
        <is>
          <t>39861501</t>
        </is>
      </c>
      <c r="Z657" t="inlineStr">
        <is>
          <t>39861501</t>
        </is>
      </c>
      <c r="AA657" t="inlineStr">
        <is>
          <t>First Class-puma White-puma Gold</t>
        </is>
      </c>
      <c r="AB657" t="inlineStr">
        <is>
          <t>0197646408397</t>
        </is>
      </c>
      <c r="AC657" t="inlineStr">
        <is>
          <t>no Amazon offer exists</t>
        </is>
      </c>
      <c r="AD657" t="inlineStr">
        <is>
          <t>PUMA</t>
        </is>
      </c>
      <c r="AE657" t="inlineStr">
        <is>
          <t>5.5</t>
        </is>
      </c>
      <c r="AF657" t="inlineStr">
        <is>
          <t>https://m.media-amazon.com/images/I/6103V82XUmL.jpg</t>
        </is>
      </c>
      <c r="AG657"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58">
      <c r="A658" t="inlineStr">
        <is>
          <t>com</t>
        </is>
      </c>
      <c r="B658" t="inlineStr">
        <is>
          <t>B0CV9TX7D5</t>
        </is>
      </c>
      <c r="C658" t="inlineStr">
        <is>
          <t>PUMA Women's Court Classic Vulc Sneaker, First Class White Gold, 6</t>
        </is>
      </c>
      <c r="D658" t="n">
        <v>58.55</v>
      </c>
      <c r="E658" t="n">
        <v>58.17</v>
      </c>
      <c r="F658" t="n">
        <v>525806</v>
      </c>
      <c r="G658" t="n">
        <v>501177</v>
      </c>
      <c r="H658" t="n">
        <v>53.58</v>
      </c>
      <c r="I658" t="n">
        <v>55.7</v>
      </c>
      <c r="J658" t="n">
        <v>0</v>
      </c>
      <c r="K658" t="n">
        <v>0</v>
      </c>
      <c r="L658" t="n">
        <v>3</v>
      </c>
      <c r="M658" t="n">
        <v>2</v>
      </c>
      <c r="N658" t="n">
        <v>4.5</v>
      </c>
      <c r="O658" t="n">
        <v>4</v>
      </c>
      <c r="P658" t="n">
        <v>24</v>
      </c>
      <c r="Q658" t="n">
        <v>16</v>
      </c>
      <c r="R658" t="n">
        <v>50</v>
      </c>
      <c r="S658" t="inlineStr">
        <is>
          <t>B0D9WXM768</t>
        </is>
      </c>
      <c r="U658" t="n">
        <v>1.86951776</v>
      </c>
      <c r="V658" t="n">
        <v>6.61</v>
      </c>
      <c r="W658" t="n">
        <v>8.779999999999999</v>
      </c>
      <c r="X658" t="inlineStr">
        <is>
          <t>197646408465</t>
        </is>
      </c>
      <c r="Y658" t="inlineStr">
        <is>
          <t>39861501</t>
        </is>
      </c>
      <c r="Z658" t="inlineStr">
        <is>
          <t>39861501</t>
        </is>
      </c>
      <c r="AA658" t="inlineStr">
        <is>
          <t>First Class-puma White-puma Gold</t>
        </is>
      </c>
      <c r="AB658" t="inlineStr">
        <is>
          <t>0197646408465</t>
        </is>
      </c>
      <c r="AC658" t="inlineStr">
        <is>
          <t>Amazon offer is in stock and shippable</t>
        </is>
      </c>
      <c r="AD658" t="inlineStr">
        <is>
          <t>PUMA</t>
        </is>
      </c>
      <c r="AE658" t="inlineStr">
        <is>
          <t>6</t>
        </is>
      </c>
      <c r="AF658" t="inlineStr">
        <is>
          <t>https://m.media-amazon.com/images/I/6103V82XUmL.jpg</t>
        </is>
      </c>
      <c r="AG658"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59">
      <c r="A659" t="inlineStr">
        <is>
          <t>com</t>
        </is>
      </c>
      <c r="B659" t="inlineStr">
        <is>
          <t>B0CV9R62W3</t>
        </is>
      </c>
      <c r="C659" t="inlineStr">
        <is>
          <t>PUMA Women's Court Classic Vulc Sneaker, First Class White Gold, 6.5</t>
        </is>
      </c>
      <c r="D659" t="n">
        <v>50.16</v>
      </c>
      <c r="E659" t="n">
        <v>49.82</v>
      </c>
      <c r="F659" t="n">
        <v>498252</v>
      </c>
      <c r="G659" t="n">
        <v>480479</v>
      </c>
      <c r="H659" t="n">
        <v>53.59</v>
      </c>
      <c r="I659" t="n">
        <v>56.26</v>
      </c>
      <c r="J659" t="n">
        <v>0</v>
      </c>
      <c r="K659" t="n">
        <v>0</v>
      </c>
      <c r="L659" t="n">
        <v>3</v>
      </c>
      <c r="M659" t="n">
        <v>4</v>
      </c>
      <c r="N659" t="n">
        <v>4.5</v>
      </c>
      <c r="O659" t="n">
        <v>3</v>
      </c>
      <c r="P659" t="n">
        <v>24</v>
      </c>
      <c r="Q659" t="n">
        <v>13</v>
      </c>
      <c r="R659" t="n">
        <v>57</v>
      </c>
      <c r="S659" t="inlineStr">
        <is>
          <t>B0D9WXM768</t>
        </is>
      </c>
      <c r="U659" t="n">
        <v>1.86951776</v>
      </c>
      <c r="V659" t="n">
        <v>6.61</v>
      </c>
      <c r="W659" t="n">
        <v>7.52</v>
      </c>
      <c r="X659" t="inlineStr">
        <is>
          <t>197646408496</t>
        </is>
      </c>
      <c r="Y659" t="inlineStr">
        <is>
          <t>39861501</t>
        </is>
      </c>
      <c r="Z659" t="inlineStr">
        <is>
          <t>39861501</t>
        </is>
      </c>
      <c r="AA659" t="inlineStr">
        <is>
          <t>First Class-puma White-puma Gold</t>
        </is>
      </c>
      <c r="AB659" t="inlineStr">
        <is>
          <t>0197646408496</t>
        </is>
      </c>
      <c r="AC659" t="inlineStr">
        <is>
          <t>Amazon offer is in stock and shippable</t>
        </is>
      </c>
      <c r="AD659" t="inlineStr">
        <is>
          <t>PUMA</t>
        </is>
      </c>
      <c r="AE659" t="inlineStr">
        <is>
          <t>6.5</t>
        </is>
      </c>
      <c r="AF659" t="inlineStr">
        <is>
          <t>https://m.media-amazon.com/images/I/6103V82XUmL.jpg</t>
        </is>
      </c>
      <c r="AG659"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0">
      <c r="A660" t="inlineStr">
        <is>
          <t>com</t>
        </is>
      </c>
      <c r="B660" t="inlineStr">
        <is>
          <t>B0CV9P1D19</t>
        </is>
      </c>
      <c r="C660" t="inlineStr">
        <is>
          <t>PUMA Women's Court Classic Vulc Sneaker, First Class White Gold, 7</t>
        </is>
      </c>
      <c r="D660" t="n">
        <v>58.32</v>
      </c>
      <c r="E660" t="n">
        <v>58.32</v>
      </c>
      <c r="F660" t="n">
        <v>573308</v>
      </c>
      <c r="G660" t="n">
        <v>499230</v>
      </c>
      <c r="H660" t="n">
        <v>57.21</v>
      </c>
      <c r="I660" t="n">
        <v>58.19</v>
      </c>
      <c r="J660" t="n">
        <v>0</v>
      </c>
      <c r="K660" t="n">
        <v>0</v>
      </c>
      <c r="L660" t="n">
        <v>3</v>
      </c>
      <c r="M660" t="n">
        <v>3</v>
      </c>
      <c r="N660" t="n">
        <v>4.5</v>
      </c>
      <c r="O660" t="n">
        <v>0</v>
      </c>
      <c r="P660" t="n">
        <v>22</v>
      </c>
      <c r="Q660" t="n">
        <v>19</v>
      </c>
      <c r="R660" t="n">
        <v>62</v>
      </c>
      <c r="S660" t="inlineStr">
        <is>
          <t>B0D9WXM768</t>
        </is>
      </c>
      <c r="U660" t="n">
        <v>1.97974876</v>
      </c>
      <c r="V660" t="n">
        <v>6.61</v>
      </c>
      <c r="W660" t="n">
        <v>8.75</v>
      </c>
      <c r="X660" t="inlineStr">
        <is>
          <t>197646408458</t>
        </is>
      </c>
      <c r="Y660" t="inlineStr">
        <is>
          <t>39861501</t>
        </is>
      </c>
      <c r="Z660" t="inlineStr">
        <is>
          <t>39861501</t>
        </is>
      </c>
      <c r="AA660" t="inlineStr">
        <is>
          <t>First Class-puma White-puma Gold</t>
        </is>
      </c>
      <c r="AB660" t="inlineStr">
        <is>
          <t>0197646408458</t>
        </is>
      </c>
      <c r="AC660" t="inlineStr">
        <is>
          <t>Amazon offer is in stock and shippable</t>
        </is>
      </c>
      <c r="AD660" t="inlineStr">
        <is>
          <t>PUMA</t>
        </is>
      </c>
      <c r="AE660" t="inlineStr">
        <is>
          <t>7</t>
        </is>
      </c>
      <c r="AF660" t="inlineStr">
        <is>
          <t>https://m.media-amazon.com/images/I/6103V82XUmL.jpg</t>
        </is>
      </c>
      <c r="AG660"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1">
      <c r="A661" t="inlineStr">
        <is>
          <t>com</t>
        </is>
      </c>
      <c r="B661" t="inlineStr">
        <is>
          <t>B0CV9TF13X</t>
        </is>
      </c>
      <c r="C661" t="inlineStr">
        <is>
          <t>PUMA Women's Court Classic Vulc Sneaker, First Class White Gold, 7.5</t>
        </is>
      </c>
      <c r="D661" t="n">
        <v>53.12</v>
      </c>
      <c r="E661" t="n">
        <v>52.77</v>
      </c>
      <c r="F661" t="n">
        <v>525806</v>
      </c>
      <c r="G661" t="n">
        <v>502747</v>
      </c>
      <c r="H661" t="n">
        <v>55.06</v>
      </c>
      <c r="I661" t="n">
        <v>57.13</v>
      </c>
      <c r="J661" t="n">
        <v>0</v>
      </c>
      <c r="K661" t="n">
        <v>0</v>
      </c>
      <c r="L661" t="n">
        <v>3</v>
      </c>
      <c r="M661" t="n">
        <v>3</v>
      </c>
      <c r="N661" t="n">
        <v>4.5</v>
      </c>
      <c r="O661" t="n">
        <v>3</v>
      </c>
      <c r="P661" t="n">
        <v>24</v>
      </c>
      <c r="Q661" t="n">
        <v>14</v>
      </c>
      <c r="R661" t="n">
        <v>57</v>
      </c>
      <c r="S661" t="inlineStr">
        <is>
          <t>B0D9WXM768</t>
        </is>
      </c>
      <c r="U661" t="n">
        <v>1.873927</v>
      </c>
      <c r="V661" t="n">
        <v>7.03</v>
      </c>
      <c r="W661" t="n">
        <v>7.97</v>
      </c>
      <c r="X661" t="inlineStr">
        <is>
          <t>197646408502</t>
        </is>
      </c>
      <c r="Y661" t="inlineStr">
        <is>
          <t>39861501</t>
        </is>
      </c>
      <c r="Z661" t="inlineStr">
        <is>
          <t>39861501</t>
        </is>
      </c>
      <c r="AA661" t="inlineStr">
        <is>
          <t>First Class-puma White-puma Gold</t>
        </is>
      </c>
      <c r="AB661" t="inlineStr">
        <is>
          <t>0197646408502</t>
        </is>
      </c>
      <c r="AC661" t="inlineStr">
        <is>
          <t>Amazon offer is in stock and shippable</t>
        </is>
      </c>
      <c r="AD661" t="inlineStr">
        <is>
          <t>PUMA</t>
        </is>
      </c>
      <c r="AE661" t="inlineStr">
        <is>
          <t>7.5</t>
        </is>
      </c>
      <c r="AF661" t="inlineStr">
        <is>
          <t>https://m.media-amazon.com/images/I/6103V82XUmL.jpg</t>
        </is>
      </c>
      <c r="AG661"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2">
      <c r="A662" t="inlineStr">
        <is>
          <t>com</t>
        </is>
      </c>
      <c r="B662" t="inlineStr">
        <is>
          <t>B0CV9S87BZ</t>
        </is>
      </c>
      <c r="C662" t="inlineStr">
        <is>
          <t>PUMA Women's Court Classic Vulc Sneaker, First Class White Gold, 8</t>
        </is>
      </c>
      <c r="D662" t="n">
        <v>57.25</v>
      </c>
      <c r="E662" t="n">
        <v>56.88</v>
      </c>
      <c r="F662" t="n">
        <v>452991</v>
      </c>
      <c r="G662" t="n">
        <v>497953</v>
      </c>
      <c r="H662" t="n">
        <v>54.53</v>
      </c>
      <c r="I662" t="n">
        <v>56.63</v>
      </c>
      <c r="J662" t="n">
        <v>0</v>
      </c>
      <c r="K662" t="n">
        <v>0</v>
      </c>
      <c r="L662" t="n">
        <v>3</v>
      </c>
      <c r="M662" t="n">
        <v>3</v>
      </c>
      <c r="N662" t="n">
        <v>4.5</v>
      </c>
      <c r="O662" t="n">
        <v>6</v>
      </c>
      <c r="P662" t="n">
        <v>24</v>
      </c>
      <c r="Q662" t="n">
        <v>20</v>
      </c>
      <c r="R662" t="n">
        <v>76</v>
      </c>
      <c r="S662" t="inlineStr">
        <is>
          <t>B0D9WXM768</t>
        </is>
      </c>
      <c r="U662" t="n">
        <v>1.97974876</v>
      </c>
      <c r="V662" t="n">
        <v>7.54</v>
      </c>
      <c r="W662" t="n">
        <v>8.59</v>
      </c>
      <c r="X662" t="inlineStr">
        <is>
          <t>197646408403</t>
        </is>
      </c>
      <c r="Y662" t="inlineStr">
        <is>
          <t>39861501</t>
        </is>
      </c>
      <c r="Z662" t="inlineStr">
        <is>
          <t>39861501</t>
        </is>
      </c>
      <c r="AA662" t="inlineStr">
        <is>
          <t>First Class-puma White-puma Gold</t>
        </is>
      </c>
      <c r="AB662" t="inlineStr">
        <is>
          <t>0197646408403</t>
        </is>
      </c>
      <c r="AC662" t="inlineStr">
        <is>
          <t>Amazon offer is in stock and shippable</t>
        </is>
      </c>
      <c r="AD662" t="inlineStr">
        <is>
          <t>PUMA</t>
        </is>
      </c>
      <c r="AE662" t="inlineStr">
        <is>
          <t>8</t>
        </is>
      </c>
      <c r="AF662" t="inlineStr">
        <is>
          <t>https://m.media-amazon.com/images/I/6103V82XUmL.jpg</t>
        </is>
      </c>
      <c r="AG662"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3">
      <c r="A663" t="inlineStr">
        <is>
          <t>com</t>
        </is>
      </c>
      <c r="B663" t="inlineStr">
        <is>
          <t>B0CV9KMNRX</t>
        </is>
      </c>
      <c r="C663" t="inlineStr">
        <is>
          <t>PUMA Women's Court Classic Vulc Sneaker, First Class White Gold, 8.5</t>
        </is>
      </c>
      <c r="D663" t="n">
        <v>54.5</v>
      </c>
      <c r="E663" t="n">
        <v>54.14</v>
      </c>
      <c r="F663" t="n">
        <v>498252</v>
      </c>
      <c r="G663" t="n">
        <v>500342</v>
      </c>
      <c r="H663" t="n">
        <v>56.54</v>
      </c>
      <c r="I663" t="n">
        <v>57.84</v>
      </c>
      <c r="J663" t="n">
        <v>0</v>
      </c>
      <c r="K663" t="n">
        <v>0</v>
      </c>
      <c r="L663" t="n">
        <v>3</v>
      </c>
      <c r="M663" t="n">
        <v>4</v>
      </c>
      <c r="N663" t="n">
        <v>4.5</v>
      </c>
      <c r="O663" t="n">
        <v>4</v>
      </c>
      <c r="P663" t="n">
        <v>24</v>
      </c>
      <c r="Q663" t="n">
        <v>13</v>
      </c>
      <c r="R663" t="n">
        <v>53</v>
      </c>
      <c r="S663" t="inlineStr">
        <is>
          <t>B0D9WXM768</t>
        </is>
      </c>
      <c r="U663" t="n">
        <v>1.9621118</v>
      </c>
      <c r="V663" t="n">
        <v>7.54</v>
      </c>
      <c r="W663" t="n">
        <v>8.18</v>
      </c>
      <c r="X663" t="inlineStr">
        <is>
          <t>197646408410</t>
        </is>
      </c>
      <c r="Y663" t="inlineStr">
        <is>
          <t>39861501</t>
        </is>
      </c>
      <c r="Z663" t="inlineStr">
        <is>
          <t>39861501</t>
        </is>
      </c>
      <c r="AA663" t="inlineStr">
        <is>
          <t>First Class-puma White-puma Gold</t>
        </is>
      </c>
      <c r="AB663" t="inlineStr">
        <is>
          <t>0197646408410</t>
        </is>
      </c>
      <c r="AC663" t="inlineStr">
        <is>
          <t>Amazon offer is in stock and shippable</t>
        </is>
      </c>
      <c r="AD663" t="inlineStr">
        <is>
          <t>PUMA</t>
        </is>
      </c>
      <c r="AE663" t="inlineStr">
        <is>
          <t>8.5</t>
        </is>
      </c>
      <c r="AF663" t="inlineStr">
        <is>
          <t>https://m.media-amazon.com/images/I/6103V82XUmL.jpg</t>
        </is>
      </c>
      <c r="AG663"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4">
      <c r="A664" t="inlineStr">
        <is>
          <t>com</t>
        </is>
      </c>
      <c r="B664" t="inlineStr">
        <is>
          <t>B0CV9R82TY</t>
        </is>
      </c>
      <c r="C664" t="inlineStr">
        <is>
          <t>PUMA Women's Court Classic Vulc Sneaker, First Class White Gold, 9</t>
        </is>
      </c>
      <c r="D664" t="n">
        <v>54.61</v>
      </c>
      <c r="E664" t="n">
        <v>54.61</v>
      </c>
      <c r="F664" t="n">
        <v>525806</v>
      </c>
      <c r="G664" t="n">
        <v>477860</v>
      </c>
      <c r="H664" t="n">
        <v>54.5</v>
      </c>
      <c r="I664" t="n">
        <v>56.86</v>
      </c>
      <c r="J664" t="n">
        <v>0</v>
      </c>
      <c r="K664" t="n">
        <v>0</v>
      </c>
      <c r="L664" t="n">
        <v>3</v>
      </c>
      <c r="M664" t="n">
        <v>3</v>
      </c>
      <c r="N664" t="n">
        <v>4.5</v>
      </c>
      <c r="O664" t="n">
        <v>1</v>
      </c>
      <c r="P664" t="n">
        <v>24</v>
      </c>
      <c r="Q664" t="n">
        <v>10</v>
      </c>
      <c r="R664" t="n">
        <v>48</v>
      </c>
      <c r="S664" t="inlineStr">
        <is>
          <t>B0D9WXM768</t>
        </is>
      </c>
      <c r="U664" t="n">
        <v>0.83996022</v>
      </c>
      <c r="V664" t="n">
        <v>7.54</v>
      </c>
      <c r="W664" t="n">
        <v>8.19</v>
      </c>
      <c r="X664" t="inlineStr">
        <is>
          <t>197646408434</t>
        </is>
      </c>
      <c r="Y664" t="inlineStr">
        <is>
          <t>39861501</t>
        </is>
      </c>
      <c r="Z664" t="inlineStr">
        <is>
          <t>39861501</t>
        </is>
      </c>
      <c r="AA664" t="inlineStr">
        <is>
          <t>First Class-puma White-puma Gold</t>
        </is>
      </c>
      <c r="AB664" t="inlineStr">
        <is>
          <t>0197646408434</t>
        </is>
      </c>
      <c r="AC664" t="inlineStr">
        <is>
          <t>Amazon offer is in stock and shippable</t>
        </is>
      </c>
      <c r="AD664" t="inlineStr">
        <is>
          <t>PUMA</t>
        </is>
      </c>
      <c r="AE664" t="inlineStr">
        <is>
          <t>9</t>
        </is>
      </c>
      <c r="AF664" t="inlineStr">
        <is>
          <t>https://m.media-amazon.com/images/I/6103V82XUmL.jpg</t>
        </is>
      </c>
      <c r="AG664"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5">
      <c r="A665" t="inlineStr">
        <is>
          <t>com</t>
        </is>
      </c>
      <c r="B665" t="inlineStr">
        <is>
          <t>B0CV9VFN9S</t>
        </is>
      </c>
      <c r="C665" t="inlineStr">
        <is>
          <t>PUMA Women's Court Classic Vulc Sneaker, First Class White Gold, 9.5</t>
        </is>
      </c>
      <c r="D665" t="n">
        <v>60</v>
      </c>
      <c r="E665" t="n">
        <v>60</v>
      </c>
      <c r="F665" t="n">
        <v>465486</v>
      </c>
      <c r="G665" t="n">
        <v>499403</v>
      </c>
      <c r="H665" t="n">
        <v>58.29</v>
      </c>
      <c r="I665" t="n">
        <v>58.76</v>
      </c>
      <c r="J665" t="n">
        <v>0</v>
      </c>
      <c r="K665" t="n">
        <v>0</v>
      </c>
      <c r="L665" t="n">
        <v>2</v>
      </c>
      <c r="M665" t="n">
        <v>2</v>
      </c>
      <c r="N665" t="n">
        <v>4.5</v>
      </c>
      <c r="O665" t="n">
        <v>2</v>
      </c>
      <c r="P665" t="n">
        <v>24</v>
      </c>
      <c r="Q665" t="n">
        <v>18</v>
      </c>
      <c r="R665" t="n">
        <v>56</v>
      </c>
      <c r="S665" t="inlineStr">
        <is>
          <t>B0D9WXM768</t>
        </is>
      </c>
      <c r="U665" t="n">
        <v>2.14068602</v>
      </c>
      <c r="V665" t="n">
        <v>7.54</v>
      </c>
      <c r="W665" t="n">
        <v>9</v>
      </c>
      <c r="X665" t="inlineStr">
        <is>
          <t>197646408427</t>
        </is>
      </c>
      <c r="Y665" t="inlineStr">
        <is>
          <t>39861501</t>
        </is>
      </c>
      <c r="Z665" t="inlineStr">
        <is>
          <t>39861501</t>
        </is>
      </c>
      <c r="AA665" t="inlineStr">
        <is>
          <t>First Class-puma White-puma Gold</t>
        </is>
      </c>
      <c r="AB665" t="inlineStr">
        <is>
          <t>0197646408427</t>
        </is>
      </c>
      <c r="AC665" t="inlineStr">
        <is>
          <t>Amazon offer is in stock and shippable</t>
        </is>
      </c>
      <c r="AD665" t="inlineStr">
        <is>
          <t>PUMA</t>
        </is>
      </c>
      <c r="AE665" t="inlineStr">
        <is>
          <t>9.5</t>
        </is>
      </c>
      <c r="AF665" t="inlineStr">
        <is>
          <t>https://m.media-amazon.com/images/I/6103V82XUmL.jpg</t>
        </is>
      </c>
      <c r="AG665"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6">
      <c r="A666" t="inlineStr">
        <is>
          <t>com</t>
        </is>
      </c>
      <c r="B666" t="inlineStr">
        <is>
          <t>B0CV9K1225</t>
        </is>
      </c>
      <c r="C666" t="inlineStr">
        <is>
          <t>PUMA Women's Court Classic Vulc Sneaker, First Class White Gold, 10</t>
        </is>
      </c>
      <c r="D666" t="n">
        <v>57.39</v>
      </c>
      <c r="E666" t="n">
        <v>57.02</v>
      </c>
      <c r="F666" t="n">
        <v>452991</v>
      </c>
      <c r="G666" t="n">
        <v>497192</v>
      </c>
      <c r="H666" t="n">
        <v>56.52</v>
      </c>
      <c r="I666" t="n">
        <v>57.82</v>
      </c>
      <c r="J666" t="n">
        <v>0</v>
      </c>
      <c r="K666" t="n">
        <v>0</v>
      </c>
      <c r="L666" t="n">
        <v>3</v>
      </c>
      <c r="M666" t="n">
        <v>3</v>
      </c>
      <c r="N666" t="n">
        <v>4.5</v>
      </c>
      <c r="O666" t="n">
        <v>0</v>
      </c>
      <c r="P666" t="n">
        <v>23</v>
      </c>
      <c r="Q666" t="n">
        <v>15</v>
      </c>
      <c r="R666" t="n">
        <v>48</v>
      </c>
      <c r="S666" t="inlineStr">
        <is>
          <t>B0D9WXM768</t>
        </is>
      </c>
      <c r="U666" t="n">
        <v>2.12084444</v>
      </c>
      <c r="V666" t="n">
        <v>7.54</v>
      </c>
      <c r="W666" t="n">
        <v>8.609999999999999</v>
      </c>
      <c r="X666" t="inlineStr">
        <is>
          <t>197646408472</t>
        </is>
      </c>
      <c r="Y666" t="inlineStr">
        <is>
          <t>39861501</t>
        </is>
      </c>
      <c r="Z666" t="inlineStr">
        <is>
          <t>39861501</t>
        </is>
      </c>
      <c r="AA666" t="inlineStr">
        <is>
          <t>First Class-puma White-puma Gold</t>
        </is>
      </c>
      <c r="AB666" t="inlineStr">
        <is>
          <t>0197646408472</t>
        </is>
      </c>
      <c r="AC666" t="inlineStr">
        <is>
          <t>Amazon offer is in stock and shippable</t>
        </is>
      </c>
      <c r="AD666" t="inlineStr">
        <is>
          <t>PUMA</t>
        </is>
      </c>
      <c r="AE666" t="inlineStr">
        <is>
          <t>10</t>
        </is>
      </c>
      <c r="AF666" t="inlineStr">
        <is>
          <t>https://m.media-amazon.com/images/I/6103V82XUmL.jpg</t>
        </is>
      </c>
      <c r="AG666"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7">
      <c r="A667" t="inlineStr">
        <is>
          <t>com</t>
        </is>
      </c>
      <c r="B667" t="inlineStr">
        <is>
          <t>B0CV9GM6GN</t>
        </is>
      </c>
      <c r="C667" t="inlineStr">
        <is>
          <t>PUMA Women's Court Classic Vulc Sneaker, First Class White Gold, 11</t>
        </is>
      </c>
      <c r="D667" t="n">
        <v>60</v>
      </c>
      <c r="E667" t="n">
        <v>59.6</v>
      </c>
      <c r="F667" t="n">
        <v>465486</v>
      </c>
      <c r="G667" t="n">
        <v>503515</v>
      </c>
      <c r="H667" t="n">
        <v>54.57</v>
      </c>
      <c r="I667" t="n">
        <v>56.84</v>
      </c>
      <c r="J667" t="n">
        <v>0</v>
      </c>
      <c r="K667" t="n">
        <v>0</v>
      </c>
      <c r="L667" t="n">
        <v>3</v>
      </c>
      <c r="M667" t="n">
        <v>3</v>
      </c>
      <c r="N667" t="n">
        <v>4.5</v>
      </c>
      <c r="O667" t="n">
        <v>0</v>
      </c>
      <c r="P667" t="n">
        <v>24</v>
      </c>
      <c r="Q667" t="n">
        <v>11</v>
      </c>
      <c r="R667" t="n">
        <v>48</v>
      </c>
      <c r="S667" t="inlineStr">
        <is>
          <t>B0D9WXM768</t>
        </is>
      </c>
      <c r="U667" t="n">
        <v>2.23107544</v>
      </c>
      <c r="V667" t="n">
        <v>7.7</v>
      </c>
      <c r="W667" t="n">
        <v>9</v>
      </c>
      <c r="X667" t="inlineStr">
        <is>
          <t>197646408489</t>
        </is>
      </c>
      <c r="Y667" t="inlineStr">
        <is>
          <t>39861501</t>
        </is>
      </c>
      <c r="Z667" t="inlineStr">
        <is>
          <t>39861501</t>
        </is>
      </c>
      <c r="AA667" t="inlineStr">
        <is>
          <t>First Class-puma White-puma Gold</t>
        </is>
      </c>
      <c r="AB667" t="inlineStr">
        <is>
          <t>0197646408489</t>
        </is>
      </c>
      <c r="AC667" t="inlineStr">
        <is>
          <t>Amazon offer is in stock and shippable</t>
        </is>
      </c>
      <c r="AD667" t="inlineStr">
        <is>
          <t>PUMA</t>
        </is>
      </c>
      <c r="AE667" t="inlineStr">
        <is>
          <t>11</t>
        </is>
      </c>
      <c r="AF667" t="inlineStr">
        <is>
          <t>https://m.media-amazon.com/images/I/6103V82XUmL.jpg</t>
        </is>
      </c>
      <c r="AG667" t="inlineStr">
        <is>
          <t>Description
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8">
      <c r="A668" t="inlineStr">
        <is>
          <t>com</t>
        </is>
      </c>
      <c r="B668" t="inlineStr">
        <is>
          <t>B0CLPSQKZ4</t>
        </is>
      </c>
      <c r="C668" t="inlineStr">
        <is>
          <t>PUMA Womens Court Classic Vulc Sneaker, Alpine Snow-Toasted Almond-PUMA Womens White, 5.5</t>
        </is>
      </c>
      <c r="D668" t="n">
        <v>57.4</v>
      </c>
      <c r="E668" t="inlineStr"/>
      <c r="F668" t="n">
        <v>326199</v>
      </c>
      <c r="G668" t="n">
        <v>1757574</v>
      </c>
      <c r="H668" t="inlineStr"/>
      <c r="I668" t="n">
        <v>57.4</v>
      </c>
      <c r="J668" t="n">
        <v>1</v>
      </c>
      <c r="K668" t="n">
        <v>1</v>
      </c>
      <c r="N668" t="n">
        <v>5</v>
      </c>
      <c r="O668" t="n">
        <v>1</v>
      </c>
      <c r="P668" t="n">
        <v>1</v>
      </c>
      <c r="Q668" t="n">
        <v>19</v>
      </c>
      <c r="R668" t="n">
        <v>62</v>
      </c>
      <c r="S668" t="inlineStr">
        <is>
          <t>B0DFHWX7M7</t>
        </is>
      </c>
      <c r="U668" t="n">
        <v>1.10010538</v>
      </c>
      <c r="V668" t="n">
        <v>6.44</v>
      </c>
      <c r="W668" t="inlineStr"/>
      <c r="X668" t="inlineStr">
        <is>
          <t>196859481081</t>
        </is>
      </c>
      <c r="Y668" t="inlineStr">
        <is>
          <t>39763408</t>
        </is>
      </c>
      <c r="Z668" t="inlineStr">
        <is>
          <t>39763408</t>
        </is>
      </c>
      <c r="AA668" t="inlineStr">
        <is>
          <t>Alpine Snow-toasted Almond-puma White</t>
        </is>
      </c>
      <c r="AB668" t="inlineStr">
        <is>
          <t>0196859481081</t>
        </is>
      </c>
      <c r="AC668" t="inlineStr">
        <is>
          <t>no Amazon offer exists</t>
        </is>
      </c>
      <c r="AD668" t="inlineStr">
        <is>
          <t>PUMA</t>
        </is>
      </c>
      <c r="AE668" t="inlineStr">
        <is>
          <t>5.5</t>
        </is>
      </c>
      <c r="AF668" t="inlineStr">
        <is>
          <t>https://m.media-amazon.com/images/I/41Gt1zzbzxL.jpg;https://m.media-amazon.com/images/I/61jsoLJvkDL.jpg;https://m.media-amazon.com/images/I/41KD0Y6SigL.jpg;https://m.media-amazon.com/images/I/51XkOzBaVWL.jpg;https://m.media-amazon.com/images/I/41cDnJONrqL.jpg;https://m.media-amazon.com/images/I/51I+FhfxDtL.jpg</t>
        </is>
      </c>
      <c r="AG668" t="inlineStr">
        <is>
          <t>Lean into effortless court vibes and make them a part of your style DNA. With a design inspired by retro tennis, the new Court Classic Vulc melds versatility and fashion into an iconic staple piece with a vulcanized tooling and qualitative canvas upper – inspired by the court, made for the street. The SoftFoam+ sock-liner provides superior cushioning and optimal comfort for every step of your day.</t>
        </is>
      </c>
    </row>
    <row r="669">
      <c r="A669" t="inlineStr">
        <is>
          <t>com</t>
        </is>
      </c>
      <c r="B669" t="inlineStr">
        <is>
          <t>B0CV9QJDYF</t>
        </is>
      </c>
      <c r="C669" t="inlineStr">
        <is>
          <t>PUMA Women's Softride Symmetry Fuzion Sneaker, Feather Gray-Mauve Mist-Rose Gold, 5.5</t>
        </is>
      </c>
      <c r="D669" t="n">
        <v>70</v>
      </c>
      <c r="E669" t="n">
        <v>70</v>
      </c>
      <c r="F669" t="n">
        <v>391714</v>
      </c>
      <c r="G669" t="n">
        <v>558779</v>
      </c>
      <c r="H669" t="n">
        <v>69.67</v>
      </c>
      <c r="I669" t="n">
        <v>69.69</v>
      </c>
      <c r="J669" t="n">
        <v>0</v>
      </c>
      <c r="K669" t="n">
        <v>0</v>
      </c>
      <c r="L669" t="n">
        <v>1</v>
      </c>
      <c r="M669" t="n">
        <v>1</v>
      </c>
      <c r="N669" t="n">
        <v>3.5</v>
      </c>
      <c r="O669" t="n">
        <v>0</v>
      </c>
      <c r="P669" t="n">
        <v>3</v>
      </c>
      <c r="Q669" t="n">
        <v>13</v>
      </c>
      <c r="R669" t="n">
        <v>27</v>
      </c>
      <c r="S669" t="inlineStr">
        <is>
          <t>B0CZCT35YC</t>
        </is>
      </c>
      <c r="U669" t="n">
        <v>1.32056738</v>
      </c>
      <c r="V669" t="n">
        <v>6.61</v>
      </c>
      <c r="W669" t="n">
        <v>10.5</v>
      </c>
      <c r="X669" t="inlineStr">
        <is>
          <t>197670255837</t>
        </is>
      </c>
      <c r="Y669" t="inlineStr">
        <is>
          <t>31046002</t>
        </is>
      </c>
      <c r="Z669" t="inlineStr">
        <is>
          <t>31046002</t>
        </is>
      </c>
      <c r="AA669" t="inlineStr">
        <is>
          <t>Feather Gray-mauve Mist-rose Gold</t>
        </is>
      </c>
      <c r="AB669" t="inlineStr">
        <is>
          <t>0197670255837</t>
        </is>
      </c>
      <c r="AC669" t="inlineStr">
        <is>
          <t>Amazon offer is in stock and shippable</t>
        </is>
      </c>
      <c r="AD669" t="inlineStr">
        <is>
          <t>PUMA</t>
        </is>
      </c>
      <c r="AE669" t="inlineStr">
        <is>
          <t>5.5</t>
        </is>
      </c>
      <c r="AF669" t="inlineStr">
        <is>
          <t>https://m.media-amazon.com/images/I/31Rsggvf3xL.jpg</t>
        </is>
      </c>
      <c r="AG669"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0">
      <c r="A670" t="inlineStr">
        <is>
          <t>com</t>
        </is>
      </c>
      <c r="B670" t="inlineStr">
        <is>
          <t>B0CV9KZ5MB</t>
        </is>
      </c>
      <c r="C670" t="inlineStr">
        <is>
          <t>PUMA Women's Softride Symmetry Fuzion Sneaker, Feather Gray-Mauve Mist-Rose Gold, 6</t>
        </is>
      </c>
      <c r="D670" t="n">
        <v>64.95</v>
      </c>
      <c r="E670" t="n">
        <v>64.95</v>
      </c>
      <c r="F670" t="n">
        <v>285213</v>
      </c>
      <c r="G670" t="n">
        <v>547877</v>
      </c>
      <c r="H670" t="n">
        <v>64.14</v>
      </c>
      <c r="I670" t="n">
        <v>65.56</v>
      </c>
      <c r="J670" t="n">
        <v>0</v>
      </c>
      <c r="K670" t="n">
        <v>0</v>
      </c>
      <c r="L670" t="n">
        <v>3</v>
      </c>
      <c r="M670" t="n">
        <v>3</v>
      </c>
      <c r="N670" t="n">
        <v>3.5</v>
      </c>
      <c r="O670" t="n">
        <v>0</v>
      </c>
      <c r="P670" t="n">
        <v>3</v>
      </c>
      <c r="Q670" t="n">
        <v>12</v>
      </c>
      <c r="R670" t="n">
        <v>32</v>
      </c>
      <c r="S670" t="inlineStr">
        <is>
          <t>B0CZCT35YC</t>
        </is>
      </c>
      <c r="U670" t="n">
        <v>1.3007258</v>
      </c>
      <c r="V670" t="n">
        <v>6.61</v>
      </c>
      <c r="W670" t="n">
        <v>9.74</v>
      </c>
      <c r="X670" t="inlineStr">
        <is>
          <t>197670255851</t>
        </is>
      </c>
      <c r="Y670" t="inlineStr">
        <is>
          <t>31046002</t>
        </is>
      </c>
      <c r="Z670" t="inlineStr">
        <is>
          <t>31046002</t>
        </is>
      </c>
      <c r="AA670" t="inlineStr">
        <is>
          <t>Feather Gray-mauve Mist-rose Gold</t>
        </is>
      </c>
      <c r="AB670" t="inlineStr">
        <is>
          <t>0197670255851</t>
        </is>
      </c>
      <c r="AC670" t="inlineStr">
        <is>
          <t>Amazon offer is in stock and shippable</t>
        </is>
      </c>
      <c r="AD670" t="inlineStr">
        <is>
          <t>PUMA</t>
        </is>
      </c>
      <c r="AE670" t="inlineStr">
        <is>
          <t>6</t>
        </is>
      </c>
      <c r="AF670" t="inlineStr">
        <is>
          <t>https://m.media-amazon.com/images/I/31Rsggvf3xL.jpg</t>
        </is>
      </c>
      <c r="AG670"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1">
      <c r="A671" t="inlineStr">
        <is>
          <t>com</t>
        </is>
      </c>
      <c r="B671" t="inlineStr">
        <is>
          <t>B0CV9JZN66</t>
        </is>
      </c>
      <c r="C671" t="inlineStr">
        <is>
          <t>PUMA Women's Softride Symmetry Fuzion Sneaker, Feather Gray-Mauve Mist-Rose Gold, 6.5</t>
        </is>
      </c>
      <c r="D671" t="n">
        <v>59.94</v>
      </c>
      <c r="E671" t="n">
        <v>59.94</v>
      </c>
      <c r="F671" t="n">
        <v>266340</v>
      </c>
      <c r="G671" t="n">
        <v>532921</v>
      </c>
      <c r="H671" t="n">
        <v>61.24</v>
      </c>
      <c r="I671" t="n">
        <v>63.63</v>
      </c>
      <c r="J671" t="n">
        <v>0</v>
      </c>
      <c r="K671" t="n">
        <v>0</v>
      </c>
      <c r="L671" t="n">
        <v>6</v>
      </c>
      <c r="M671" t="n">
        <v>7</v>
      </c>
      <c r="N671" t="n">
        <v>3.8</v>
      </c>
      <c r="O671" t="n">
        <v>0</v>
      </c>
      <c r="P671" t="n">
        <v>4</v>
      </c>
      <c r="Q671" t="n">
        <v>14</v>
      </c>
      <c r="R671" t="n">
        <v>41</v>
      </c>
      <c r="S671" t="inlineStr">
        <is>
          <t>B0CZCT35YC</t>
        </is>
      </c>
      <c r="U671" t="n">
        <v>1.34040896</v>
      </c>
      <c r="V671" t="n">
        <v>7.03</v>
      </c>
      <c r="W671" t="n">
        <v>8.99</v>
      </c>
      <c r="X671" t="inlineStr">
        <is>
          <t>197670255875</t>
        </is>
      </c>
      <c r="Y671" t="inlineStr">
        <is>
          <t>31046002</t>
        </is>
      </c>
      <c r="Z671" t="inlineStr">
        <is>
          <t>31046002</t>
        </is>
      </c>
      <c r="AA671" t="inlineStr">
        <is>
          <t>Feather Gray-mauve Mist-rose Gold</t>
        </is>
      </c>
      <c r="AB671" t="inlineStr">
        <is>
          <t>0197670255875</t>
        </is>
      </c>
      <c r="AC671" t="inlineStr">
        <is>
          <t>Amazon offer is in stock and shippable</t>
        </is>
      </c>
      <c r="AD671" t="inlineStr">
        <is>
          <t>PUMA</t>
        </is>
      </c>
      <c r="AE671" t="inlineStr">
        <is>
          <t>6.5</t>
        </is>
      </c>
      <c r="AF671" t="inlineStr">
        <is>
          <t>https://m.media-amazon.com/images/I/31Rsggvf3xL.jpg</t>
        </is>
      </c>
      <c r="AG671"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2">
      <c r="A672" t="inlineStr">
        <is>
          <t>com</t>
        </is>
      </c>
      <c r="B672" t="inlineStr">
        <is>
          <t>B0CV9JM3W1</t>
        </is>
      </c>
      <c r="C672" t="inlineStr">
        <is>
          <t>PUMA Women's Softride Symmetry Fuzion Sneaker, Feather Gray-Mauve Mist-Rose Gold, 7</t>
        </is>
      </c>
      <c r="D672" t="n">
        <v>54.75</v>
      </c>
      <c r="E672" t="n">
        <v>54.75</v>
      </c>
      <c r="F672" t="n">
        <v>266340</v>
      </c>
      <c r="G672" t="n">
        <v>527421</v>
      </c>
      <c r="H672" t="n">
        <v>63.41</v>
      </c>
      <c r="I672" t="n">
        <v>65.2</v>
      </c>
      <c r="J672" t="n">
        <v>0</v>
      </c>
      <c r="K672" t="n">
        <v>0</v>
      </c>
      <c r="L672" t="n">
        <v>6</v>
      </c>
      <c r="M672" t="n">
        <v>7</v>
      </c>
      <c r="N672" t="n">
        <v>3.8</v>
      </c>
      <c r="O672" t="n">
        <v>0</v>
      </c>
      <c r="P672" t="n">
        <v>4</v>
      </c>
      <c r="Q672" t="n">
        <v>18</v>
      </c>
      <c r="R672" t="n">
        <v>49</v>
      </c>
      <c r="S672" t="inlineStr">
        <is>
          <t>B0CZCT35YC</t>
        </is>
      </c>
      <c r="U672" t="n">
        <v>1.3889106</v>
      </c>
      <c r="V672" t="n">
        <v>6.61</v>
      </c>
      <c r="W672" t="n">
        <v>8.210000000000001</v>
      </c>
      <c r="X672" t="inlineStr">
        <is>
          <t>197670255899</t>
        </is>
      </c>
      <c r="Y672" t="inlineStr">
        <is>
          <t>31046002</t>
        </is>
      </c>
      <c r="Z672" t="inlineStr">
        <is>
          <t>31046002</t>
        </is>
      </c>
      <c r="AA672" t="inlineStr">
        <is>
          <t>Feather Gray-mauve Mist-rose Gold</t>
        </is>
      </c>
      <c r="AB672" t="inlineStr">
        <is>
          <t>0197670255899</t>
        </is>
      </c>
      <c r="AC672" t="inlineStr">
        <is>
          <t>Amazon offer is in stock and shippable</t>
        </is>
      </c>
      <c r="AD672" t="inlineStr">
        <is>
          <t>PUMA</t>
        </is>
      </c>
      <c r="AE672" t="inlineStr">
        <is>
          <t>7</t>
        </is>
      </c>
      <c r="AF672" t="inlineStr">
        <is>
          <t>https://m.media-amazon.com/images/I/71oXKLb35-L.jpg</t>
        </is>
      </c>
      <c r="AG672"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3">
      <c r="A673" t="inlineStr">
        <is>
          <t>com</t>
        </is>
      </c>
      <c r="B673" t="inlineStr">
        <is>
          <t>B0CV9PLZKY</t>
        </is>
      </c>
      <c r="C673" t="inlineStr">
        <is>
          <t>PUMA Women's Softride Symmetry Fuzion Sneaker, Feather Gray-Mauve Mist-Rose Gold, 7.5</t>
        </is>
      </c>
      <c r="D673" t="n">
        <v>58.95</v>
      </c>
      <c r="E673" t="n">
        <v>58.9</v>
      </c>
      <c r="F673" t="n">
        <v>266340</v>
      </c>
      <c r="G673" t="n">
        <v>559863</v>
      </c>
      <c r="H673" t="n">
        <v>61.55</v>
      </c>
      <c r="I673" t="n">
        <v>63.86</v>
      </c>
      <c r="J673" t="n">
        <v>0</v>
      </c>
      <c r="K673" t="n">
        <v>0</v>
      </c>
      <c r="L673" t="n">
        <v>7</v>
      </c>
      <c r="M673" t="n">
        <v>7</v>
      </c>
      <c r="N673" t="n">
        <v>3.5</v>
      </c>
      <c r="O673" t="n">
        <v>0</v>
      </c>
      <c r="P673" t="n">
        <v>3</v>
      </c>
      <c r="Q673" t="n">
        <v>16</v>
      </c>
      <c r="R673" t="n">
        <v>40</v>
      </c>
      <c r="S673" t="inlineStr">
        <is>
          <t>B0CZCT35YC</t>
        </is>
      </c>
      <c r="U673" t="n">
        <v>2.20021076</v>
      </c>
      <c r="V673" t="n">
        <v>7.03</v>
      </c>
      <c r="W673" t="n">
        <v>8.84</v>
      </c>
      <c r="X673" t="inlineStr">
        <is>
          <t>197670255912</t>
        </is>
      </c>
      <c r="Y673" t="inlineStr">
        <is>
          <t>31046002</t>
        </is>
      </c>
      <c r="Z673" t="inlineStr">
        <is>
          <t>31046002</t>
        </is>
      </c>
      <c r="AA673" t="inlineStr">
        <is>
          <t>Feather Gray-mauve Mist-rose Gold</t>
        </is>
      </c>
      <c r="AB673" t="inlineStr">
        <is>
          <t>0197670255912</t>
        </is>
      </c>
      <c r="AC673" t="inlineStr">
        <is>
          <t>Amazon offer is in stock and shippable</t>
        </is>
      </c>
      <c r="AD673" t="inlineStr">
        <is>
          <t>PUMA</t>
        </is>
      </c>
      <c r="AE673" t="inlineStr">
        <is>
          <t>7.5</t>
        </is>
      </c>
      <c r="AF673" t="inlineStr">
        <is>
          <t>https://m.media-amazon.com/images/I/31Rsggvf3xL.jpg</t>
        </is>
      </c>
      <c r="AG673"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4">
      <c r="A674" t="inlineStr">
        <is>
          <t>com</t>
        </is>
      </c>
      <c r="B674" t="inlineStr">
        <is>
          <t>B0CV9HX7R1</t>
        </is>
      </c>
      <c r="C674" t="inlineStr">
        <is>
          <t>PUMA Women's Softride Symmetry Fuzion Sneaker, Feather Gray-Mauve Mist-Rose Gold, 8</t>
        </is>
      </c>
      <c r="D674" t="n">
        <v>61.03</v>
      </c>
      <c r="E674" t="n">
        <v>59.94</v>
      </c>
      <c r="F674" t="n">
        <v>266340</v>
      </c>
      <c r="G674" t="n">
        <v>543414</v>
      </c>
      <c r="H674" t="n">
        <v>62.66</v>
      </c>
      <c r="I674" t="n">
        <v>64.73999999999999</v>
      </c>
      <c r="J674" t="n">
        <v>0</v>
      </c>
      <c r="K674" t="n">
        <v>0</v>
      </c>
      <c r="L674" t="n">
        <v>6</v>
      </c>
      <c r="M674" t="n">
        <v>8</v>
      </c>
      <c r="N674" t="n">
        <v>3.8</v>
      </c>
      <c r="O674" t="n">
        <v>0</v>
      </c>
      <c r="P674" t="n">
        <v>4</v>
      </c>
      <c r="Q674" t="n">
        <v>17</v>
      </c>
      <c r="R674" t="n">
        <v>43</v>
      </c>
      <c r="S674" t="inlineStr">
        <is>
          <t>B0CZCT35YC</t>
        </is>
      </c>
      <c r="U674" t="n">
        <v>1.45945844</v>
      </c>
      <c r="V674" t="n">
        <v>7.03</v>
      </c>
      <c r="W674" t="n">
        <v>9.15</v>
      </c>
      <c r="X674" t="inlineStr">
        <is>
          <t>197670255943</t>
        </is>
      </c>
      <c r="Y674" t="inlineStr">
        <is>
          <t>31046002</t>
        </is>
      </c>
      <c r="Z674" t="inlineStr">
        <is>
          <t>31046002</t>
        </is>
      </c>
      <c r="AA674" t="inlineStr">
        <is>
          <t>Feather Gray-mauve Mist-rose Gold</t>
        </is>
      </c>
      <c r="AB674" t="inlineStr">
        <is>
          <t>0197670255943</t>
        </is>
      </c>
      <c r="AC674" t="inlineStr">
        <is>
          <t>Amazon offer is in stock and shippable</t>
        </is>
      </c>
      <c r="AD674" t="inlineStr">
        <is>
          <t>PUMA</t>
        </is>
      </c>
      <c r="AE674" t="inlineStr">
        <is>
          <t>8</t>
        </is>
      </c>
      <c r="AF674" t="inlineStr">
        <is>
          <t>https://m.media-amazon.com/images/I/31Rsggvf3xL.jpg</t>
        </is>
      </c>
      <c r="AG674"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5">
      <c r="A675" t="inlineStr">
        <is>
          <t>com</t>
        </is>
      </c>
      <c r="B675" t="inlineStr">
        <is>
          <t>B0CV9NHLQG</t>
        </is>
      </c>
      <c r="C675" t="inlineStr">
        <is>
          <t>PUMA Women's Softride Symmetry Fuzion Sneaker, Feather Gray-Mauve Mist-Rose Gold, 8.5</t>
        </is>
      </c>
      <c r="D675" t="n">
        <v>59.94</v>
      </c>
      <c r="E675" t="n">
        <v>59.94</v>
      </c>
      <c r="F675" t="n">
        <v>266340</v>
      </c>
      <c r="G675" t="n">
        <v>541190</v>
      </c>
      <c r="H675" t="n">
        <v>64.23999999999999</v>
      </c>
      <c r="I675" t="n">
        <v>65.87</v>
      </c>
      <c r="J675" t="n">
        <v>0</v>
      </c>
      <c r="K675" t="n">
        <v>0</v>
      </c>
      <c r="L675" t="n">
        <v>6</v>
      </c>
      <c r="M675" t="n">
        <v>7</v>
      </c>
      <c r="N675" t="n">
        <v>3.8</v>
      </c>
      <c r="O675" t="n">
        <v>0</v>
      </c>
      <c r="P675" t="n">
        <v>4</v>
      </c>
      <c r="Q675" t="n">
        <v>17</v>
      </c>
      <c r="R675" t="n">
        <v>37</v>
      </c>
      <c r="S675" t="inlineStr">
        <is>
          <t>B0CZCT35YC</t>
        </is>
      </c>
      <c r="U675" t="n">
        <v>2.25091702</v>
      </c>
      <c r="V675" t="n">
        <v>7.54</v>
      </c>
      <c r="W675" t="n">
        <v>8.99</v>
      </c>
      <c r="X675" t="inlineStr">
        <is>
          <t>197670255967</t>
        </is>
      </c>
      <c r="Y675" t="inlineStr">
        <is>
          <t>31046002</t>
        </is>
      </c>
      <c r="Z675" t="inlineStr">
        <is>
          <t>31046002</t>
        </is>
      </c>
      <c r="AA675" t="inlineStr">
        <is>
          <t>Feather Gray-mauve Mist-rose Gold</t>
        </is>
      </c>
      <c r="AB675" t="inlineStr">
        <is>
          <t>0197670255967</t>
        </is>
      </c>
      <c r="AC675" t="inlineStr">
        <is>
          <t>Amazon offer is in stock and shippable</t>
        </is>
      </c>
      <c r="AD675" t="inlineStr">
        <is>
          <t>PUMA</t>
        </is>
      </c>
      <c r="AE675" t="inlineStr">
        <is>
          <t>8.5</t>
        </is>
      </c>
      <c r="AF675" t="inlineStr">
        <is>
          <t>https://m.media-amazon.com/images/I/31Rsggvf3xL.jpg</t>
        </is>
      </c>
      <c r="AG675"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6">
      <c r="A676" t="inlineStr">
        <is>
          <t>com</t>
        </is>
      </c>
      <c r="B676" t="inlineStr">
        <is>
          <t>B0CV9B7SV8</t>
        </is>
      </c>
      <c r="C676" t="inlineStr">
        <is>
          <t>PUMA Women's Softride Symmetry Fuzion Sneaker, Feather Gray-Mauve Mist-Rose Gold, 9</t>
        </is>
      </c>
      <c r="D676" t="n">
        <v>52.12</v>
      </c>
      <c r="E676" t="n">
        <v>52.12</v>
      </c>
      <c r="F676" t="n">
        <v>266340</v>
      </c>
      <c r="G676" t="n">
        <v>546800</v>
      </c>
      <c r="H676" t="n">
        <v>61.51</v>
      </c>
      <c r="I676" t="n">
        <v>63.83</v>
      </c>
      <c r="J676" t="n">
        <v>0</v>
      </c>
      <c r="K676" t="n">
        <v>0</v>
      </c>
      <c r="L676" t="n">
        <v>5</v>
      </c>
      <c r="M676" t="n">
        <v>6</v>
      </c>
      <c r="N676" t="n">
        <v>3.8</v>
      </c>
      <c r="O676" t="n">
        <v>0</v>
      </c>
      <c r="P676" t="n">
        <v>4</v>
      </c>
      <c r="Q676" t="n">
        <v>15</v>
      </c>
      <c r="R676" t="n">
        <v>39</v>
      </c>
      <c r="S676" t="inlineStr">
        <is>
          <t>B0CZCT35YC</t>
        </is>
      </c>
      <c r="U676" t="n">
        <v>2.31044176</v>
      </c>
      <c r="V676" t="n">
        <v>7.54</v>
      </c>
      <c r="W676" t="n">
        <v>7.82</v>
      </c>
      <c r="X676" t="inlineStr">
        <is>
          <t>197670255981</t>
        </is>
      </c>
      <c r="Y676" t="inlineStr">
        <is>
          <t>31046002</t>
        </is>
      </c>
      <c r="Z676" t="inlineStr">
        <is>
          <t>31046002</t>
        </is>
      </c>
      <c r="AA676" t="inlineStr">
        <is>
          <t>Feather Gray-mauve Mist-rose Gold</t>
        </is>
      </c>
      <c r="AB676" t="inlineStr">
        <is>
          <t>0197670255981</t>
        </is>
      </c>
      <c r="AC676" t="inlineStr">
        <is>
          <t>Amazon offer is in stock and shippable</t>
        </is>
      </c>
      <c r="AD676" t="inlineStr">
        <is>
          <t>PUMA</t>
        </is>
      </c>
      <c r="AE676" t="inlineStr">
        <is>
          <t>9</t>
        </is>
      </c>
      <c r="AF676" t="inlineStr">
        <is>
          <t>https://m.media-amazon.com/images/I/71oXKLb35-L.jpg</t>
        </is>
      </c>
      <c r="AG676"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7">
      <c r="A677" t="inlineStr">
        <is>
          <t>com</t>
        </is>
      </c>
      <c r="B677" t="inlineStr">
        <is>
          <t>B0CV9MJ791</t>
        </is>
      </c>
      <c r="C677" t="inlineStr">
        <is>
          <t>PUMA Women's Softride Symmetry Fuzion Sneaker, Feather Gray-Mauve Mist-Rose Gold, 9.5</t>
        </is>
      </c>
      <c r="D677" t="n">
        <v>61.13</v>
      </c>
      <c r="E677" t="n">
        <v>59.94</v>
      </c>
      <c r="F677" t="n">
        <v>266340</v>
      </c>
      <c r="G677" t="n">
        <v>518171</v>
      </c>
      <c r="H677" t="n">
        <v>61.72</v>
      </c>
      <c r="I677" t="n">
        <v>63.98</v>
      </c>
      <c r="J677" t="n">
        <v>0</v>
      </c>
      <c r="K677" t="n">
        <v>0</v>
      </c>
      <c r="L677" t="n">
        <v>7</v>
      </c>
      <c r="M677" t="n">
        <v>9</v>
      </c>
      <c r="N677" t="n">
        <v>3.8</v>
      </c>
      <c r="O677" t="n">
        <v>0</v>
      </c>
      <c r="P677" t="n">
        <v>4</v>
      </c>
      <c r="Q677" t="n">
        <v>18</v>
      </c>
      <c r="R677" t="n">
        <v>40</v>
      </c>
      <c r="S677" t="inlineStr">
        <is>
          <t>B0CZCT35YC</t>
        </is>
      </c>
      <c r="U677" t="n">
        <v>2.3809896</v>
      </c>
      <c r="V677" t="n">
        <v>7.7</v>
      </c>
      <c r="W677" t="n">
        <v>9.17</v>
      </c>
      <c r="X677" t="inlineStr">
        <is>
          <t>197670256001</t>
        </is>
      </c>
      <c r="Y677" t="inlineStr">
        <is>
          <t>31046002</t>
        </is>
      </c>
      <c r="Z677" t="inlineStr">
        <is>
          <t>31046002</t>
        </is>
      </c>
      <c r="AA677" t="inlineStr">
        <is>
          <t>Feather Gray-mauve Mist-rose Gold</t>
        </is>
      </c>
      <c r="AB677" t="inlineStr">
        <is>
          <t>0197670256001</t>
        </is>
      </c>
      <c r="AC677" t="inlineStr">
        <is>
          <t>Amazon offer is in stock and shippable</t>
        </is>
      </c>
      <c r="AD677" t="inlineStr">
        <is>
          <t>PUMA</t>
        </is>
      </c>
      <c r="AE677" t="inlineStr">
        <is>
          <t>9.5</t>
        </is>
      </c>
      <c r="AF677" t="inlineStr">
        <is>
          <t>https://m.media-amazon.com/images/I/71oXKLb35-L.jpg</t>
        </is>
      </c>
      <c r="AG677"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8">
      <c r="A678" t="inlineStr">
        <is>
          <t>com</t>
        </is>
      </c>
      <c r="B678" t="inlineStr">
        <is>
          <t>B0CV9J88GB</t>
        </is>
      </c>
      <c r="C678" t="inlineStr">
        <is>
          <t>PUMA Women's Softride Symmetry Fuzion Sneaker, Feather Gray-Mauve Mist-Rose Gold, 10</t>
        </is>
      </c>
      <c r="D678" t="n">
        <v>59.94</v>
      </c>
      <c r="E678" t="n">
        <v>59.94</v>
      </c>
      <c r="F678" t="n">
        <v>266340</v>
      </c>
      <c r="G678" t="n">
        <v>559578</v>
      </c>
      <c r="H678" t="n">
        <v>63.6</v>
      </c>
      <c r="I678" t="n">
        <v>65.34</v>
      </c>
      <c r="J678" t="n">
        <v>0</v>
      </c>
      <c r="K678" t="n">
        <v>0</v>
      </c>
      <c r="L678" t="n">
        <v>7</v>
      </c>
      <c r="M678" t="n">
        <v>8</v>
      </c>
      <c r="N678" t="n">
        <v>3.8</v>
      </c>
      <c r="O678" t="n">
        <v>0</v>
      </c>
      <c r="P678" t="n">
        <v>4</v>
      </c>
      <c r="Q678" t="n">
        <v>18</v>
      </c>
      <c r="R678" t="n">
        <v>42</v>
      </c>
      <c r="S678" t="inlineStr">
        <is>
          <t>B0CZCT35YC</t>
        </is>
      </c>
      <c r="U678" t="n">
        <v>2.42949124</v>
      </c>
      <c r="V678" t="n">
        <v>7.62</v>
      </c>
      <c r="W678" t="n">
        <v>8.99</v>
      </c>
      <c r="X678" t="inlineStr">
        <is>
          <t>197670256018</t>
        </is>
      </c>
      <c r="Y678" t="inlineStr">
        <is>
          <t>31046002</t>
        </is>
      </c>
      <c r="Z678" t="inlineStr">
        <is>
          <t>31046002</t>
        </is>
      </c>
      <c r="AA678" t="inlineStr">
        <is>
          <t>Feather Gray-mauve Mist-rose Gold</t>
        </is>
      </c>
      <c r="AB678" t="inlineStr">
        <is>
          <t>0197670256018</t>
        </is>
      </c>
      <c r="AC678" t="inlineStr">
        <is>
          <t>Amazon offer is in stock and shippable</t>
        </is>
      </c>
      <c r="AD678" t="inlineStr">
        <is>
          <t>PUMA</t>
        </is>
      </c>
      <c r="AE678" t="inlineStr">
        <is>
          <t>10</t>
        </is>
      </c>
      <c r="AF678" t="inlineStr">
        <is>
          <t>https://m.media-amazon.com/images/I/71oXKLb35-L.jpg</t>
        </is>
      </c>
      <c r="AG678" t="inlineStr">
        <is>
          <t>Description
Softride Symmetry Fuzion utilizes two key PUMA technologies creating optimal comfort! Softride Symmetry Fuzion features PUMA’s Softride cushioning mixed with Fuzion Fit technology which provides additional support and comfort in targeted areas. Softride Symmetry offers unique lacing system, premium engineered mesh and CPU heel clip for additional stability.</t>
        </is>
      </c>
    </row>
    <row r="679">
      <c r="A679" t="inlineStr">
        <is>
          <t>com</t>
        </is>
      </c>
      <c r="B679" t="inlineStr">
        <is>
          <t>B0D32B778C</t>
        </is>
      </c>
      <c r="C679" t="inlineStr">
        <is>
          <t>PUMA Women's Carina Street Sneaker, Blingbling White White-Metallic Gold, 5.5</t>
        </is>
      </c>
      <c r="D679" t="n">
        <v>29.38</v>
      </c>
      <c r="E679" t="n">
        <v>29.38</v>
      </c>
      <c r="H679" t="n">
        <v>51.64</v>
      </c>
      <c r="I679" t="n">
        <v>58.02</v>
      </c>
      <c r="J679" t="n">
        <v>0</v>
      </c>
      <c r="K679" t="n">
        <v>0</v>
      </c>
      <c r="L679" t="n">
        <v>1</v>
      </c>
      <c r="M679" t="n">
        <v>2</v>
      </c>
      <c r="Q679" t="n">
        <v>-1</v>
      </c>
      <c r="R679" t="n">
        <v>-1</v>
      </c>
      <c r="S679" t="inlineStr"/>
      <c r="U679" t="n">
        <v>1.69976202</v>
      </c>
      <c r="V679" t="n">
        <v>7.03</v>
      </c>
      <c r="W679" t="n">
        <v>4.41</v>
      </c>
      <c r="X679" t="inlineStr">
        <is>
          <t>197671721867</t>
        </is>
      </c>
      <c r="Y679" t="inlineStr"/>
      <c r="Z679" t="inlineStr">
        <is>
          <t>39907601</t>
        </is>
      </c>
      <c r="AA679" t="inlineStr">
        <is>
          <t>Blingbling-puma White-puma White-metallic Gold</t>
        </is>
      </c>
      <c r="AB679" t="inlineStr">
        <is>
          <t>0197671721867</t>
        </is>
      </c>
      <c r="AC679" t="inlineStr">
        <is>
          <t>Amazon offer is in stock and shippable</t>
        </is>
      </c>
      <c r="AD679" t="inlineStr">
        <is>
          <t>PUMA</t>
        </is>
      </c>
      <c r="AE679" t="inlineStr">
        <is>
          <t>5.5</t>
        </is>
      </c>
      <c r="AF679" t="inlineStr"/>
      <c r="AG679" t="inlineStr"/>
    </row>
    <row r="680">
      <c r="A680" t="inlineStr">
        <is>
          <t>com</t>
        </is>
      </c>
      <c r="B680" t="inlineStr">
        <is>
          <t>B0D329G2DQ</t>
        </is>
      </c>
      <c r="C680" t="inlineStr">
        <is>
          <t>PUMA Women's Carina Street Sneaker, Blingbling White White-Metallic Gold, 6</t>
        </is>
      </c>
      <c r="D680" t="n">
        <v>24.83</v>
      </c>
      <c r="E680" t="n">
        <v>24.83</v>
      </c>
      <c r="H680" t="n">
        <v>48.5</v>
      </c>
      <c r="I680" t="n">
        <v>57.72</v>
      </c>
      <c r="J680" t="n">
        <v>0</v>
      </c>
      <c r="K680" t="n">
        <v>0</v>
      </c>
      <c r="L680" t="n">
        <v>2</v>
      </c>
      <c r="M680" t="n">
        <v>2</v>
      </c>
      <c r="Q680" t="n">
        <v>-1</v>
      </c>
      <c r="R680" t="n">
        <v>-1</v>
      </c>
      <c r="S680" t="inlineStr"/>
      <c r="U680" t="n">
        <v>1.69976202</v>
      </c>
      <c r="V680" t="n">
        <v>7.03</v>
      </c>
      <c r="W680" t="n">
        <v>3.72</v>
      </c>
      <c r="X680" t="inlineStr">
        <is>
          <t>197671721928</t>
        </is>
      </c>
      <c r="Y680" t="inlineStr"/>
      <c r="Z680" t="inlineStr">
        <is>
          <t>39907601</t>
        </is>
      </c>
      <c r="AA680" t="inlineStr">
        <is>
          <t>Blingbling-puma White-puma White-metallic Gold</t>
        </is>
      </c>
      <c r="AB680" t="inlineStr">
        <is>
          <t>0197671721928</t>
        </is>
      </c>
      <c r="AC680" t="inlineStr">
        <is>
          <t>Amazon offer is in stock and shippable</t>
        </is>
      </c>
      <c r="AD680" t="inlineStr">
        <is>
          <t>PUMA</t>
        </is>
      </c>
      <c r="AE680" t="inlineStr">
        <is>
          <t>6</t>
        </is>
      </c>
      <c r="AF680" t="inlineStr"/>
      <c r="AG680" t="inlineStr"/>
    </row>
    <row r="681">
      <c r="A681" t="inlineStr">
        <is>
          <t>com</t>
        </is>
      </c>
      <c r="B681" t="inlineStr">
        <is>
          <t>B0D32BNJXG</t>
        </is>
      </c>
      <c r="C681" t="inlineStr">
        <is>
          <t>PUMA Women's Carina Street Sneaker, Blingbling White White-Metallic Gold, 6.5</t>
        </is>
      </c>
      <c r="D681" t="n">
        <v>23.87</v>
      </c>
      <c r="E681" t="n">
        <v>23.87</v>
      </c>
      <c r="H681" t="n">
        <v>47.08</v>
      </c>
      <c r="I681" t="n">
        <v>56.9</v>
      </c>
      <c r="J681" t="n">
        <v>0</v>
      </c>
      <c r="K681" t="n">
        <v>0</v>
      </c>
      <c r="L681" t="n">
        <v>2</v>
      </c>
      <c r="M681" t="n">
        <v>3</v>
      </c>
      <c r="Q681" t="n">
        <v>-1</v>
      </c>
      <c r="R681" t="n">
        <v>-1</v>
      </c>
      <c r="S681" t="inlineStr"/>
      <c r="U681" t="n">
        <v>1.75928676</v>
      </c>
      <c r="V681" t="n">
        <v>7.03</v>
      </c>
      <c r="W681" t="n">
        <v>3.58</v>
      </c>
      <c r="X681" t="inlineStr">
        <is>
          <t>197671721874</t>
        </is>
      </c>
      <c r="Y681" t="inlineStr"/>
      <c r="Z681" t="inlineStr">
        <is>
          <t>39907601</t>
        </is>
      </c>
      <c r="AA681" t="inlineStr">
        <is>
          <t>Blingbling-puma White-puma White-metallic Gold</t>
        </is>
      </c>
      <c r="AB681" t="inlineStr">
        <is>
          <t>0197671721874</t>
        </is>
      </c>
      <c r="AC681" t="inlineStr">
        <is>
          <t>Amazon offer is in stock and shippable</t>
        </is>
      </c>
      <c r="AD681" t="inlineStr">
        <is>
          <t>PUMA</t>
        </is>
      </c>
      <c r="AE681" t="inlineStr">
        <is>
          <t>6.5</t>
        </is>
      </c>
      <c r="AF681" t="inlineStr"/>
      <c r="AG681" t="inlineStr">
        <is>
          <t>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82">
      <c r="A682" t="inlineStr">
        <is>
          <t>com</t>
        </is>
      </c>
      <c r="B682" t="inlineStr">
        <is>
          <t>B0D32BHF5L</t>
        </is>
      </c>
      <c r="C682" t="inlineStr">
        <is>
          <t>PUMA Women's Carina Street Sneaker, Blingbling White White-Metallic Gold, 7</t>
        </is>
      </c>
      <c r="D682" t="n">
        <v>22.19</v>
      </c>
      <c r="E682" t="n">
        <v>22.19</v>
      </c>
      <c r="H682" t="n">
        <v>43.44</v>
      </c>
      <c r="I682" t="n">
        <v>54.56</v>
      </c>
      <c r="J682" t="n">
        <v>0</v>
      </c>
      <c r="K682" t="n">
        <v>0</v>
      </c>
      <c r="L682" t="n">
        <v>2</v>
      </c>
      <c r="M682" t="n">
        <v>3</v>
      </c>
      <c r="Q682" t="n">
        <v>-1</v>
      </c>
      <c r="R682" t="n">
        <v>-1</v>
      </c>
      <c r="S682" t="inlineStr"/>
      <c r="U682" t="n">
        <v>1.84967618</v>
      </c>
      <c r="V682" t="n">
        <v>7.03</v>
      </c>
      <c r="W682" t="n">
        <v>3.33</v>
      </c>
      <c r="X682" t="inlineStr">
        <is>
          <t>197671721935</t>
        </is>
      </c>
      <c r="Y682" t="inlineStr"/>
      <c r="Z682" t="inlineStr">
        <is>
          <t>39907601</t>
        </is>
      </c>
      <c r="AA682" t="inlineStr">
        <is>
          <t>Blingbling-puma White-puma White-metallic Gold</t>
        </is>
      </c>
      <c r="AB682" t="inlineStr">
        <is>
          <t>0197671721935</t>
        </is>
      </c>
      <c r="AC682" t="inlineStr">
        <is>
          <t>Amazon offer is in stock and shippable</t>
        </is>
      </c>
      <c r="AD682" t="inlineStr">
        <is>
          <t>PUMA</t>
        </is>
      </c>
      <c r="AE682" t="inlineStr">
        <is>
          <t>7</t>
        </is>
      </c>
      <c r="AF682" t="inlineStr"/>
      <c r="AG682"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83">
      <c r="A683" t="inlineStr">
        <is>
          <t>com</t>
        </is>
      </c>
      <c r="B683" t="inlineStr">
        <is>
          <t>B0D329GM2K</t>
        </is>
      </c>
      <c r="C683" t="inlineStr">
        <is>
          <t>PUMA Women's Carina Street Sneaker, Blingbling White White-Metallic Gold, 7.5</t>
        </is>
      </c>
      <c r="D683" t="n">
        <v>24.24</v>
      </c>
      <c r="E683" t="n">
        <v>24.24</v>
      </c>
      <c r="H683" t="n">
        <v>48.22</v>
      </c>
      <c r="I683" t="n">
        <v>57.37</v>
      </c>
      <c r="J683" t="n">
        <v>0</v>
      </c>
      <c r="K683" t="n">
        <v>0</v>
      </c>
      <c r="L683" t="n">
        <v>2</v>
      </c>
      <c r="M683" t="n">
        <v>3</v>
      </c>
      <c r="Q683" t="n">
        <v>-1</v>
      </c>
      <c r="R683" t="n">
        <v>-1</v>
      </c>
      <c r="S683" t="inlineStr"/>
      <c r="U683" t="n">
        <v>1.9400656</v>
      </c>
      <c r="V683" t="n">
        <v>7.62</v>
      </c>
      <c r="W683" t="n">
        <v>3.64</v>
      </c>
      <c r="X683" t="inlineStr">
        <is>
          <t>197671721881</t>
        </is>
      </c>
      <c r="Y683" t="inlineStr"/>
      <c r="Z683" t="inlineStr">
        <is>
          <t>39907601</t>
        </is>
      </c>
      <c r="AA683" t="inlineStr">
        <is>
          <t>Blingbling-puma White-puma White-metallic Gold</t>
        </is>
      </c>
      <c r="AB683" t="inlineStr">
        <is>
          <t>0197671721881</t>
        </is>
      </c>
      <c r="AC683" t="inlineStr">
        <is>
          <t>Amazon offer is in stock and shippable</t>
        </is>
      </c>
      <c r="AD683" t="inlineStr">
        <is>
          <t>PUMA</t>
        </is>
      </c>
      <c r="AE683" t="inlineStr">
        <is>
          <t>7.5</t>
        </is>
      </c>
      <c r="AF683" t="inlineStr"/>
      <c r="AG683" t="inlineStr">
        <is>
          <t>Description
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84">
      <c r="A684" t="inlineStr">
        <is>
          <t>com</t>
        </is>
      </c>
      <c r="B684" t="inlineStr">
        <is>
          <t>B0D32C5N17</t>
        </is>
      </c>
      <c r="C684" t="inlineStr">
        <is>
          <t>PUMA Women's Carina Street Sneaker, Blingbling White White-Metallic Gold, 8</t>
        </is>
      </c>
      <c r="D684" t="n">
        <v>23.87</v>
      </c>
      <c r="E684" t="n">
        <v>23.87</v>
      </c>
      <c r="H684" t="n">
        <v>48.16</v>
      </c>
      <c r="I684" t="n">
        <v>57.44</v>
      </c>
      <c r="J684" t="n">
        <v>0</v>
      </c>
      <c r="K684" t="n">
        <v>0</v>
      </c>
      <c r="L684" t="n">
        <v>2</v>
      </c>
      <c r="M684" t="n">
        <v>3</v>
      </c>
      <c r="Q684" t="n">
        <v>-1</v>
      </c>
      <c r="R684" t="n">
        <v>-1</v>
      </c>
      <c r="S684" t="inlineStr"/>
      <c r="U684" t="n">
        <v>1.95990718</v>
      </c>
      <c r="V684" t="n">
        <v>7.62</v>
      </c>
      <c r="W684" t="n">
        <v>3.58</v>
      </c>
      <c r="X684" t="inlineStr">
        <is>
          <t>197671721942</t>
        </is>
      </c>
      <c r="Y684" t="inlineStr"/>
      <c r="Z684" t="inlineStr">
        <is>
          <t>39907601</t>
        </is>
      </c>
      <c r="AA684" t="inlineStr">
        <is>
          <t>Blingbling-puma White-puma White-metallic Gold</t>
        </is>
      </c>
      <c r="AB684" t="inlineStr">
        <is>
          <t>0197671721942</t>
        </is>
      </c>
      <c r="AC684" t="inlineStr">
        <is>
          <t>Amazon offer is in stock and shippable</t>
        </is>
      </c>
      <c r="AD684" t="inlineStr">
        <is>
          <t>PUMA</t>
        </is>
      </c>
      <c r="AE684" t="inlineStr">
        <is>
          <t>8</t>
        </is>
      </c>
      <c r="AF684" t="inlineStr"/>
      <c r="AG684" t="inlineStr"/>
    </row>
    <row r="685">
      <c r="A685" t="inlineStr">
        <is>
          <t>com</t>
        </is>
      </c>
      <c r="B685" t="inlineStr">
        <is>
          <t>B0D32B8PJB</t>
        </is>
      </c>
      <c r="C685" t="inlineStr">
        <is>
          <t>PUMA Women's Carina Street Sneaker, Blingbling White White-Metallic Gold, 8.5</t>
        </is>
      </c>
      <c r="D685" t="n">
        <v>22.28</v>
      </c>
      <c r="E685" t="n">
        <v>22.28</v>
      </c>
      <c r="H685" t="n">
        <v>44.87</v>
      </c>
      <c r="I685" t="n">
        <v>55.5</v>
      </c>
      <c r="J685" t="n">
        <v>0</v>
      </c>
      <c r="K685" t="n">
        <v>0</v>
      </c>
      <c r="L685" t="n">
        <v>2</v>
      </c>
      <c r="M685" t="n">
        <v>3</v>
      </c>
      <c r="Q685" t="n">
        <v>-1</v>
      </c>
      <c r="R685" t="n">
        <v>-1</v>
      </c>
      <c r="S685" t="inlineStr"/>
      <c r="U685" t="n">
        <v>1.97974876</v>
      </c>
      <c r="V685" t="n">
        <v>7.62</v>
      </c>
      <c r="W685" t="n">
        <v>3.34</v>
      </c>
      <c r="X685" t="inlineStr">
        <is>
          <t>197671721898</t>
        </is>
      </c>
      <c r="Y685" t="inlineStr"/>
      <c r="Z685" t="inlineStr">
        <is>
          <t>39907601</t>
        </is>
      </c>
      <c r="AA685" t="inlineStr">
        <is>
          <t>Blingbling-puma White-puma White-metallic Gold</t>
        </is>
      </c>
      <c r="AB685" t="inlineStr">
        <is>
          <t>0197671721898</t>
        </is>
      </c>
      <c r="AC685" t="inlineStr">
        <is>
          <t>Amazon offer is in stock and shippable</t>
        </is>
      </c>
      <c r="AD685" t="inlineStr">
        <is>
          <t>PUMA</t>
        </is>
      </c>
      <c r="AE685" t="inlineStr">
        <is>
          <t>8.5</t>
        </is>
      </c>
      <c r="AF685" t="inlineStr"/>
      <c r="AG685" t="inlineStr">
        <is>
          <t>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86">
      <c r="A686" t="inlineStr">
        <is>
          <t>com</t>
        </is>
      </c>
      <c r="B686" t="inlineStr">
        <is>
          <t>B0D32D4SV5</t>
        </is>
      </c>
      <c r="C686" t="inlineStr">
        <is>
          <t>PUMA Women's Carina Street Sneaker, Blingbling White White-Metallic Gold, 9</t>
        </is>
      </c>
      <c r="D686" t="n">
        <v>22.71</v>
      </c>
      <c r="E686" t="n">
        <v>22.71</v>
      </c>
      <c r="H686" t="n">
        <v>46.22</v>
      </c>
      <c r="I686" t="n">
        <v>56.09</v>
      </c>
      <c r="J686" t="n">
        <v>0</v>
      </c>
      <c r="K686" t="n">
        <v>0</v>
      </c>
      <c r="L686" t="n">
        <v>2</v>
      </c>
      <c r="M686" t="n">
        <v>3</v>
      </c>
      <c r="Q686" t="n">
        <v>-1</v>
      </c>
      <c r="R686" t="n">
        <v>-1</v>
      </c>
      <c r="S686" t="inlineStr"/>
      <c r="U686" t="n">
        <v>2.0502966</v>
      </c>
      <c r="V686" t="n">
        <v>7.62</v>
      </c>
      <c r="W686" t="n">
        <v>3.41</v>
      </c>
      <c r="X686" t="inlineStr">
        <is>
          <t>197671721959</t>
        </is>
      </c>
      <c r="Y686" t="inlineStr"/>
      <c r="Z686" t="inlineStr">
        <is>
          <t>39907601</t>
        </is>
      </c>
      <c r="AA686" t="inlineStr">
        <is>
          <t>Blingbling-puma White-puma White-metallic Gold</t>
        </is>
      </c>
      <c r="AB686" t="inlineStr">
        <is>
          <t>0197671721959</t>
        </is>
      </c>
      <c r="AC686" t="inlineStr">
        <is>
          <t>Amazon offer is in stock and shippable</t>
        </is>
      </c>
      <c r="AD686" t="inlineStr">
        <is>
          <t>PUMA</t>
        </is>
      </c>
      <c r="AE686" t="inlineStr">
        <is>
          <t>9</t>
        </is>
      </c>
      <c r="AF686" t="inlineStr"/>
      <c r="AG686" t="inlineStr"/>
    </row>
    <row r="687">
      <c r="A687" t="inlineStr">
        <is>
          <t>com</t>
        </is>
      </c>
      <c r="B687" t="inlineStr">
        <is>
          <t>B0D32BV4X1</t>
        </is>
      </c>
      <c r="C687" t="inlineStr">
        <is>
          <t>PUMA Women's Carina Street Sneaker, Blingbling White White-Metallic Gold, 9.5</t>
        </is>
      </c>
      <c r="D687" t="n">
        <v>22.71</v>
      </c>
      <c r="E687" t="n">
        <v>22.71</v>
      </c>
      <c r="H687" t="n">
        <v>45.35</v>
      </c>
      <c r="I687" t="n">
        <v>55.79</v>
      </c>
      <c r="J687" t="n">
        <v>0</v>
      </c>
      <c r="K687" t="n">
        <v>0</v>
      </c>
      <c r="L687" t="n">
        <v>2</v>
      </c>
      <c r="M687" t="n">
        <v>3</v>
      </c>
      <c r="Q687" t="n">
        <v>-1</v>
      </c>
      <c r="R687" t="n">
        <v>-1</v>
      </c>
      <c r="S687" t="inlineStr"/>
      <c r="U687" t="n">
        <v>2.20021076</v>
      </c>
      <c r="V687" t="n">
        <v>7.86</v>
      </c>
      <c r="W687" t="n">
        <v>3.41</v>
      </c>
      <c r="X687" t="inlineStr">
        <is>
          <t>197671721904</t>
        </is>
      </c>
      <c r="Y687" t="inlineStr"/>
      <c r="Z687" t="inlineStr">
        <is>
          <t>39907601</t>
        </is>
      </c>
      <c r="AA687" t="inlineStr">
        <is>
          <t>Blingbling-puma White-puma White-metallic Gold</t>
        </is>
      </c>
      <c r="AB687" t="inlineStr">
        <is>
          <t>0197671721904</t>
        </is>
      </c>
      <c r="AC687" t="inlineStr">
        <is>
          <t>Amazon offer is in stock and shippable</t>
        </is>
      </c>
      <c r="AD687" t="inlineStr">
        <is>
          <t>PUMA</t>
        </is>
      </c>
      <c r="AE687" t="inlineStr">
        <is>
          <t>9.5</t>
        </is>
      </c>
      <c r="AF687" t="inlineStr"/>
      <c r="AG687" t="inlineStr"/>
    </row>
    <row r="688">
      <c r="A688" t="inlineStr">
        <is>
          <t>com</t>
        </is>
      </c>
      <c r="B688" t="inlineStr">
        <is>
          <t>B0D329Y8J9</t>
        </is>
      </c>
      <c r="C688" t="inlineStr">
        <is>
          <t>PUMA Women's Carina Street Sneaker, Blingbling White White-Metallic Gold, 10</t>
        </is>
      </c>
      <c r="D688" t="n">
        <v>24.74</v>
      </c>
      <c r="E688" t="n">
        <v>24.74</v>
      </c>
      <c r="H688" t="n">
        <v>49.82</v>
      </c>
      <c r="I688" t="n">
        <v>58.31</v>
      </c>
      <c r="J688" t="n">
        <v>0</v>
      </c>
      <c r="K688" t="n">
        <v>0</v>
      </c>
      <c r="L688" t="n">
        <v>2</v>
      </c>
      <c r="M688" t="n">
        <v>3</v>
      </c>
      <c r="Q688" t="n">
        <v>-1</v>
      </c>
      <c r="R688" t="n">
        <v>-1</v>
      </c>
      <c r="S688" t="inlineStr"/>
      <c r="U688" t="n">
        <v>2.25091702</v>
      </c>
      <c r="V688" t="n">
        <v>7.94</v>
      </c>
      <c r="W688" t="n">
        <v>3.71</v>
      </c>
      <c r="X688" t="inlineStr">
        <is>
          <t>197671721966</t>
        </is>
      </c>
      <c r="Y688" t="inlineStr"/>
      <c r="Z688" t="inlineStr">
        <is>
          <t>39907601</t>
        </is>
      </c>
      <c r="AA688" t="inlineStr">
        <is>
          <t>Blingbling-puma White-puma White-metallic Gold</t>
        </is>
      </c>
      <c r="AB688" t="inlineStr">
        <is>
          <t>0197671721966</t>
        </is>
      </c>
      <c r="AC688" t="inlineStr">
        <is>
          <t>Amazon offer is in stock and shippable</t>
        </is>
      </c>
      <c r="AD688" t="inlineStr">
        <is>
          <t>PUMA</t>
        </is>
      </c>
      <c r="AE688" t="inlineStr">
        <is>
          <t>10</t>
        </is>
      </c>
      <c r="AF688" t="inlineStr"/>
      <c r="AG688" t="inlineStr">
        <is>
          <t>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89">
      <c r="A689" t="inlineStr">
        <is>
          <t>com</t>
        </is>
      </c>
      <c r="B689" t="inlineStr">
        <is>
          <t>B0D32F391M</t>
        </is>
      </c>
      <c r="C689" t="inlineStr">
        <is>
          <t>PUMA Women's Carina Street Sneaker, Blingbling White White-Metallic Gold, 11</t>
        </is>
      </c>
      <c r="D689" t="n">
        <v>25.41</v>
      </c>
      <c r="E689" t="n">
        <v>25.41</v>
      </c>
      <c r="H689" t="n">
        <v>47.78</v>
      </c>
      <c r="I689" t="n">
        <v>57.35</v>
      </c>
      <c r="J689" t="n">
        <v>0</v>
      </c>
      <c r="K689" t="n">
        <v>0</v>
      </c>
      <c r="L689" t="n">
        <v>2</v>
      </c>
      <c r="M689" t="n">
        <v>3</v>
      </c>
      <c r="Q689" t="n">
        <v>-1</v>
      </c>
      <c r="R689" t="n">
        <v>-1</v>
      </c>
      <c r="S689" t="inlineStr"/>
      <c r="U689" t="n">
        <v>2.25091702</v>
      </c>
      <c r="V689" t="n">
        <v>7.86</v>
      </c>
      <c r="W689" t="n">
        <v>3.81</v>
      </c>
      <c r="X689" t="inlineStr">
        <is>
          <t>197671721973</t>
        </is>
      </c>
      <c r="Y689" t="inlineStr"/>
      <c r="Z689" t="inlineStr">
        <is>
          <t>39907601</t>
        </is>
      </c>
      <c r="AA689" t="inlineStr">
        <is>
          <t>Blingbling-puma White-puma White-metallic Gold</t>
        </is>
      </c>
      <c r="AB689" t="inlineStr">
        <is>
          <t>0197671721973</t>
        </is>
      </c>
      <c r="AC689" t="inlineStr">
        <is>
          <t>Amazon offer is in stock and shippable</t>
        </is>
      </c>
      <c r="AD689" t="inlineStr">
        <is>
          <t>PUMA</t>
        </is>
      </c>
      <c r="AE689" t="inlineStr">
        <is>
          <t>11</t>
        </is>
      </c>
      <c r="AF689" t="inlineStr"/>
      <c r="AG689" t="inlineStr">
        <is>
          <t>The Carina Street has a streetwear-inspired design in combination with a true platform profile, providing the perfect choice for your everyday outfit. The full leather upper is streetwear inspired with toe overlay and basketball touch. It's accented by a perforated vamp and a synthetic leather PUMA Formstrip. The highlight of the shoe is the new cupsole tooling though with a slightly elevated platform sole with texture interest in toe and heel area. The SoftFoam+ sockliner provides superior cushioning and optimal comfort for every step of your day.</t>
        </is>
      </c>
    </row>
    <row r="690">
      <c r="A690" t="inlineStr">
        <is>
          <t>com</t>
        </is>
      </c>
      <c r="B690" t="inlineStr">
        <is>
          <t>B0D32DSNVS</t>
        </is>
      </c>
      <c r="C690" t="inlineStr">
        <is>
          <t>PUMA Women's Pacer 23 Sneaker, MARBLEIZED-Alpine Snow Gold, 5.5</t>
        </is>
      </c>
      <c r="D690" t="n">
        <v>59.99</v>
      </c>
      <c r="E690" t="n">
        <v>59.99</v>
      </c>
      <c r="F690" t="n">
        <v>79172</v>
      </c>
      <c r="G690" t="n">
        <v>74986</v>
      </c>
      <c r="H690" t="n">
        <v>61.16</v>
      </c>
      <c r="I690" t="n">
        <v>64.69</v>
      </c>
      <c r="J690" t="n">
        <v>0</v>
      </c>
      <c r="K690" t="n">
        <v>0</v>
      </c>
      <c r="L690" t="n">
        <v>3</v>
      </c>
      <c r="M690" t="n">
        <v>3</v>
      </c>
      <c r="N690" t="n">
        <v>4.3</v>
      </c>
      <c r="O690" t="n">
        <v>0</v>
      </c>
      <c r="P690" t="n">
        <v>68</v>
      </c>
      <c r="Q690" t="n">
        <v>21</v>
      </c>
      <c r="R690" t="n">
        <v>57</v>
      </c>
      <c r="S690" t="inlineStr">
        <is>
          <t>B0CLQ6Y7NV</t>
        </is>
      </c>
      <c r="U690" t="n">
        <v>1.69976202</v>
      </c>
      <c r="V690" t="n">
        <v>7.62</v>
      </c>
      <c r="W690" t="n">
        <v>9</v>
      </c>
      <c r="X690" t="inlineStr">
        <is>
          <t>197672003313</t>
        </is>
      </c>
      <c r="Y690" t="inlineStr">
        <is>
          <t>39626302</t>
        </is>
      </c>
      <c r="Z690" t="inlineStr">
        <is>
          <t>39626302</t>
        </is>
      </c>
      <c r="AA690" t="inlineStr">
        <is>
          <t>Marbleized-alpine Snow-puma Gold</t>
        </is>
      </c>
      <c r="AB690" t="inlineStr">
        <is>
          <t>0197672003313</t>
        </is>
      </c>
      <c r="AC690" t="inlineStr">
        <is>
          <t>Amazon offer is in stock and shippable</t>
        </is>
      </c>
      <c r="AD690" t="inlineStr">
        <is>
          <t>PUMA</t>
        </is>
      </c>
      <c r="AE690" t="inlineStr">
        <is>
          <t>5.5</t>
        </is>
      </c>
      <c r="AF690"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0"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1">
      <c r="A691" t="inlineStr">
        <is>
          <t>com</t>
        </is>
      </c>
      <c r="B691" t="inlineStr">
        <is>
          <t>B0D32BZP5B</t>
        </is>
      </c>
      <c r="C691" t="inlineStr">
        <is>
          <t>PUMA Women's Pacer 23 Sneaker, MARBLEIZED-Alpine Snow Gold, 6</t>
        </is>
      </c>
      <c r="D691" t="n">
        <v>59.99</v>
      </c>
      <c r="E691" t="n">
        <v>59.99</v>
      </c>
      <c r="F691" t="n">
        <v>75867</v>
      </c>
      <c r="G691" t="n">
        <v>75220</v>
      </c>
      <c r="H691" t="n">
        <v>60.5</v>
      </c>
      <c r="I691" t="n">
        <v>62.24</v>
      </c>
      <c r="J691" t="n">
        <v>0</v>
      </c>
      <c r="K691" t="n">
        <v>0</v>
      </c>
      <c r="L691" t="n">
        <v>4</v>
      </c>
      <c r="M691" t="n">
        <v>4</v>
      </c>
      <c r="N691" t="n">
        <v>4.3</v>
      </c>
      <c r="O691" t="n">
        <v>0</v>
      </c>
      <c r="P691" t="n">
        <v>74</v>
      </c>
      <c r="Q691" t="n">
        <v>27</v>
      </c>
      <c r="R691" t="n">
        <v>55</v>
      </c>
      <c r="S691" t="inlineStr">
        <is>
          <t>B0CLQ6Y7NV</t>
        </is>
      </c>
      <c r="U691" t="n">
        <v>1.58953102</v>
      </c>
      <c r="V691" t="n">
        <v>7.62</v>
      </c>
      <c r="W691" t="n">
        <v>9</v>
      </c>
      <c r="X691" t="inlineStr">
        <is>
          <t>197672003375</t>
        </is>
      </c>
      <c r="Y691" t="inlineStr">
        <is>
          <t>39626303</t>
        </is>
      </c>
      <c r="Z691" t="inlineStr">
        <is>
          <t>39626303</t>
        </is>
      </c>
      <c r="AA691" t="inlineStr">
        <is>
          <t>Marbleized-alpine Snow-puma Gold</t>
        </is>
      </c>
      <c r="AB691" t="inlineStr">
        <is>
          <t>0197672003375</t>
        </is>
      </c>
      <c r="AC691" t="inlineStr">
        <is>
          <t>Amazon offer is in stock and shippable</t>
        </is>
      </c>
      <c r="AD691" t="inlineStr">
        <is>
          <t>PUMA</t>
        </is>
      </c>
      <c r="AE691" t="inlineStr">
        <is>
          <t>6</t>
        </is>
      </c>
      <c r="AF691"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1"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2">
      <c r="A692" t="inlineStr">
        <is>
          <t>com</t>
        </is>
      </c>
      <c r="B692" t="inlineStr">
        <is>
          <t>B0D329D1JH</t>
        </is>
      </c>
      <c r="C692" t="inlineStr">
        <is>
          <t>PUMA Women's Pacer 23 Sneaker, MARBLEIZED-Alpine Snow Gold, 6.5</t>
        </is>
      </c>
      <c r="D692" t="n">
        <v>61.45</v>
      </c>
      <c r="E692" t="n">
        <v>59.99</v>
      </c>
      <c r="F692" t="n">
        <v>64629</v>
      </c>
      <c r="G692" t="n">
        <v>74794</v>
      </c>
      <c r="H692" t="n">
        <v>58.36</v>
      </c>
      <c r="I692" t="n">
        <v>61.28</v>
      </c>
      <c r="J692" t="n">
        <v>0</v>
      </c>
      <c r="K692" t="n">
        <v>0</v>
      </c>
      <c r="L692" t="n">
        <v>7</v>
      </c>
      <c r="M692" t="n">
        <v>8</v>
      </c>
      <c r="N692" t="n">
        <v>4.3</v>
      </c>
      <c r="O692" t="n">
        <v>1</v>
      </c>
      <c r="P692" t="n">
        <v>74</v>
      </c>
      <c r="Q692" t="n">
        <v>22</v>
      </c>
      <c r="R692" t="n">
        <v>56</v>
      </c>
      <c r="S692" t="inlineStr">
        <is>
          <t>B0CLQ6Y7NV</t>
        </is>
      </c>
      <c r="U692" t="n">
        <v>1.5983495</v>
      </c>
      <c r="V692" t="n">
        <v>7.62</v>
      </c>
      <c r="W692" t="n">
        <v>9.210000000000001</v>
      </c>
      <c r="X692" t="inlineStr">
        <is>
          <t>197672003320</t>
        </is>
      </c>
      <c r="Y692" t="inlineStr">
        <is>
          <t>39626303</t>
        </is>
      </c>
      <c r="Z692" t="inlineStr">
        <is>
          <t>39626303</t>
        </is>
      </c>
      <c r="AA692" t="inlineStr">
        <is>
          <t>Marbleized-alpine Snow-puma Gold</t>
        </is>
      </c>
      <c r="AB692" t="inlineStr">
        <is>
          <t>0197672003320</t>
        </is>
      </c>
      <c r="AC692" t="inlineStr">
        <is>
          <t>Amazon offer is in stock and shippable</t>
        </is>
      </c>
      <c r="AD692" t="inlineStr">
        <is>
          <t>PUMA</t>
        </is>
      </c>
      <c r="AE692" t="inlineStr">
        <is>
          <t>6.5</t>
        </is>
      </c>
      <c r="AF692"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2"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3">
      <c r="A693" t="inlineStr">
        <is>
          <t>com</t>
        </is>
      </c>
      <c r="B693" t="inlineStr">
        <is>
          <t>B0D32BL7P4</t>
        </is>
      </c>
      <c r="C693" t="inlineStr">
        <is>
          <t>PUMA Women's Pacer 23 Sneaker, MARBLEIZED-Alpine Snow Gold, 7</t>
        </is>
      </c>
      <c r="D693" t="n">
        <v>59.99</v>
      </c>
      <c r="E693" t="n">
        <v>59.99</v>
      </c>
      <c r="F693" t="n">
        <v>63112</v>
      </c>
      <c r="G693" t="n">
        <v>74477</v>
      </c>
      <c r="H693" t="n">
        <v>59.08</v>
      </c>
      <c r="I693" t="n">
        <v>63.38</v>
      </c>
      <c r="J693" t="n">
        <v>0</v>
      </c>
      <c r="K693" t="n">
        <v>0</v>
      </c>
      <c r="L693" t="n">
        <v>6</v>
      </c>
      <c r="M693" t="n">
        <v>5</v>
      </c>
      <c r="N693" t="n">
        <v>4.3</v>
      </c>
      <c r="O693" t="n">
        <v>1</v>
      </c>
      <c r="P693" t="n">
        <v>75</v>
      </c>
      <c r="Q693" t="n">
        <v>21</v>
      </c>
      <c r="R693" t="n">
        <v>61</v>
      </c>
      <c r="S693" t="inlineStr">
        <is>
          <t>B0CLQ6Y7NV</t>
        </is>
      </c>
      <c r="U693" t="n">
        <v>1.6644881</v>
      </c>
      <c r="V693" t="n">
        <v>7.62</v>
      </c>
      <c r="W693" t="n">
        <v>9</v>
      </c>
      <c r="X693" t="inlineStr">
        <is>
          <t>197672003382</t>
        </is>
      </c>
      <c r="Y693" t="inlineStr">
        <is>
          <t>39626303</t>
        </is>
      </c>
      <c r="Z693" t="inlineStr">
        <is>
          <t>39626303</t>
        </is>
      </c>
      <c r="AA693" t="inlineStr">
        <is>
          <t>Marbleized-alpine Snow-puma Gold</t>
        </is>
      </c>
      <c r="AB693" t="inlineStr">
        <is>
          <t>0197672003382</t>
        </is>
      </c>
      <c r="AC693" t="inlineStr">
        <is>
          <t>Amazon offer is in stock and shippable</t>
        </is>
      </c>
      <c r="AD693" t="inlineStr">
        <is>
          <t>PUMA</t>
        </is>
      </c>
      <c r="AE693" t="inlineStr">
        <is>
          <t>7</t>
        </is>
      </c>
      <c r="AF693"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3"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4">
      <c r="A694" t="inlineStr">
        <is>
          <t>com</t>
        </is>
      </c>
      <c r="B694" t="inlineStr">
        <is>
          <t>B0D32BZ6FY</t>
        </is>
      </c>
      <c r="C694" t="inlineStr">
        <is>
          <t>PUMA Women's Pacer 23 Sneaker, MARBLEIZED-Alpine Snow Gold, 7.5</t>
        </is>
      </c>
      <c r="D694" t="n">
        <v>59.99</v>
      </c>
      <c r="E694" t="n">
        <v>59.99</v>
      </c>
      <c r="F694" t="n">
        <v>64629</v>
      </c>
      <c r="G694" t="n">
        <v>75326</v>
      </c>
      <c r="H694" t="n">
        <v>61.29</v>
      </c>
      <c r="I694" t="n">
        <v>64.88</v>
      </c>
      <c r="J694" t="n">
        <v>0</v>
      </c>
      <c r="K694" t="n">
        <v>0</v>
      </c>
      <c r="L694" t="n">
        <v>7</v>
      </c>
      <c r="M694" t="n">
        <v>8</v>
      </c>
      <c r="N694" t="n">
        <v>4.3</v>
      </c>
      <c r="O694" t="n">
        <v>0</v>
      </c>
      <c r="P694" t="n">
        <v>75</v>
      </c>
      <c r="Q694" t="n">
        <v>26</v>
      </c>
      <c r="R694" t="n">
        <v>65</v>
      </c>
      <c r="S694" t="inlineStr">
        <is>
          <t>B0CLQ6Y7NV</t>
        </is>
      </c>
      <c r="U694" t="n">
        <v>1.6975574</v>
      </c>
      <c r="V694" t="n">
        <v>7.62</v>
      </c>
      <c r="W694" t="n">
        <v>9</v>
      </c>
      <c r="X694" t="inlineStr">
        <is>
          <t>197672003337</t>
        </is>
      </c>
      <c r="Y694" t="inlineStr">
        <is>
          <t>39626303</t>
        </is>
      </c>
      <c r="Z694" t="inlineStr">
        <is>
          <t>39626303</t>
        </is>
      </c>
      <c r="AA694" t="inlineStr">
        <is>
          <t>Marbleized-alpine Snow-puma Gold</t>
        </is>
      </c>
      <c r="AB694" t="inlineStr">
        <is>
          <t>0197672003337</t>
        </is>
      </c>
      <c r="AC694" t="inlineStr">
        <is>
          <t>Amazon offer is in stock and shippable</t>
        </is>
      </c>
      <c r="AD694" t="inlineStr">
        <is>
          <t>PUMA</t>
        </is>
      </c>
      <c r="AE694" t="inlineStr">
        <is>
          <t>7.5</t>
        </is>
      </c>
      <c r="AF694"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4"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5">
      <c r="A695" t="inlineStr">
        <is>
          <t>com</t>
        </is>
      </c>
      <c r="B695" t="inlineStr">
        <is>
          <t>B0D32BYPGD</t>
        </is>
      </c>
      <c r="C695" t="inlineStr">
        <is>
          <t>PUMA Women's Pacer 23 Sneaker, MARBLEIZED-Alpine Snow Gold, 8</t>
        </is>
      </c>
      <c r="D695" t="n">
        <v>59.99</v>
      </c>
      <c r="E695" t="n">
        <v>59.99</v>
      </c>
      <c r="F695" t="n">
        <v>79172</v>
      </c>
      <c r="G695" t="n">
        <v>75289</v>
      </c>
      <c r="H695" t="n">
        <v>58.36</v>
      </c>
      <c r="I695" t="n">
        <v>61.08</v>
      </c>
      <c r="J695" t="n">
        <v>0</v>
      </c>
      <c r="K695" t="n">
        <v>0</v>
      </c>
      <c r="L695" t="n">
        <v>8</v>
      </c>
      <c r="M695" t="n">
        <v>9</v>
      </c>
      <c r="N695" t="n">
        <v>4.3</v>
      </c>
      <c r="O695" t="n">
        <v>3</v>
      </c>
      <c r="P695" t="n">
        <v>75</v>
      </c>
      <c r="Q695" t="n">
        <v>26</v>
      </c>
      <c r="R695" t="n">
        <v>74</v>
      </c>
      <c r="S695" t="inlineStr">
        <is>
          <t>B0CLQ6Y7NV</t>
        </is>
      </c>
      <c r="U695" t="n">
        <v>1.69094354</v>
      </c>
      <c r="V695" t="n">
        <v>7.7</v>
      </c>
      <c r="W695" t="n">
        <v>9</v>
      </c>
      <c r="X695" t="inlineStr">
        <is>
          <t>197672003399</t>
        </is>
      </c>
      <c r="Y695" t="inlineStr">
        <is>
          <t>39626303</t>
        </is>
      </c>
      <c r="Z695" t="inlineStr">
        <is>
          <t>39626303</t>
        </is>
      </c>
      <c r="AA695" t="inlineStr">
        <is>
          <t>Marbleized-alpine Snow-puma Gold</t>
        </is>
      </c>
      <c r="AB695" t="inlineStr">
        <is>
          <t>0197672003399</t>
        </is>
      </c>
      <c r="AC695" t="inlineStr">
        <is>
          <t>Amazon offer is in stock and shippable</t>
        </is>
      </c>
      <c r="AD695" t="inlineStr">
        <is>
          <t>PUMA</t>
        </is>
      </c>
      <c r="AE695" t="inlineStr">
        <is>
          <t>8</t>
        </is>
      </c>
      <c r="AF695"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5"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6">
      <c r="A696" t="inlineStr">
        <is>
          <t>com</t>
        </is>
      </c>
      <c r="B696" t="inlineStr">
        <is>
          <t>B0D32DZ2K2</t>
        </is>
      </c>
      <c r="C696" t="inlineStr">
        <is>
          <t>PUMA Women's Pacer 23 Sneaker, MARBLEIZED-Alpine Snow Gold, 8.5</t>
        </is>
      </c>
      <c r="D696" t="n">
        <v>59.99</v>
      </c>
      <c r="E696" t="n">
        <v>59.99</v>
      </c>
      <c r="F696" t="n">
        <v>69100</v>
      </c>
      <c r="G696" t="n">
        <v>74139</v>
      </c>
      <c r="H696" t="n">
        <v>58.06</v>
      </c>
      <c r="I696" t="n">
        <v>61.21</v>
      </c>
      <c r="J696" t="n">
        <v>0</v>
      </c>
      <c r="K696" t="n">
        <v>0</v>
      </c>
      <c r="L696" t="n">
        <v>8</v>
      </c>
      <c r="M696" t="n">
        <v>9</v>
      </c>
      <c r="N696" t="n">
        <v>4.3</v>
      </c>
      <c r="O696" t="n">
        <v>1</v>
      </c>
      <c r="P696" t="n">
        <v>74</v>
      </c>
      <c r="Q696" t="n">
        <v>19</v>
      </c>
      <c r="R696" t="n">
        <v>60</v>
      </c>
      <c r="S696" t="inlineStr">
        <is>
          <t>B0CLQ6Y7NV</t>
        </is>
      </c>
      <c r="U696" t="n">
        <v>1.82762998</v>
      </c>
      <c r="V696" t="n">
        <v>7.86</v>
      </c>
      <c r="W696" t="n">
        <v>9</v>
      </c>
      <c r="X696" t="inlineStr">
        <is>
          <t>197672003344</t>
        </is>
      </c>
      <c r="Y696" t="inlineStr">
        <is>
          <t>39626303</t>
        </is>
      </c>
      <c r="Z696" t="inlineStr">
        <is>
          <t>39626303</t>
        </is>
      </c>
      <c r="AA696" t="inlineStr">
        <is>
          <t>Marbleized-alpine Snow-puma Gold</t>
        </is>
      </c>
      <c r="AB696" t="inlineStr">
        <is>
          <t>0197672003344</t>
        </is>
      </c>
      <c r="AC696" t="inlineStr">
        <is>
          <t>Amazon offer is in stock and shippable</t>
        </is>
      </c>
      <c r="AD696" t="inlineStr">
        <is>
          <t>PUMA</t>
        </is>
      </c>
      <c r="AE696" t="inlineStr">
        <is>
          <t>8.5</t>
        </is>
      </c>
      <c r="AF696" t="inlineStr">
        <is>
          <t>https://m.media-amazon.com/images/I/41YHGgnDv3L.jpg;https://m.media-amazon.com/images/I/41DHl1AS7CL.jpg;https://m.media-amazon.com/images/I/41J4a4c1DCL.jpg;https://m.media-amazon.com/images/I/31NqKQSIedL.jpg;https://m.media-amazon.com/images/I/31WGN4yW3pL.jpg;https://m.media-amazon.com/images/I/41fCw2aoAVL.jpg;https://m.media-amazon.com/images/I/41VCgCdRnEL.jpg</t>
        </is>
      </c>
      <c r="AG696"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7">
      <c r="A697" t="inlineStr">
        <is>
          <t>com</t>
        </is>
      </c>
      <c r="B697" t="inlineStr">
        <is>
          <t>B0D32BS7P5</t>
        </is>
      </c>
      <c r="C697" t="inlineStr">
        <is>
          <t>PUMA Women's Pacer 23 Sneaker, MARBLEIZED-Alpine Snow Gold, 9</t>
        </is>
      </c>
      <c r="D697" t="n">
        <v>59.99</v>
      </c>
      <c r="E697" t="n">
        <v>59.99</v>
      </c>
      <c r="F697" t="n">
        <v>64629</v>
      </c>
      <c r="G697" t="n">
        <v>75442</v>
      </c>
      <c r="H697" t="n">
        <v>58.32</v>
      </c>
      <c r="I697" t="n">
        <v>61.28</v>
      </c>
      <c r="J697" t="n">
        <v>0</v>
      </c>
      <c r="K697" t="n">
        <v>0</v>
      </c>
      <c r="L697" t="n">
        <v>8</v>
      </c>
      <c r="M697" t="n">
        <v>8</v>
      </c>
      <c r="N697" t="n">
        <v>4.3</v>
      </c>
      <c r="O697" t="n">
        <v>2</v>
      </c>
      <c r="P697" t="n">
        <v>75</v>
      </c>
      <c r="Q697" t="n">
        <v>18</v>
      </c>
      <c r="R697" t="n">
        <v>52</v>
      </c>
      <c r="S697" t="inlineStr">
        <is>
          <t>B0CLQ6Y7NV</t>
        </is>
      </c>
      <c r="U697" t="n">
        <v>1.69976202</v>
      </c>
      <c r="V697" t="n">
        <v>7.86</v>
      </c>
      <c r="W697" t="n">
        <v>9</v>
      </c>
      <c r="X697" t="inlineStr">
        <is>
          <t>197672003405</t>
        </is>
      </c>
      <c r="Y697" t="inlineStr">
        <is>
          <t>39626303</t>
        </is>
      </c>
      <c r="Z697" t="inlineStr">
        <is>
          <t>39626303</t>
        </is>
      </c>
      <c r="AA697" t="inlineStr">
        <is>
          <t>Marbleized-alpine Snow-puma Gold</t>
        </is>
      </c>
      <c r="AB697" t="inlineStr">
        <is>
          <t>0197672003405</t>
        </is>
      </c>
      <c r="AC697" t="inlineStr">
        <is>
          <t>Amazon offer is in stock and shippable</t>
        </is>
      </c>
      <c r="AD697" t="inlineStr">
        <is>
          <t>PUMA</t>
        </is>
      </c>
      <c r="AE697" t="inlineStr">
        <is>
          <t>9</t>
        </is>
      </c>
      <c r="AF697"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7"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8">
      <c r="A698" t="inlineStr">
        <is>
          <t>com</t>
        </is>
      </c>
      <c r="B698" t="inlineStr">
        <is>
          <t>B0D32FFDWS</t>
        </is>
      </c>
      <c r="C698" t="inlineStr">
        <is>
          <t>PUMA Women's Pacer 23 Sneaker, MARBLEIZED-Alpine Snow Gold, 9.5</t>
        </is>
      </c>
      <c r="D698" t="n">
        <v>59.99</v>
      </c>
      <c r="E698" t="n">
        <v>59.99</v>
      </c>
      <c r="F698" t="n">
        <v>76375</v>
      </c>
      <c r="G698" t="n">
        <v>75403</v>
      </c>
      <c r="H698" t="n">
        <v>58.23</v>
      </c>
      <c r="I698" t="n">
        <v>64.22</v>
      </c>
      <c r="J698" t="n">
        <v>0</v>
      </c>
      <c r="K698" t="n">
        <v>0</v>
      </c>
      <c r="L698" t="n">
        <v>7</v>
      </c>
      <c r="M698" t="n">
        <v>8</v>
      </c>
      <c r="N698" t="n">
        <v>4.3</v>
      </c>
      <c r="O698" t="n">
        <v>1</v>
      </c>
      <c r="P698" t="n">
        <v>67</v>
      </c>
      <c r="Q698" t="n">
        <v>18</v>
      </c>
      <c r="R698" t="n">
        <v>53</v>
      </c>
      <c r="S698" t="inlineStr">
        <is>
          <t>B0CLQ6Y7NV</t>
        </is>
      </c>
      <c r="U698" t="n">
        <v>1.8959732</v>
      </c>
      <c r="V698" t="n">
        <v>7.86</v>
      </c>
      <c r="W698" t="n">
        <v>9</v>
      </c>
      <c r="X698" t="inlineStr">
        <is>
          <t>197672003351</t>
        </is>
      </c>
      <c r="Y698" t="inlineStr">
        <is>
          <t>39626303</t>
        </is>
      </c>
      <c r="Z698" t="inlineStr">
        <is>
          <t>39626303</t>
        </is>
      </c>
      <c r="AA698" t="inlineStr">
        <is>
          <t>Marbleized-alpine Snow-puma Gold</t>
        </is>
      </c>
      <c r="AB698" t="inlineStr">
        <is>
          <t>0197672003351</t>
        </is>
      </c>
      <c r="AC698" t="inlineStr">
        <is>
          <t>Amazon offer is in stock and shippable</t>
        </is>
      </c>
      <c r="AD698" t="inlineStr">
        <is>
          <t>PUMA</t>
        </is>
      </c>
      <c r="AE698" t="inlineStr">
        <is>
          <t>9.5</t>
        </is>
      </c>
      <c r="AF698" t="inlineStr">
        <is>
          <t>https://m.media-amazon.com/images/I/41YHGgnDv3L.jpg;https://m.media-amazon.com/images/I/41DHl1AS7CL.jpg;https://m.media-amazon.com/images/I/41J4a4c1DCL.jpg;https://m.media-amazon.com/images/I/31NqKQSIedL.jpg;https://m.media-amazon.com/images/I/31WGN4yW3pL.jpg;https://m.media-amazon.com/images/I/41fCw2aoAVL.jpg;https://m.media-amazon.com/images/I/41VCgCdRnEL.jpg</t>
        </is>
      </c>
      <c r="AG698"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699">
      <c r="A699" t="inlineStr">
        <is>
          <t>com</t>
        </is>
      </c>
      <c r="B699" t="inlineStr">
        <is>
          <t>B0D3294GT5</t>
        </is>
      </c>
      <c r="C699" t="inlineStr">
        <is>
          <t>PUMA Women's Pacer 23 Sneaker, MARBLEIZED-Alpine Snow Gold, 10</t>
        </is>
      </c>
      <c r="D699" t="n">
        <v>59.99</v>
      </c>
      <c r="E699" t="n">
        <v>59.99</v>
      </c>
      <c r="F699" t="n">
        <v>69100</v>
      </c>
      <c r="G699" t="n">
        <v>76895</v>
      </c>
      <c r="H699" t="n">
        <v>61.23</v>
      </c>
      <c r="I699" t="n">
        <v>62.75</v>
      </c>
      <c r="J699" t="n">
        <v>0</v>
      </c>
      <c r="K699" t="n">
        <v>0</v>
      </c>
      <c r="L699" t="n">
        <v>6</v>
      </c>
      <c r="M699" t="n">
        <v>6</v>
      </c>
      <c r="N699" t="n">
        <v>4.3</v>
      </c>
      <c r="O699" t="n">
        <v>1</v>
      </c>
      <c r="P699" t="n">
        <v>74</v>
      </c>
      <c r="Q699" t="n">
        <v>17</v>
      </c>
      <c r="R699" t="n">
        <v>54</v>
      </c>
      <c r="S699" t="inlineStr">
        <is>
          <t>B0CLQ6Y7NV</t>
        </is>
      </c>
      <c r="U699" t="n">
        <v>1.9180194</v>
      </c>
      <c r="V699" t="n">
        <v>7.86</v>
      </c>
      <c r="W699" t="n">
        <v>9</v>
      </c>
      <c r="X699" t="inlineStr">
        <is>
          <t>197672003412</t>
        </is>
      </c>
      <c r="Y699" t="inlineStr">
        <is>
          <t>39626303</t>
        </is>
      </c>
      <c r="Z699" t="inlineStr">
        <is>
          <t>39626303</t>
        </is>
      </c>
      <c r="AA699" t="inlineStr">
        <is>
          <t>Marbleized-alpine Snow-puma Gold</t>
        </is>
      </c>
      <c r="AB699" t="inlineStr">
        <is>
          <t>0197672003412</t>
        </is>
      </c>
      <c r="AC699" t="inlineStr">
        <is>
          <t>Amazon offer is in stock and shippable</t>
        </is>
      </c>
      <c r="AD699" t="inlineStr">
        <is>
          <t>PUMA</t>
        </is>
      </c>
      <c r="AE699" t="inlineStr">
        <is>
          <t>10</t>
        </is>
      </c>
      <c r="AF699"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699"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700">
      <c r="A700" t="inlineStr">
        <is>
          <t>com</t>
        </is>
      </c>
      <c r="B700" t="inlineStr">
        <is>
          <t>B0D32BWLNF</t>
        </is>
      </c>
      <c r="C700" t="inlineStr">
        <is>
          <t>PUMA Women's Pacer 23 Sneaker, MARBLEIZED-Alpine Snow Gold, 11</t>
        </is>
      </c>
      <c r="D700" t="n">
        <v>60.77</v>
      </c>
      <c r="E700" t="n">
        <v>59.99</v>
      </c>
      <c r="F700" t="n">
        <v>79560</v>
      </c>
      <c r="G700" t="n">
        <v>74325</v>
      </c>
      <c r="H700" t="n">
        <v>64.39</v>
      </c>
      <c r="I700" t="n">
        <v>64.73999999999999</v>
      </c>
      <c r="J700" t="n">
        <v>0</v>
      </c>
      <c r="K700" t="n">
        <v>0</v>
      </c>
      <c r="L700" t="n">
        <v>5</v>
      </c>
      <c r="M700" t="n">
        <v>6</v>
      </c>
      <c r="N700" t="n">
        <v>4.3</v>
      </c>
      <c r="O700" t="n">
        <v>0</v>
      </c>
      <c r="P700" t="n">
        <v>74</v>
      </c>
      <c r="Q700" t="n">
        <v>17</v>
      </c>
      <c r="R700" t="n">
        <v>59</v>
      </c>
      <c r="S700" t="inlineStr">
        <is>
          <t>B0CLQ6Y7NV</t>
        </is>
      </c>
      <c r="U700" t="n">
        <v>2.0282504</v>
      </c>
      <c r="V700" t="n">
        <v>7.94</v>
      </c>
      <c r="W700" t="n">
        <v>9.119999999999999</v>
      </c>
      <c r="X700" t="inlineStr">
        <is>
          <t>197672003429</t>
        </is>
      </c>
      <c r="Y700" t="inlineStr">
        <is>
          <t>39626303</t>
        </is>
      </c>
      <c r="Z700" t="inlineStr">
        <is>
          <t>39626303</t>
        </is>
      </c>
      <c r="AA700" t="inlineStr">
        <is>
          <t>Marbleized-alpine Snow-puma Gold</t>
        </is>
      </c>
      <c r="AB700" t="inlineStr">
        <is>
          <t>0197672003429</t>
        </is>
      </c>
      <c r="AC700" t="inlineStr">
        <is>
          <t>Amazon offer is in stock and shippable</t>
        </is>
      </c>
      <c r="AD700" t="inlineStr">
        <is>
          <t>PUMA</t>
        </is>
      </c>
      <c r="AE700" t="inlineStr">
        <is>
          <t>11</t>
        </is>
      </c>
      <c r="AF700" t="inlineStr">
        <is>
          <t>https://m.media-amazon.com/images/I/71hcNlD1iBL.jpg;https://m.media-amazon.com/images/I/41DHl1AS7CL.jpg;https://m.media-amazon.com/images/I/41J4a4c1DCL.jpg;https://m.media-amazon.com/images/I/31NqKQSIedL.jpg;https://m.media-amazon.com/images/I/31WGN4yW3pL.jpg;https://m.media-amazon.com/images/I/41fCw2aoAVL.jpg;https://m.media-amazon.com/images/I/41VCgCdRnEL.jpg</t>
        </is>
      </c>
      <c r="AG700" t="inlineStr">
        <is>
          <t>Description
Inspired from Techno Symbiosis, the connect between humans and technology. Technology provides humans with ease, comfort and speed. The same attributes the Pacer 23 has! With a bootie construction and a two tone coloured TU cage, the Pacer 23 is pushing the lifestyle consumer forward. The tooling uses dynamic lines to show speeds, the midsole is a EVA.</t>
        </is>
      </c>
    </row>
    <row r="701">
      <c r="A701" t="inlineStr">
        <is>
          <t>com</t>
        </is>
      </c>
      <c r="B701" t="inlineStr">
        <is>
          <t>B0DJ657H6Y</t>
        </is>
      </c>
      <c r="C701" t="inlineStr">
        <is>
          <t>Puma - Womens Club Pearl Shoes, Color White/Mauve Mist/Vapor Gray, Size: 5.5 M US</t>
        </is>
      </c>
      <c r="D701" t="inlineStr"/>
      <c r="E701" t="inlineStr"/>
      <c r="H701" t="inlineStr"/>
      <c r="I701" t="inlineStr"/>
      <c r="J701" t="n">
        <v>1</v>
      </c>
      <c r="K701" t="n">
        <v>1</v>
      </c>
      <c r="Q701" t="n">
        <v>-1</v>
      </c>
      <c r="R701" t="n">
        <v>-1</v>
      </c>
      <c r="S701" t="inlineStr">
        <is>
          <t>B0DJ65GM16</t>
        </is>
      </c>
      <c r="V701" t="inlineStr"/>
      <c r="W701" t="inlineStr"/>
      <c r="X701" t="inlineStr">
        <is>
          <t>197672018881</t>
        </is>
      </c>
      <c r="Y701" t="inlineStr"/>
      <c r="Z701" t="inlineStr"/>
      <c r="AA701" t="inlineStr">
        <is>
          <t>White/Mauve Mist/Vapor Gray</t>
        </is>
      </c>
      <c r="AB701" t="inlineStr">
        <is>
          <t>0197672018881</t>
        </is>
      </c>
      <c r="AC701" t="inlineStr">
        <is>
          <t>no Amazon offer exists</t>
        </is>
      </c>
      <c r="AD701" t="inlineStr">
        <is>
          <t>Puma</t>
        </is>
      </c>
      <c r="AE701" t="inlineStr">
        <is>
          <t>5.5</t>
        </is>
      </c>
      <c r="AF701" t="inlineStr">
        <is>
          <t>https://m.media-amazon.com/images/I/51-H-Pbi0yL.jpg;https://m.media-amazon.com/images/I/61oNKJ7eXvL.jpg;https://m.media-amazon.com/images/I/51hAwM104bL.jpg;https://m.media-amazon.com/images/I/61-HemuDhmL.jpg</t>
        </is>
      </c>
      <c r="AG701" t="inlineStr"/>
    </row>
    <row r="702">
      <c r="A702" t="inlineStr">
        <is>
          <t>com</t>
        </is>
      </c>
      <c r="B702" t="inlineStr">
        <is>
          <t>B0DJ65SW9X</t>
        </is>
      </c>
      <c r="C702" t="inlineStr">
        <is>
          <t>Puma - Womens Club Pearl Shoes, Color White/Mauve Mist/Vapor Gray, Size: 6 M US</t>
        </is>
      </c>
      <c r="D702" t="n">
        <v>74.98999999999999</v>
      </c>
      <c r="E702" t="n">
        <v>70</v>
      </c>
      <c r="H702" t="n">
        <v>74.98999999999999</v>
      </c>
      <c r="I702" t="n">
        <v>74.98999999999999</v>
      </c>
      <c r="J702" t="n">
        <v>0</v>
      </c>
      <c r="K702" t="n">
        <v>1</v>
      </c>
      <c r="L702" t="n">
        <v>2</v>
      </c>
      <c r="M702" t="n">
        <v>3</v>
      </c>
      <c r="Q702" t="n">
        <v>-1</v>
      </c>
      <c r="R702" t="n">
        <v>-1</v>
      </c>
      <c r="S702" t="inlineStr">
        <is>
          <t>B0DJ65GM16</t>
        </is>
      </c>
      <c r="V702" t="inlineStr"/>
      <c r="W702" t="inlineStr"/>
      <c r="X702" t="inlineStr">
        <is>
          <t>197672018942</t>
        </is>
      </c>
      <c r="Y702" t="inlineStr"/>
      <c r="Z702" t="inlineStr"/>
      <c r="AA702" t="inlineStr">
        <is>
          <t>White/Mauve Mist/Vapor Gray</t>
        </is>
      </c>
      <c r="AB702" t="inlineStr">
        <is>
          <t>0197672018942</t>
        </is>
      </c>
      <c r="AC702" t="inlineStr">
        <is>
          <t>no Amazon offer exists</t>
        </is>
      </c>
      <c r="AD702" t="inlineStr">
        <is>
          <t>Puma</t>
        </is>
      </c>
      <c r="AE702" t="inlineStr">
        <is>
          <t>6</t>
        </is>
      </c>
      <c r="AF702" t="inlineStr">
        <is>
          <t>https://m.media-amazon.com/images/I/51-H-Pbi0yL.jpg;https://m.media-amazon.com/images/I/61oNKJ7eXvL.jpg;https://m.media-amazon.com/images/I/51hAwM104bL.jpg;https://m.media-amazon.com/images/I/61-HemuDhmL.jpg</t>
        </is>
      </c>
      <c r="AG702" t="inlineStr"/>
    </row>
    <row r="703">
      <c r="A703" t="inlineStr">
        <is>
          <t>com</t>
        </is>
      </c>
      <c r="B703" t="inlineStr">
        <is>
          <t>B0DJ63VPMH</t>
        </is>
      </c>
      <c r="C703" t="inlineStr">
        <is>
          <t>Puma - Womens Club Pearl Shoes, Color White/Mauve Mist/Vapor Gray, Size: 6.5 M US</t>
        </is>
      </c>
      <c r="D703" t="n">
        <v>74.98999999999999</v>
      </c>
      <c r="E703" t="n">
        <v>70</v>
      </c>
      <c r="H703" t="n">
        <v>77.70999999999999</v>
      </c>
      <c r="I703" t="n">
        <v>77.70999999999999</v>
      </c>
      <c r="J703" t="n">
        <v>0</v>
      </c>
      <c r="K703" t="n">
        <v>1</v>
      </c>
      <c r="L703" t="n">
        <v>2</v>
      </c>
      <c r="M703" t="n">
        <v>3</v>
      </c>
      <c r="Q703" t="n">
        <v>-1</v>
      </c>
      <c r="R703" t="n">
        <v>-1</v>
      </c>
      <c r="S703" t="inlineStr">
        <is>
          <t>B0DJ65GM16</t>
        </is>
      </c>
      <c r="V703" t="inlineStr"/>
      <c r="W703" t="inlineStr"/>
      <c r="X703" t="inlineStr">
        <is>
          <t>197672018898</t>
        </is>
      </c>
      <c r="Y703" t="inlineStr"/>
      <c r="Z703" t="inlineStr"/>
      <c r="AA703" t="inlineStr">
        <is>
          <t>White/Mauve Mist/Vapor Gray</t>
        </is>
      </c>
      <c r="AB703" t="inlineStr">
        <is>
          <t>0197672018898</t>
        </is>
      </c>
      <c r="AC703" t="inlineStr">
        <is>
          <t>no Amazon offer exists</t>
        </is>
      </c>
      <c r="AD703" t="inlineStr">
        <is>
          <t>Puma</t>
        </is>
      </c>
      <c r="AE703" t="inlineStr">
        <is>
          <t>6.5</t>
        </is>
      </c>
      <c r="AF703" t="inlineStr">
        <is>
          <t>https://m.media-amazon.com/images/I/51-H-Pbi0yL.jpg;https://m.media-amazon.com/images/I/61oNKJ7eXvL.jpg;https://m.media-amazon.com/images/I/51hAwM104bL.jpg;https://m.media-amazon.com/images/I/61-HemuDhmL.jpg</t>
        </is>
      </c>
      <c r="AG703" t="inlineStr"/>
    </row>
    <row r="704">
      <c r="A704" t="inlineStr">
        <is>
          <t>com</t>
        </is>
      </c>
      <c r="B704" t="inlineStr">
        <is>
          <t>B0DJ64WD74</t>
        </is>
      </c>
      <c r="C704" t="inlineStr">
        <is>
          <t>Puma - Womens Club Pearl Shoes, Color White/Mauve Mist/Vapor Gray, Size: 7 M US</t>
        </is>
      </c>
      <c r="D704" t="n">
        <v>74.98999999999999</v>
      </c>
      <c r="E704" t="n">
        <v>70</v>
      </c>
      <c r="H704" t="n">
        <v>74.98999999999999</v>
      </c>
      <c r="I704" t="n">
        <v>74.98999999999999</v>
      </c>
      <c r="J704" t="n">
        <v>0</v>
      </c>
      <c r="K704" t="n">
        <v>1</v>
      </c>
      <c r="L704" t="n">
        <v>2</v>
      </c>
      <c r="M704" t="n">
        <v>3</v>
      </c>
      <c r="Q704" t="n">
        <v>-1</v>
      </c>
      <c r="R704" t="n">
        <v>-1</v>
      </c>
      <c r="S704" t="inlineStr">
        <is>
          <t>B0DJ65GM16</t>
        </is>
      </c>
      <c r="V704" t="inlineStr"/>
      <c r="W704" t="inlineStr"/>
      <c r="X704" t="inlineStr">
        <is>
          <t>197672018959</t>
        </is>
      </c>
      <c r="Y704" t="inlineStr"/>
      <c r="Z704" t="inlineStr"/>
      <c r="AA704" t="inlineStr">
        <is>
          <t>White/Mauve Mist/Vapor Gray</t>
        </is>
      </c>
      <c r="AB704" t="inlineStr">
        <is>
          <t>0197672018959</t>
        </is>
      </c>
      <c r="AC704" t="inlineStr">
        <is>
          <t>no Amazon offer exists</t>
        </is>
      </c>
      <c r="AD704" t="inlineStr">
        <is>
          <t>Puma</t>
        </is>
      </c>
      <c r="AE704" t="inlineStr">
        <is>
          <t>7</t>
        </is>
      </c>
      <c r="AF704" t="inlineStr">
        <is>
          <t>https://m.media-amazon.com/images/I/51-H-Pbi0yL.jpg;https://m.media-amazon.com/images/I/61oNKJ7eXvL.jpg;https://m.media-amazon.com/images/I/51hAwM104bL.jpg;https://m.media-amazon.com/images/I/61-HemuDhmL.jpg</t>
        </is>
      </c>
      <c r="AG704" t="inlineStr"/>
    </row>
    <row r="705">
      <c r="A705" t="inlineStr">
        <is>
          <t>com</t>
        </is>
      </c>
      <c r="B705" t="inlineStr">
        <is>
          <t>B0DJ65LWNB</t>
        </is>
      </c>
      <c r="C705" t="inlineStr">
        <is>
          <t>Puma - Womens Club Pearl Shoes, Color White/Mauve Mist/Vapor Gray, Size: 7.5 M US</t>
        </is>
      </c>
      <c r="D705" t="n">
        <v>74.98999999999999</v>
      </c>
      <c r="E705" t="n">
        <v>70</v>
      </c>
      <c r="H705" t="n">
        <v>74.98999999999999</v>
      </c>
      <c r="I705" t="n">
        <v>74.98999999999999</v>
      </c>
      <c r="J705" t="n">
        <v>0</v>
      </c>
      <c r="K705" t="n">
        <v>1</v>
      </c>
      <c r="L705" t="n">
        <v>2</v>
      </c>
      <c r="M705" t="n">
        <v>3</v>
      </c>
      <c r="Q705" t="n">
        <v>-1</v>
      </c>
      <c r="R705" t="n">
        <v>-1</v>
      </c>
      <c r="S705" t="inlineStr">
        <is>
          <t>B0DJ65GM16</t>
        </is>
      </c>
      <c r="V705" t="inlineStr"/>
      <c r="W705" t="inlineStr"/>
      <c r="X705" t="inlineStr">
        <is>
          <t>197672018904</t>
        </is>
      </c>
      <c r="Y705" t="inlineStr"/>
      <c r="Z705" t="inlineStr"/>
      <c r="AA705" t="inlineStr">
        <is>
          <t>White/Mauve Mist/Vapor Gray</t>
        </is>
      </c>
      <c r="AB705" t="inlineStr">
        <is>
          <t>0197672018904</t>
        </is>
      </c>
      <c r="AC705" t="inlineStr">
        <is>
          <t>no Amazon offer exists</t>
        </is>
      </c>
      <c r="AD705" t="inlineStr">
        <is>
          <t>Puma</t>
        </is>
      </c>
      <c r="AE705" t="inlineStr">
        <is>
          <t>7.5</t>
        </is>
      </c>
      <c r="AF705" t="inlineStr">
        <is>
          <t>https://m.media-amazon.com/images/I/51-H-Pbi0yL.jpg;https://m.media-amazon.com/images/I/61oNKJ7eXvL.jpg;https://m.media-amazon.com/images/I/51hAwM104bL.jpg;https://m.media-amazon.com/images/I/61-HemuDhmL.jpg</t>
        </is>
      </c>
      <c r="AG705" t="inlineStr"/>
    </row>
    <row r="706">
      <c r="A706" t="inlineStr">
        <is>
          <t>com</t>
        </is>
      </c>
      <c r="B706" t="inlineStr">
        <is>
          <t>B0DJ649BD3</t>
        </is>
      </c>
      <c r="C706" t="inlineStr">
        <is>
          <t>Puma - Womens Club Pearl Shoes, Color White/Mauve Mist/Vapor Gray, Size: 8 M US</t>
        </is>
      </c>
      <c r="D706" t="n">
        <v>74.98999999999999</v>
      </c>
      <c r="E706" t="n">
        <v>70</v>
      </c>
      <c r="H706" t="n">
        <v>74.98999999999999</v>
      </c>
      <c r="I706" t="n">
        <v>74.98999999999999</v>
      </c>
      <c r="J706" t="n">
        <v>0</v>
      </c>
      <c r="K706" t="n">
        <v>1</v>
      </c>
      <c r="L706" t="n">
        <v>2</v>
      </c>
      <c r="M706" t="n">
        <v>3</v>
      </c>
      <c r="Q706" t="n">
        <v>-1</v>
      </c>
      <c r="R706" t="n">
        <v>-1</v>
      </c>
      <c r="S706" t="inlineStr">
        <is>
          <t>B0DJ65GM16</t>
        </is>
      </c>
      <c r="V706" t="inlineStr"/>
      <c r="W706" t="inlineStr"/>
      <c r="X706" t="inlineStr">
        <is>
          <t>197672018966</t>
        </is>
      </c>
      <c r="Y706" t="inlineStr"/>
      <c r="Z706" t="inlineStr"/>
      <c r="AA706" t="inlineStr">
        <is>
          <t>White/Mauve Mist/Vapor Gray</t>
        </is>
      </c>
      <c r="AB706" t="inlineStr">
        <is>
          <t>0197672018966</t>
        </is>
      </c>
      <c r="AC706" t="inlineStr">
        <is>
          <t>no Amazon offer exists</t>
        </is>
      </c>
      <c r="AD706" t="inlineStr">
        <is>
          <t>Puma</t>
        </is>
      </c>
      <c r="AE706" t="inlineStr">
        <is>
          <t>8</t>
        </is>
      </c>
      <c r="AF706" t="inlineStr">
        <is>
          <t>https://m.media-amazon.com/images/I/51-H-Pbi0yL.jpg;https://m.media-amazon.com/images/I/61oNKJ7eXvL.jpg;https://m.media-amazon.com/images/I/51hAwM104bL.jpg;https://m.media-amazon.com/images/I/61-HemuDhmL.jpg</t>
        </is>
      </c>
      <c r="AG706" t="inlineStr"/>
    </row>
    <row r="707">
      <c r="A707" t="inlineStr">
        <is>
          <t>com</t>
        </is>
      </c>
      <c r="B707" t="inlineStr">
        <is>
          <t>B0DJ65LJGL</t>
        </is>
      </c>
      <c r="C707" t="inlineStr">
        <is>
          <t>Puma - Womens Club Pearl Shoes, Color White/Mauve Mist/Vapor Gray, Size: 8.5 M US</t>
        </is>
      </c>
      <c r="D707" t="n">
        <v>74.98999999999999</v>
      </c>
      <c r="E707" t="n">
        <v>70</v>
      </c>
      <c r="H707" t="n">
        <v>74.98999999999999</v>
      </c>
      <c r="I707" t="n">
        <v>74.98999999999999</v>
      </c>
      <c r="J707" t="n">
        <v>0</v>
      </c>
      <c r="K707" t="n">
        <v>1</v>
      </c>
      <c r="L707" t="n">
        <v>2</v>
      </c>
      <c r="M707" t="n">
        <v>3</v>
      </c>
      <c r="Q707" t="n">
        <v>-1</v>
      </c>
      <c r="R707" t="n">
        <v>-1</v>
      </c>
      <c r="S707" t="inlineStr">
        <is>
          <t>B0DJ65GM16</t>
        </is>
      </c>
      <c r="V707" t="inlineStr"/>
      <c r="W707" t="inlineStr"/>
      <c r="X707" t="inlineStr">
        <is>
          <t>197672018911</t>
        </is>
      </c>
      <c r="Y707" t="inlineStr"/>
      <c r="Z707" t="inlineStr"/>
      <c r="AA707" t="inlineStr">
        <is>
          <t>White/Mauve Mist/Vapor Gray</t>
        </is>
      </c>
      <c r="AB707" t="inlineStr">
        <is>
          <t>0197672018911</t>
        </is>
      </c>
      <c r="AC707" t="inlineStr">
        <is>
          <t>no Amazon offer exists</t>
        </is>
      </c>
      <c r="AD707" t="inlineStr">
        <is>
          <t>Puma</t>
        </is>
      </c>
      <c r="AE707" t="inlineStr">
        <is>
          <t>8.5</t>
        </is>
      </c>
      <c r="AF707" t="inlineStr">
        <is>
          <t>https://m.media-amazon.com/images/I/51-H-Pbi0yL.jpg;https://m.media-amazon.com/images/I/61oNKJ7eXvL.jpg;https://m.media-amazon.com/images/I/51hAwM104bL.jpg;https://m.media-amazon.com/images/I/61-HemuDhmL.jpg</t>
        </is>
      </c>
      <c r="AG707" t="inlineStr"/>
    </row>
    <row r="708">
      <c r="A708" t="inlineStr">
        <is>
          <t>com</t>
        </is>
      </c>
      <c r="B708" t="inlineStr">
        <is>
          <t>B0DJ64C9TL</t>
        </is>
      </c>
      <c r="C708" t="inlineStr">
        <is>
          <t>Puma - Womens Club Pearl Shoes, Color White/Mauve Mist/Vapor Gray, Size: 9 M US</t>
        </is>
      </c>
      <c r="D708" t="n">
        <v>74.98999999999999</v>
      </c>
      <c r="E708" t="n">
        <v>70</v>
      </c>
      <c r="H708" t="n">
        <v>75.09999999999999</v>
      </c>
      <c r="I708" t="n">
        <v>75.09999999999999</v>
      </c>
      <c r="J708" t="n">
        <v>0</v>
      </c>
      <c r="K708" t="n">
        <v>1</v>
      </c>
      <c r="L708" t="n">
        <v>2</v>
      </c>
      <c r="M708" t="n">
        <v>3</v>
      </c>
      <c r="Q708" t="n">
        <v>-1</v>
      </c>
      <c r="R708" t="n">
        <v>-1</v>
      </c>
      <c r="S708" t="inlineStr">
        <is>
          <t>B0DJ65GM16</t>
        </is>
      </c>
      <c r="V708" t="inlineStr"/>
      <c r="W708" t="inlineStr"/>
      <c r="X708" t="inlineStr">
        <is>
          <t>197672018973</t>
        </is>
      </c>
      <c r="Y708" t="inlineStr"/>
      <c r="Z708" t="inlineStr"/>
      <c r="AA708" t="inlineStr">
        <is>
          <t>White/Mauve Mist/Vapor Gray</t>
        </is>
      </c>
      <c r="AB708" t="inlineStr">
        <is>
          <t>0197672018973</t>
        </is>
      </c>
      <c r="AC708" t="inlineStr">
        <is>
          <t>no Amazon offer exists</t>
        </is>
      </c>
      <c r="AD708" t="inlineStr">
        <is>
          <t>Puma</t>
        </is>
      </c>
      <c r="AE708" t="inlineStr">
        <is>
          <t>9</t>
        </is>
      </c>
      <c r="AF708" t="inlineStr">
        <is>
          <t>https://m.media-amazon.com/images/I/51-H-Pbi0yL.jpg;https://m.media-amazon.com/images/I/61oNKJ7eXvL.jpg;https://m.media-amazon.com/images/I/51hAwM104bL.jpg;https://m.media-amazon.com/images/I/61-HemuDhmL.jpg</t>
        </is>
      </c>
      <c r="AG708" t="inlineStr"/>
    </row>
    <row r="709">
      <c r="A709" t="inlineStr">
        <is>
          <t>com</t>
        </is>
      </c>
      <c r="B709" t="inlineStr">
        <is>
          <t>B0DJ65WZ6G</t>
        </is>
      </c>
      <c r="C709" t="inlineStr">
        <is>
          <t>Puma - Womens Club Pearl Shoes, Color White/Mauve Mist/Vapor Gray, Size: 9.5 M US</t>
        </is>
      </c>
      <c r="D709" t="n">
        <v>74.98999999999999</v>
      </c>
      <c r="E709" t="n">
        <v>70</v>
      </c>
      <c r="H709" t="n">
        <v>77.62</v>
      </c>
      <c r="I709" t="n">
        <v>77.62</v>
      </c>
      <c r="J709" t="n">
        <v>0</v>
      </c>
      <c r="K709" t="n">
        <v>1</v>
      </c>
      <c r="L709" t="n">
        <v>2</v>
      </c>
      <c r="M709" t="n">
        <v>3</v>
      </c>
      <c r="Q709" t="n">
        <v>-1</v>
      </c>
      <c r="R709" t="n">
        <v>-1</v>
      </c>
      <c r="S709" t="inlineStr">
        <is>
          <t>B0DJ65GM16</t>
        </is>
      </c>
      <c r="V709" t="inlineStr"/>
      <c r="W709" t="inlineStr"/>
      <c r="X709" t="inlineStr">
        <is>
          <t>197672018928</t>
        </is>
      </c>
      <c r="Y709" t="inlineStr"/>
      <c r="Z709" t="inlineStr"/>
      <c r="AA709" t="inlineStr">
        <is>
          <t>White/Mauve Mist/Vapor Gray</t>
        </is>
      </c>
      <c r="AB709" t="inlineStr">
        <is>
          <t>0197672018928</t>
        </is>
      </c>
      <c r="AC709" t="inlineStr">
        <is>
          <t>no Amazon offer exists</t>
        </is>
      </c>
      <c r="AD709" t="inlineStr">
        <is>
          <t>Puma</t>
        </is>
      </c>
      <c r="AE709" t="inlineStr">
        <is>
          <t>9.5</t>
        </is>
      </c>
      <c r="AF709" t="inlineStr">
        <is>
          <t>https://m.media-amazon.com/images/I/51-H-Pbi0yL.jpg;https://m.media-amazon.com/images/I/61oNKJ7eXvL.jpg;https://m.media-amazon.com/images/I/51hAwM104bL.jpg;https://m.media-amazon.com/images/I/61-HemuDhmL.jpg</t>
        </is>
      </c>
      <c r="AG709" t="inlineStr"/>
    </row>
    <row r="710">
      <c r="A710" t="inlineStr">
        <is>
          <t>com</t>
        </is>
      </c>
      <c r="B710" t="inlineStr">
        <is>
          <t>B0DJ64DZ1Q</t>
        </is>
      </c>
      <c r="C710" t="inlineStr">
        <is>
          <t>Puma - Womens Club Pearl Shoes, Color White/Mauve Mist/Vapor Gray, Size: 10 M US</t>
        </is>
      </c>
      <c r="D710" t="n">
        <v>74.98999999999999</v>
      </c>
      <c r="E710" t="n">
        <v>70</v>
      </c>
      <c r="H710" t="n">
        <v>74.98999999999999</v>
      </c>
      <c r="I710" t="n">
        <v>74.98999999999999</v>
      </c>
      <c r="J710" t="n">
        <v>0</v>
      </c>
      <c r="K710" t="n">
        <v>1</v>
      </c>
      <c r="L710" t="n">
        <v>2</v>
      </c>
      <c r="M710" t="n">
        <v>3</v>
      </c>
      <c r="Q710" t="n">
        <v>-1</v>
      </c>
      <c r="R710" t="n">
        <v>-1</v>
      </c>
      <c r="S710" t="inlineStr">
        <is>
          <t>B0DJ65GM16</t>
        </is>
      </c>
      <c r="V710" t="inlineStr"/>
      <c r="W710" t="inlineStr"/>
      <c r="X710" t="inlineStr">
        <is>
          <t>197672018980</t>
        </is>
      </c>
      <c r="Y710" t="inlineStr"/>
      <c r="Z710" t="inlineStr"/>
      <c r="AA710" t="inlineStr">
        <is>
          <t>White/Mauve Mist/Vapor Gray</t>
        </is>
      </c>
      <c r="AB710" t="inlineStr">
        <is>
          <t>0197672018980</t>
        </is>
      </c>
      <c r="AC710" t="inlineStr">
        <is>
          <t>no Amazon offer exists</t>
        </is>
      </c>
      <c r="AD710" t="inlineStr">
        <is>
          <t>Puma</t>
        </is>
      </c>
      <c r="AE710" t="inlineStr">
        <is>
          <t>10</t>
        </is>
      </c>
      <c r="AF710" t="inlineStr">
        <is>
          <t>https://m.media-amazon.com/images/I/51-H-Pbi0yL.jpg;https://m.media-amazon.com/images/I/61oNKJ7eXvL.jpg;https://m.media-amazon.com/images/I/51hAwM104bL.jpg;https://m.media-amazon.com/images/I/61-HemuDhmL.jpg</t>
        </is>
      </c>
      <c r="AG710" t="inlineStr"/>
    </row>
    <row r="711">
      <c r="A711" t="inlineStr">
        <is>
          <t>com</t>
        </is>
      </c>
      <c r="B711" t="inlineStr">
        <is>
          <t>B0DJ65D6C2</t>
        </is>
      </c>
      <c r="C711" t="inlineStr">
        <is>
          <t>Puma - Womens Club Pearl Shoes, Color White/Mauve Mist/Vapor Gray, Size: 11 M US</t>
        </is>
      </c>
      <c r="D711" t="n">
        <v>100.34</v>
      </c>
      <c r="E711" t="n">
        <v>85.39</v>
      </c>
      <c r="H711" t="n">
        <v>100.34</v>
      </c>
      <c r="I711" t="n">
        <v>100.34</v>
      </c>
      <c r="J711" t="n">
        <v>0</v>
      </c>
      <c r="K711" t="n">
        <v>1</v>
      </c>
      <c r="L711" t="n">
        <v>2</v>
      </c>
      <c r="M711" t="n">
        <v>2</v>
      </c>
      <c r="Q711" t="n">
        <v>-1</v>
      </c>
      <c r="R711" t="n">
        <v>-1</v>
      </c>
      <c r="S711" t="inlineStr">
        <is>
          <t>B0DJ65GM16</t>
        </is>
      </c>
      <c r="V711" t="inlineStr"/>
      <c r="W711" t="inlineStr"/>
      <c r="X711" t="inlineStr">
        <is>
          <t>197672018997</t>
        </is>
      </c>
      <c r="Y711" t="inlineStr"/>
      <c r="Z711" t="inlineStr"/>
      <c r="AA711" t="inlineStr">
        <is>
          <t>White/Mauve Mist/Vapor Gray</t>
        </is>
      </c>
      <c r="AB711" t="inlineStr">
        <is>
          <t>0197672018997</t>
        </is>
      </c>
      <c r="AC711" t="inlineStr">
        <is>
          <t>no Amazon offer exists</t>
        </is>
      </c>
      <c r="AD711" t="inlineStr">
        <is>
          <t>Puma</t>
        </is>
      </c>
      <c r="AE711" t="inlineStr">
        <is>
          <t>11</t>
        </is>
      </c>
      <c r="AF711" t="inlineStr">
        <is>
          <t>https://m.media-amazon.com/images/I/51-H-Pbi0yL.jpg;https://m.media-amazon.com/images/I/61oNKJ7eXvL.jpg;https://m.media-amazon.com/images/I/51hAwM104bL.jpg;https://m.media-amazon.com/images/I/61-HemuDhmL.jpg</t>
        </is>
      </c>
      <c r="AG711" t="inlineStr"/>
    </row>
    <row r="712">
      <c r="A712" t="inlineStr">
        <is>
          <t>com</t>
        </is>
      </c>
      <c r="B712" t="inlineStr">
        <is>
          <t>B0DJ64DTTW</t>
        </is>
      </c>
      <c r="C712" t="inlineStr">
        <is>
          <t>Puma - Womens Club Pearl Shoes, Color White/Mauve Mist/Vapor Gray, Size: 10.5 M US</t>
        </is>
      </c>
      <c r="D712" t="inlineStr"/>
      <c r="E712" t="inlineStr"/>
      <c r="H712" t="inlineStr"/>
      <c r="I712" t="inlineStr"/>
      <c r="J712" t="n">
        <v>1</v>
      </c>
      <c r="K712" t="n">
        <v>1</v>
      </c>
      <c r="Q712" t="n">
        <v>-1</v>
      </c>
      <c r="R712" t="n">
        <v>-1</v>
      </c>
      <c r="S712" t="inlineStr">
        <is>
          <t>B0DJ65GM16</t>
        </is>
      </c>
      <c r="V712" t="inlineStr"/>
      <c r="W712" t="inlineStr"/>
      <c r="X712" t="inlineStr">
        <is>
          <t>197672018935</t>
        </is>
      </c>
      <c r="Y712" t="inlineStr"/>
      <c r="Z712" t="inlineStr"/>
      <c r="AA712" t="inlineStr">
        <is>
          <t>White/Mauve Mist/Vapor Gray</t>
        </is>
      </c>
      <c r="AB712" t="inlineStr">
        <is>
          <t>0197672018935</t>
        </is>
      </c>
      <c r="AC712" t="inlineStr">
        <is>
          <t>no Amazon offer exists</t>
        </is>
      </c>
      <c r="AD712" t="inlineStr">
        <is>
          <t>Puma</t>
        </is>
      </c>
      <c r="AE712" t="inlineStr">
        <is>
          <t>10.5</t>
        </is>
      </c>
      <c r="AF712" t="inlineStr">
        <is>
          <t>https://m.media-amazon.com/images/I/51-H-Pbi0yL.jpg;https://m.media-amazon.com/images/I/61oNKJ7eXvL.jpg;https://m.media-amazon.com/images/I/51hAwM104bL.jpg;https://m.media-amazon.com/images/I/61-HemuDhmL.jpg</t>
        </is>
      </c>
      <c r="AG712" t="inlineStr"/>
    </row>
    <row r="713">
      <c r="A713" t="inlineStr">
        <is>
          <t>com</t>
        </is>
      </c>
      <c r="B713" t="inlineStr">
        <is>
          <t>B0DD126L48</t>
        </is>
      </c>
      <c r="C713" t="inlineStr">
        <is>
          <t>Puma Womens Club Pearl Lace Up Sneakers Shoes Casual - White - Size 5.5 M</t>
        </is>
      </c>
      <c r="D713" t="n">
        <v>62.95</v>
      </c>
      <c r="E713" t="n">
        <v>62.95</v>
      </c>
      <c r="F713" t="n">
        <v>4839793</v>
      </c>
      <c r="G713" t="n">
        <v>3239553</v>
      </c>
      <c r="H713" t="n">
        <v>63.91</v>
      </c>
      <c r="I713" t="n">
        <v>63.91</v>
      </c>
      <c r="J713" t="n">
        <v>0</v>
      </c>
      <c r="K713" t="n">
        <v>1</v>
      </c>
      <c r="L713" t="n">
        <v>1</v>
      </c>
      <c r="M713" t="n">
        <v>1</v>
      </c>
      <c r="O713" t="n">
        <v>0</v>
      </c>
      <c r="Q713" t="n">
        <v>1</v>
      </c>
      <c r="R713" t="n">
        <v>1</v>
      </c>
      <c r="S713" t="inlineStr">
        <is>
          <t>B0DD1L1J1H</t>
        </is>
      </c>
      <c r="V713" t="inlineStr"/>
      <c r="W713" t="inlineStr"/>
      <c r="X713" t="inlineStr">
        <is>
          <t>197672019246</t>
        </is>
      </c>
      <c r="Y713" t="inlineStr">
        <is>
          <t>39936005</t>
        </is>
      </c>
      <c r="Z713" t="inlineStr">
        <is>
          <t>39936005</t>
        </is>
      </c>
      <c r="AA713" t="inlineStr">
        <is>
          <t>White</t>
        </is>
      </c>
      <c r="AB713" t="inlineStr">
        <is>
          <t>0197672019246</t>
        </is>
      </c>
      <c r="AC713" t="inlineStr">
        <is>
          <t>no Amazon offer exists</t>
        </is>
      </c>
      <c r="AD713" t="inlineStr">
        <is>
          <t>Puma</t>
        </is>
      </c>
      <c r="AE713" t="inlineStr">
        <is>
          <t>5.5</t>
        </is>
      </c>
      <c r="AF713" t="inlineStr">
        <is>
          <t>https://m.media-amazon.com/images/I/41BWoRzRwmL.jpg;https://m.media-amazon.com/images/I/51S9o4qhaIL.jpg;https://m.media-amazon.com/images/I/41o+RmRzx-L.jpg;https://m.media-amazon.com/images/I/41074boZzsL.jpg;https://m.media-amazon.com/images/I/51INCeg2R9L.jpg;https://m.media-amazon.com/images/I/61KtwlbHIQL.jpg</t>
        </is>
      </c>
      <c r="AG713"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4">
      <c r="A714" t="inlineStr">
        <is>
          <t>com</t>
        </is>
      </c>
      <c r="B714" t="inlineStr">
        <is>
          <t>B0DD1155T2</t>
        </is>
      </c>
      <c r="C714" t="inlineStr">
        <is>
          <t>Puma Womens Club Pearl Lace Up Sneakers Shoes Casual - White - Size 6 M</t>
        </is>
      </c>
      <c r="D714" t="n">
        <v>62.95</v>
      </c>
      <c r="E714" t="n">
        <v>62.95</v>
      </c>
      <c r="F714" t="n">
        <v>4332391</v>
      </c>
      <c r="G714" t="n">
        <v>3156385</v>
      </c>
      <c r="H714" t="n">
        <v>64</v>
      </c>
      <c r="I714" t="n">
        <v>64</v>
      </c>
      <c r="J714" t="n">
        <v>0</v>
      </c>
      <c r="K714" t="n">
        <v>1</v>
      </c>
      <c r="L714" t="n">
        <v>1</v>
      </c>
      <c r="M714" t="n">
        <v>1</v>
      </c>
      <c r="O714" t="n">
        <v>0</v>
      </c>
      <c r="Q714" t="n">
        <v>1</v>
      </c>
      <c r="R714" t="n">
        <v>1</v>
      </c>
      <c r="S714" t="inlineStr">
        <is>
          <t>B0DD1L1J1H</t>
        </is>
      </c>
      <c r="V714" t="inlineStr"/>
      <c r="W714" t="inlineStr"/>
      <c r="X714" t="inlineStr">
        <is>
          <t>197672019307</t>
        </is>
      </c>
      <c r="Y714" t="inlineStr">
        <is>
          <t>39936005</t>
        </is>
      </c>
      <c r="Z714" t="inlineStr">
        <is>
          <t>39936005</t>
        </is>
      </c>
      <c r="AA714" t="inlineStr">
        <is>
          <t>White</t>
        </is>
      </c>
      <c r="AB714" t="inlineStr">
        <is>
          <t>0197672019307</t>
        </is>
      </c>
      <c r="AC714" t="inlineStr">
        <is>
          <t>no Amazon offer exists</t>
        </is>
      </c>
      <c r="AD714" t="inlineStr">
        <is>
          <t>Puma</t>
        </is>
      </c>
      <c r="AE714" t="inlineStr">
        <is>
          <t>6</t>
        </is>
      </c>
      <c r="AF714" t="inlineStr">
        <is>
          <t>https://m.media-amazon.com/images/I/41BWoRzRwmL.jpg;https://m.media-amazon.com/images/I/51S9o4qhaIL.jpg;https://m.media-amazon.com/images/I/41o+RmRzx-L.jpg;https://m.media-amazon.com/images/I/41074boZzsL.jpg;https://m.media-amazon.com/images/I/51INCeg2R9L.jpg;https://m.media-amazon.com/images/I/61KtwlbHIQL.jpg</t>
        </is>
      </c>
      <c r="AG714"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5">
      <c r="A715" t="inlineStr">
        <is>
          <t>com</t>
        </is>
      </c>
      <c r="B715" t="inlineStr">
        <is>
          <t>B0DD12QWRZ</t>
        </is>
      </c>
      <c r="C715" t="inlineStr">
        <is>
          <t>Puma Womens Club Pearl Lace Up Sneakers Shoes Casual - White - Size 6.5 M</t>
        </is>
      </c>
      <c r="D715" t="n">
        <v>62.95</v>
      </c>
      <c r="E715" t="n">
        <v>62.95</v>
      </c>
      <c r="F715" t="n">
        <v>4699958</v>
      </c>
      <c r="G715" t="n">
        <v>3327939</v>
      </c>
      <c r="H715" t="n">
        <v>66.45999999999999</v>
      </c>
      <c r="I715" t="n">
        <v>66.45999999999999</v>
      </c>
      <c r="J715" t="n">
        <v>0</v>
      </c>
      <c r="K715" t="n">
        <v>1</v>
      </c>
      <c r="L715" t="n">
        <v>1</v>
      </c>
      <c r="M715" t="n">
        <v>1</v>
      </c>
      <c r="O715" t="n">
        <v>0</v>
      </c>
      <c r="Q715" t="n">
        <v>1</v>
      </c>
      <c r="R715" t="n">
        <v>1</v>
      </c>
      <c r="S715" t="inlineStr">
        <is>
          <t>B0DD1L1J1H</t>
        </is>
      </c>
      <c r="V715" t="inlineStr"/>
      <c r="W715" t="inlineStr"/>
      <c r="X715" t="inlineStr">
        <is>
          <t>197672019253</t>
        </is>
      </c>
      <c r="Y715" t="inlineStr">
        <is>
          <t>39936005</t>
        </is>
      </c>
      <c r="Z715" t="inlineStr">
        <is>
          <t>39936005</t>
        </is>
      </c>
      <c r="AA715" t="inlineStr">
        <is>
          <t>White</t>
        </is>
      </c>
      <c r="AB715" t="inlineStr">
        <is>
          <t>0197672019253</t>
        </is>
      </c>
      <c r="AC715" t="inlineStr">
        <is>
          <t>no Amazon offer exists</t>
        </is>
      </c>
      <c r="AD715" t="inlineStr">
        <is>
          <t>Puma</t>
        </is>
      </c>
      <c r="AE715" t="inlineStr">
        <is>
          <t>6.5</t>
        </is>
      </c>
      <c r="AF715" t="inlineStr">
        <is>
          <t>https://m.media-amazon.com/images/I/41BWoRzRwmL.jpg;https://m.media-amazon.com/images/I/51S9o4qhaIL.jpg;https://m.media-amazon.com/images/I/41o+RmRzx-L.jpg;https://m.media-amazon.com/images/I/41074boZzsL.jpg;https://m.media-amazon.com/images/I/51INCeg2R9L.jpg;https://m.media-amazon.com/images/I/61KtwlbHIQL.jpg</t>
        </is>
      </c>
      <c r="AG715"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6">
      <c r="A716" t="inlineStr">
        <is>
          <t>com</t>
        </is>
      </c>
      <c r="B716" t="inlineStr">
        <is>
          <t>B0DD13WGH5</t>
        </is>
      </c>
      <c r="C716" t="inlineStr">
        <is>
          <t>Puma Womens Club Pearl Lace Up Sneakers Shoes Casual - White - Size 7 M</t>
        </is>
      </c>
      <c r="D716" t="n">
        <v>62.95</v>
      </c>
      <c r="E716" t="n">
        <v>62.95</v>
      </c>
      <c r="F716" t="n">
        <v>4332391</v>
      </c>
      <c r="G716" t="n">
        <v>2810964</v>
      </c>
      <c r="H716" t="n">
        <v>64.34</v>
      </c>
      <c r="I716" t="n">
        <v>64.34</v>
      </c>
      <c r="J716" t="n">
        <v>0</v>
      </c>
      <c r="K716" t="n">
        <v>1</v>
      </c>
      <c r="L716" t="n">
        <v>1</v>
      </c>
      <c r="M716" t="n">
        <v>1</v>
      </c>
      <c r="O716" t="n">
        <v>0</v>
      </c>
      <c r="Q716" t="n">
        <v>1</v>
      </c>
      <c r="R716" t="n">
        <v>1</v>
      </c>
      <c r="S716" t="inlineStr">
        <is>
          <t>B0DD1L1J1H</t>
        </is>
      </c>
      <c r="V716" t="inlineStr"/>
      <c r="W716" t="inlineStr"/>
      <c r="X716" t="inlineStr">
        <is>
          <t>197672019314</t>
        </is>
      </c>
      <c r="Y716" t="inlineStr">
        <is>
          <t>39936005</t>
        </is>
      </c>
      <c r="Z716" t="inlineStr">
        <is>
          <t>39936005</t>
        </is>
      </c>
      <c r="AA716" t="inlineStr">
        <is>
          <t>White</t>
        </is>
      </c>
      <c r="AB716" t="inlineStr">
        <is>
          <t>0197672019314</t>
        </is>
      </c>
      <c r="AC716" t="inlineStr">
        <is>
          <t>no Amazon offer exists</t>
        </is>
      </c>
      <c r="AD716" t="inlineStr">
        <is>
          <t>Puma</t>
        </is>
      </c>
      <c r="AE716" t="inlineStr">
        <is>
          <t>7</t>
        </is>
      </c>
      <c r="AF716" t="inlineStr">
        <is>
          <t>https://m.media-amazon.com/images/I/41BWoRzRwmL.jpg;https://m.media-amazon.com/images/I/51S9o4qhaIL.jpg;https://m.media-amazon.com/images/I/41o+RmRzx-L.jpg;https://m.media-amazon.com/images/I/41074boZzsL.jpg;https://m.media-amazon.com/images/I/51INCeg2R9L.jpg;https://m.media-amazon.com/images/I/61KtwlbHIQL.jpg</t>
        </is>
      </c>
      <c r="AG716"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7">
      <c r="A717" t="inlineStr">
        <is>
          <t>com</t>
        </is>
      </c>
      <c r="B717" t="inlineStr">
        <is>
          <t>B0DD1SLKZ4</t>
        </is>
      </c>
      <c r="C717" t="inlineStr">
        <is>
          <t>Puma Womens Club Pearl Lace Up Sneakers Shoes Casual - White - Size 7.5 M</t>
        </is>
      </c>
      <c r="D717" t="n">
        <v>62.95</v>
      </c>
      <c r="E717" t="n">
        <v>62.95</v>
      </c>
      <c r="F717" t="n">
        <v>4558163</v>
      </c>
      <c r="G717" t="n">
        <v>3371663</v>
      </c>
      <c r="H717" t="n">
        <v>64.05</v>
      </c>
      <c r="I717" t="n">
        <v>64.05</v>
      </c>
      <c r="J717" t="n">
        <v>0</v>
      </c>
      <c r="K717" t="n">
        <v>1</v>
      </c>
      <c r="L717" t="n">
        <v>1</v>
      </c>
      <c r="M717" t="n">
        <v>1</v>
      </c>
      <c r="O717" t="n">
        <v>0</v>
      </c>
      <c r="Q717" t="n">
        <v>1</v>
      </c>
      <c r="R717" t="n">
        <v>1</v>
      </c>
      <c r="S717" t="inlineStr">
        <is>
          <t>B0DD1L1J1H</t>
        </is>
      </c>
      <c r="V717" t="inlineStr"/>
      <c r="W717" t="inlineStr"/>
      <c r="X717" t="inlineStr">
        <is>
          <t>197672019260</t>
        </is>
      </c>
      <c r="Y717" t="inlineStr">
        <is>
          <t>39936005</t>
        </is>
      </c>
      <c r="Z717" t="inlineStr">
        <is>
          <t>39936005</t>
        </is>
      </c>
      <c r="AA717" t="inlineStr">
        <is>
          <t>White</t>
        </is>
      </c>
      <c r="AB717" t="inlineStr">
        <is>
          <t>0197672019260</t>
        </is>
      </c>
      <c r="AC717" t="inlineStr">
        <is>
          <t>no Amazon offer exists</t>
        </is>
      </c>
      <c r="AD717" t="inlineStr">
        <is>
          <t>Puma</t>
        </is>
      </c>
      <c r="AE717" t="inlineStr">
        <is>
          <t>7.5</t>
        </is>
      </c>
      <c r="AF717" t="inlineStr">
        <is>
          <t>https://m.media-amazon.com/images/I/41BWoRzRwmL.jpg;https://m.media-amazon.com/images/I/51S9o4qhaIL.jpg;https://m.media-amazon.com/images/I/41o+RmRzx-L.jpg;https://m.media-amazon.com/images/I/41074boZzsL.jpg;https://m.media-amazon.com/images/I/51INCeg2R9L.jpg;https://m.media-amazon.com/images/I/61KtwlbHIQL.jpg</t>
        </is>
      </c>
      <c r="AG717"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8">
      <c r="A718" t="inlineStr">
        <is>
          <t>com</t>
        </is>
      </c>
      <c r="B718" t="inlineStr">
        <is>
          <t>B0DD11Y4J6</t>
        </is>
      </c>
      <c r="C718" t="inlineStr">
        <is>
          <t>Puma Womens Club Pearl Lace Up Sneakers Shoes Casual - White - Size 8 M</t>
        </is>
      </c>
      <c r="D718" t="n">
        <v>62.95</v>
      </c>
      <c r="E718" t="n">
        <v>62.95</v>
      </c>
      <c r="F718" t="n">
        <v>4332391</v>
      </c>
      <c r="G718" t="n">
        <v>3081527</v>
      </c>
      <c r="H718" t="n">
        <v>64.16</v>
      </c>
      <c r="I718" t="n">
        <v>64.16</v>
      </c>
      <c r="J718" t="n">
        <v>0</v>
      </c>
      <c r="K718" t="n">
        <v>1</v>
      </c>
      <c r="L718" t="n">
        <v>1</v>
      </c>
      <c r="M718" t="n">
        <v>1</v>
      </c>
      <c r="O718" t="n">
        <v>0</v>
      </c>
      <c r="Q718" t="n">
        <v>1</v>
      </c>
      <c r="R718" t="n">
        <v>1</v>
      </c>
      <c r="S718" t="inlineStr">
        <is>
          <t>B0DD1L1J1H</t>
        </is>
      </c>
      <c r="V718" t="inlineStr"/>
      <c r="W718" t="inlineStr"/>
      <c r="X718" t="inlineStr">
        <is>
          <t>197672019321</t>
        </is>
      </c>
      <c r="Y718" t="inlineStr">
        <is>
          <t>39936005</t>
        </is>
      </c>
      <c r="Z718" t="inlineStr">
        <is>
          <t>39936005</t>
        </is>
      </c>
      <c r="AA718" t="inlineStr">
        <is>
          <t>White</t>
        </is>
      </c>
      <c r="AB718" t="inlineStr">
        <is>
          <t>0197672019321</t>
        </is>
      </c>
      <c r="AC718" t="inlineStr">
        <is>
          <t>no Amazon offer exists</t>
        </is>
      </c>
      <c r="AD718" t="inlineStr">
        <is>
          <t>Puma</t>
        </is>
      </c>
      <c r="AE718" t="inlineStr">
        <is>
          <t>8</t>
        </is>
      </c>
      <c r="AF718" t="inlineStr">
        <is>
          <t>https://m.media-amazon.com/images/I/41BWoRzRwmL.jpg;https://m.media-amazon.com/images/I/51S9o4qhaIL.jpg;https://m.media-amazon.com/images/I/41o+RmRzx-L.jpg;https://m.media-amazon.com/images/I/41074boZzsL.jpg;https://m.media-amazon.com/images/I/51INCeg2R9L.jpg;https://m.media-amazon.com/images/I/61KtwlbHIQL.jpg</t>
        </is>
      </c>
      <c r="AG718"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19">
      <c r="A719" t="inlineStr">
        <is>
          <t>com</t>
        </is>
      </c>
      <c r="B719" t="inlineStr">
        <is>
          <t>B0DD1HQZHT</t>
        </is>
      </c>
      <c r="C719" t="inlineStr">
        <is>
          <t>Puma Womens Club Pearl Lace Up Sneakers Shoes Casual - White - Size 8.5 M</t>
        </is>
      </c>
      <c r="D719" t="n">
        <v>62.95</v>
      </c>
      <c r="E719" t="n">
        <v>62.95</v>
      </c>
      <c r="F719" t="n">
        <v>4761794</v>
      </c>
      <c r="G719" t="n">
        <v>3507486</v>
      </c>
      <c r="H719" t="n">
        <v>67.54000000000001</v>
      </c>
      <c r="I719" t="n">
        <v>67.54000000000001</v>
      </c>
      <c r="J719" t="n">
        <v>0</v>
      </c>
      <c r="K719" t="n">
        <v>1</v>
      </c>
      <c r="L719" t="n">
        <v>1</v>
      </c>
      <c r="M719" t="n">
        <v>1</v>
      </c>
      <c r="O719" t="n">
        <v>0</v>
      </c>
      <c r="Q719" t="n">
        <v>1</v>
      </c>
      <c r="R719" t="n">
        <v>1</v>
      </c>
      <c r="S719" t="inlineStr">
        <is>
          <t>B0DD1L1J1H</t>
        </is>
      </c>
      <c r="V719" t="inlineStr"/>
      <c r="W719" t="inlineStr"/>
      <c r="X719" t="inlineStr">
        <is>
          <t>197672019277</t>
        </is>
      </c>
      <c r="Y719" t="inlineStr">
        <is>
          <t>39936005</t>
        </is>
      </c>
      <c r="Z719" t="inlineStr">
        <is>
          <t>39936005</t>
        </is>
      </c>
      <c r="AA719" t="inlineStr">
        <is>
          <t>White</t>
        </is>
      </c>
      <c r="AB719" t="inlineStr">
        <is>
          <t>0197672019277</t>
        </is>
      </c>
      <c r="AC719" t="inlineStr">
        <is>
          <t>no Amazon offer exists</t>
        </is>
      </c>
      <c r="AD719" t="inlineStr">
        <is>
          <t>Puma</t>
        </is>
      </c>
      <c r="AE719" t="inlineStr">
        <is>
          <t>8.5</t>
        </is>
      </c>
      <c r="AF719" t="inlineStr">
        <is>
          <t>https://m.media-amazon.com/images/I/41BWoRzRwmL.jpg;https://m.media-amazon.com/images/I/51S9o4qhaIL.jpg;https://m.media-amazon.com/images/I/41o+RmRzx-L.jpg;https://m.media-amazon.com/images/I/41074boZzsL.jpg;https://m.media-amazon.com/images/I/51INCeg2R9L.jpg;https://m.media-amazon.com/images/I/61KtwlbHIQL.jpg</t>
        </is>
      </c>
      <c r="AG719"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20">
      <c r="A720" t="inlineStr">
        <is>
          <t>com</t>
        </is>
      </c>
      <c r="B720" t="inlineStr">
        <is>
          <t>B0DD1HQNQT</t>
        </is>
      </c>
      <c r="C720" t="inlineStr">
        <is>
          <t>Puma Womens Club Pearl Lace Up Sneakers Shoes Casual - White - Size 9 M</t>
        </is>
      </c>
      <c r="D720" t="n">
        <v>62.95</v>
      </c>
      <c r="E720" t="n">
        <v>62.95</v>
      </c>
      <c r="F720" t="n">
        <v>4332391</v>
      </c>
      <c r="G720" t="n">
        <v>3006526</v>
      </c>
      <c r="H720" t="n">
        <v>67.81999999999999</v>
      </c>
      <c r="I720" t="n">
        <v>67.81999999999999</v>
      </c>
      <c r="J720" t="n">
        <v>0</v>
      </c>
      <c r="K720" t="n">
        <v>1</v>
      </c>
      <c r="L720" t="n">
        <v>1</v>
      </c>
      <c r="M720" t="n">
        <v>1</v>
      </c>
      <c r="O720" t="n">
        <v>0</v>
      </c>
      <c r="Q720" t="n">
        <v>1</v>
      </c>
      <c r="R720" t="n">
        <v>1</v>
      </c>
      <c r="S720" t="inlineStr">
        <is>
          <t>B0DD1L1J1H</t>
        </is>
      </c>
      <c r="V720" t="inlineStr"/>
      <c r="W720" t="inlineStr"/>
      <c r="X720" t="inlineStr">
        <is>
          <t>197672019338</t>
        </is>
      </c>
      <c r="Y720" t="inlineStr">
        <is>
          <t>39936005</t>
        </is>
      </c>
      <c r="Z720" t="inlineStr">
        <is>
          <t>39936005</t>
        </is>
      </c>
      <c r="AA720" t="inlineStr">
        <is>
          <t>White</t>
        </is>
      </c>
      <c r="AB720" t="inlineStr">
        <is>
          <t>0197672019338</t>
        </is>
      </c>
      <c r="AC720" t="inlineStr">
        <is>
          <t>no Amazon offer exists</t>
        </is>
      </c>
      <c r="AD720" t="inlineStr">
        <is>
          <t>Puma</t>
        </is>
      </c>
      <c r="AE720" t="inlineStr">
        <is>
          <t>9</t>
        </is>
      </c>
      <c r="AF720" t="inlineStr">
        <is>
          <t>https://m.media-amazon.com/images/I/41BWoRzRwmL.jpg;https://m.media-amazon.com/images/I/51S9o4qhaIL.jpg;https://m.media-amazon.com/images/I/41o+RmRzx-L.jpg;https://m.media-amazon.com/images/I/41074boZzsL.jpg;https://m.media-amazon.com/images/I/51INCeg2R9L.jpg;https://m.media-amazon.com/images/I/61KtwlbHIQL.jpg</t>
        </is>
      </c>
      <c r="AG720"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21">
      <c r="A721" t="inlineStr">
        <is>
          <t>com</t>
        </is>
      </c>
      <c r="B721" t="inlineStr">
        <is>
          <t>B0DD1HSBY8</t>
        </is>
      </c>
      <c r="C721" t="inlineStr">
        <is>
          <t>Puma Womens Club Pearl Lace Up Sneakers Shoes Casual - White - Size 9.5 M</t>
        </is>
      </c>
      <c r="D721" t="n">
        <v>62.95</v>
      </c>
      <c r="E721" t="n">
        <v>62.95</v>
      </c>
      <c r="F721" t="n">
        <v>4332391</v>
      </c>
      <c r="G721" t="n">
        <v>3056456</v>
      </c>
      <c r="H721" t="n">
        <v>64.13</v>
      </c>
      <c r="I721" t="n">
        <v>64.13</v>
      </c>
      <c r="J721" t="n">
        <v>0</v>
      </c>
      <c r="K721" t="n">
        <v>1</v>
      </c>
      <c r="L721" t="n">
        <v>1</v>
      </c>
      <c r="M721" t="n">
        <v>1</v>
      </c>
      <c r="O721" t="n">
        <v>0</v>
      </c>
      <c r="Q721" t="n">
        <v>1</v>
      </c>
      <c r="R721" t="n">
        <v>1</v>
      </c>
      <c r="S721" t="inlineStr">
        <is>
          <t>B0DD1L1J1H</t>
        </is>
      </c>
      <c r="V721" t="inlineStr"/>
      <c r="W721" t="inlineStr"/>
      <c r="X721" t="inlineStr">
        <is>
          <t>197672019284</t>
        </is>
      </c>
      <c r="Y721" t="inlineStr">
        <is>
          <t>39936005</t>
        </is>
      </c>
      <c r="Z721" t="inlineStr">
        <is>
          <t>39936005</t>
        </is>
      </c>
      <c r="AA721" t="inlineStr">
        <is>
          <t>White</t>
        </is>
      </c>
      <c r="AB721" t="inlineStr">
        <is>
          <t>0197672019284</t>
        </is>
      </c>
      <c r="AC721" t="inlineStr">
        <is>
          <t>no Amazon offer exists</t>
        </is>
      </c>
      <c r="AD721" t="inlineStr">
        <is>
          <t>Puma</t>
        </is>
      </c>
      <c r="AE721" t="inlineStr">
        <is>
          <t>9.5</t>
        </is>
      </c>
      <c r="AF721" t="inlineStr">
        <is>
          <t>https://m.media-amazon.com/images/I/41BWoRzRwmL.jpg;https://m.media-amazon.com/images/I/51S9o4qhaIL.jpg;https://m.media-amazon.com/images/I/41o+RmRzx-L.jpg;https://m.media-amazon.com/images/I/41074boZzsL.jpg;https://m.media-amazon.com/images/I/51INCeg2R9L.jpg;https://m.media-amazon.com/images/I/61KtwlbHIQL.jpg</t>
        </is>
      </c>
      <c r="AG721"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22">
      <c r="A722" t="inlineStr">
        <is>
          <t>com</t>
        </is>
      </c>
      <c r="B722" t="inlineStr">
        <is>
          <t>B0DD1HW84P</t>
        </is>
      </c>
      <c r="C722" t="inlineStr">
        <is>
          <t>Puma Womens Club Pearl Lace Up Sneakers Shoes Casual - White - Size 10 M</t>
        </is>
      </c>
      <c r="D722" t="n">
        <v>62.95</v>
      </c>
      <c r="E722" t="n">
        <v>62.95</v>
      </c>
      <c r="F722" t="n">
        <v>4677973</v>
      </c>
      <c r="G722" t="n">
        <v>3498385</v>
      </c>
      <c r="H722" t="n">
        <v>64.12</v>
      </c>
      <c r="I722" t="n">
        <v>64.12</v>
      </c>
      <c r="J722" t="n">
        <v>0</v>
      </c>
      <c r="K722" t="n">
        <v>1</v>
      </c>
      <c r="L722" t="n">
        <v>1</v>
      </c>
      <c r="M722" t="n">
        <v>1</v>
      </c>
      <c r="O722" t="n">
        <v>0</v>
      </c>
      <c r="Q722" t="n">
        <v>1</v>
      </c>
      <c r="R722" t="n">
        <v>1</v>
      </c>
      <c r="S722" t="inlineStr">
        <is>
          <t>B0DD1L1J1H</t>
        </is>
      </c>
      <c r="V722" t="inlineStr"/>
      <c r="W722" t="inlineStr"/>
      <c r="X722" t="inlineStr">
        <is>
          <t>197672019345</t>
        </is>
      </c>
      <c r="Y722" t="inlineStr">
        <is>
          <t>39936005</t>
        </is>
      </c>
      <c r="Z722" t="inlineStr">
        <is>
          <t>39936005</t>
        </is>
      </c>
      <c r="AA722" t="inlineStr">
        <is>
          <t>White</t>
        </is>
      </c>
      <c r="AB722" t="inlineStr">
        <is>
          <t>0197672019345</t>
        </is>
      </c>
      <c r="AC722" t="inlineStr">
        <is>
          <t>no Amazon offer exists</t>
        </is>
      </c>
      <c r="AD722" t="inlineStr">
        <is>
          <t>Puma</t>
        </is>
      </c>
      <c r="AE722" t="inlineStr">
        <is>
          <t>10</t>
        </is>
      </c>
      <c r="AF722" t="inlineStr">
        <is>
          <t>https://m.media-amazon.com/images/I/41BWoRzRwmL.jpg;https://m.media-amazon.com/images/I/51S9o4qhaIL.jpg;https://m.media-amazon.com/images/I/41o+RmRzx-L.jpg;https://m.media-amazon.com/images/I/41074boZzsL.jpg;https://m.media-amazon.com/images/I/51INCeg2R9L.jpg;https://m.media-amazon.com/images/I/61KtwlbHIQL.jpg</t>
        </is>
      </c>
      <c r="AG722"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23">
      <c r="A723" t="inlineStr">
        <is>
          <t>com</t>
        </is>
      </c>
      <c r="B723" t="inlineStr">
        <is>
          <t>B0DD1KTM7B</t>
        </is>
      </c>
      <c r="C723" t="inlineStr">
        <is>
          <t>Puma Womens Club Pearl Lace Up Sneakers Shoes Casual - White - Size 11 M</t>
        </is>
      </c>
      <c r="D723" t="n">
        <v>62.95</v>
      </c>
      <c r="E723" t="n">
        <v>62.95</v>
      </c>
      <c r="F723" t="n">
        <v>4332391</v>
      </c>
      <c r="G723" t="n">
        <v>3172538</v>
      </c>
      <c r="H723" t="n">
        <v>67.77</v>
      </c>
      <c r="I723" t="n">
        <v>67.77</v>
      </c>
      <c r="J723" t="n">
        <v>0.09</v>
      </c>
      <c r="K723" t="n">
        <v>1</v>
      </c>
      <c r="L723" t="n">
        <v>1</v>
      </c>
      <c r="M723" t="n">
        <v>1</v>
      </c>
      <c r="O723" t="n">
        <v>0</v>
      </c>
      <c r="Q723" t="n">
        <v>2</v>
      </c>
      <c r="R723" t="n">
        <v>2</v>
      </c>
      <c r="S723" t="inlineStr">
        <is>
          <t>B0DD1L1J1H</t>
        </is>
      </c>
      <c r="V723" t="inlineStr"/>
      <c r="W723" t="inlineStr"/>
      <c r="X723" t="inlineStr">
        <is>
          <t>197672019352</t>
        </is>
      </c>
      <c r="Y723" t="inlineStr">
        <is>
          <t>39936005</t>
        </is>
      </c>
      <c r="Z723" t="inlineStr">
        <is>
          <t>39936005</t>
        </is>
      </c>
      <c r="AA723" t="inlineStr">
        <is>
          <t>White</t>
        </is>
      </c>
      <c r="AB723" t="inlineStr">
        <is>
          <t>0197672019352</t>
        </is>
      </c>
      <c r="AC723" t="inlineStr">
        <is>
          <t>no Amazon offer exists</t>
        </is>
      </c>
      <c r="AD723" t="inlineStr">
        <is>
          <t>Puma</t>
        </is>
      </c>
      <c r="AE723" t="inlineStr">
        <is>
          <t>11</t>
        </is>
      </c>
      <c r="AF723" t="inlineStr">
        <is>
          <t>https://m.media-amazon.com/images/I/41BWoRzRwmL.jpg;https://m.media-amazon.com/images/I/51S9o4qhaIL.jpg;https://m.media-amazon.com/images/I/41o+RmRzx-L.jpg;https://m.media-amazon.com/images/I/41074boZzsL.jpg;https://m.media-amazon.com/images/I/51INCeg2R9L.jpg;https://m.media-amazon.com/images/I/61KtwlbHIQL.jpg</t>
        </is>
      </c>
      <c r="AG723" t="inlineStr">
        <is>
          <t>Description
Bring Pitch-Perfect Style To The Streets With This Soccer-Inspired Silhouette. The Puma Club Sneakers Pair A Suede Upper With Classic Puma Elements, The Comfort Of A Soft Foam Plus Sockliner And A Gum Sole For A Sophisticated Look With A Sporty Edge, Perfect For Any Sneakerhead Looking For A Suave Wardrobe Update.</t>
        </is>
      </c>
    </row>
    <row r="724">
      <c r="A724" t="inlineStr">
        <is>
          <t>com</t>
        </is>
      </c>
      <c r="B724" t="inlineStr">
        <is>
          <t>B0CLQ6SZY7</t>
        </is>
      </c>
      <c r="C724" t="inlineStr">
        <is>
          <t>PUMA Womens Club 5v5 Sneaker, Warm White-Dewdrop-PUMA Womens Gold, 5.5</t>
        </is>
      </c>
      <c r="D724" t="n">
        <v>64.98999999999999</v>
      </c>
      <c r="E724" t="n">
        <v>64.98999999999999</v>
      </c>
      <c r="F724" t="n">
        <v>36554</v>
      </c>
      <c r="G724" t="n">
        <v>25246</v>
      </c>
      <c r="H724" t="n">
        <v>61.36</v>
      </c>
      <c r="I724" t="n">
        <v>62.6</v>
      </c>
      <c r="J724" t="n">
        <v>0.32</v>
      </c>
      <c r="K724" t="n">
        <v>0.32</v>
      </c>
      <c r="L724" t="n">
        <v>1</v>
      </c>
      <c r="M724" t="n">
        <v>1</v>
      </c>
      <c r="N724" t="n">
        <v>4.3</v>
      </c>
      <c r="O724" t="n">
        <v>1</v>
      </c>
      <c r="P724" t="n">
        <v>236</v>
      </c>
      <c r="Q724" t="n">
        <v>34</v>
      </c>
      <c r="R724" t="n">
        <v>88</v>
      </c>
      <c r="S724" t="inlineStr">
        <is>
          <t>B0DBV5Z5RW</t>
        </is>
      </c>
      <c r="U724" t="n">
        <v>1.28088422</v>
      </c>
      <c r="V724" t="n">
        <v>6.24</v>
      </c>
      <c r="W724" t="n">
        <v>9.75</v>
      </c>
      <c r="X724" t="inlineStr">
        <is>
          <t>196859627229</t>
        </is>
      </c>
      <c r="Y724" t="inlineStr">
        <is>
          <t>39763511</t>
        </is>
      </c>
      <c r="Z724" t="inlineStr">
        <is>
          <t>39763511</t>
        </is>
      </c>
      <c r="AA724" t="inlineStr">
        <is>
          <t>Warm White-dewdrop-puma Gold</t>
        </is>
      </c>
      <c r="AB724" t="inlineStr">
        <is>
          <t>0196859627229</t>
        </is>
      </c>
      <c r="AC724" t="inlineStr">
        <is>
          <t>Amazon offer is in stock and shippable</t>
        </is>
      </c>
      <c r="AD724" t="inlineStr">
        <is>
          <t>PUMA</t>
        </is>
      </c>
      <c r="AE724" t="inlineStr">
        <is>
          <t>5.5</t>
        </is>
      </c>
      <c r="AF724" t="inlineStr">
        <is>
          <t>https://m.media-amazon.com/images/I/213ZdMMDjIL.jpg;https://m.media-amazon.com/images/I/41EXdqS4cGL.jpg;https://m.media-amazon.com/images/I/21iz9S0b8fL.jpg;https://m.media-amazon.com/images/I/31BminvJBPL.jpg;https://m.media-amazon.com/images/I/31Gui5XT5QL.jpg;https://m.media-amazon.com/images/I/31GyL+yT7WL.jpg</t>
        </is>
      </c>
      <c r="AG724" t="inlineStr">
        <is>
          <t>Description
PUMA womens Club 5v5 Sneaker</t>
        </is>
      </c>
    </row>
    <row r="725">
      <c r="A725" t="inlineStr">
        <is>
          <t>com</t>
        </is>
      </c>
      <c r="B725" t="inlineStr">
        <is>
          <t>B0CLQ9KTWZ</t>
        </is>
      </c>
      <c r="C725" t="inlineStr">
        <is>
          <t>PUMA Womens Club 5v5 Sneaker, Warm White-Dewdrop-PUMA Womens Gold, 6</t>
        </is>
      </c>
      <c r="D725" t="n">
        <v>81.68000000000001</v>
      </c>
      <c r="E725" t="n">
        <v>81.68000000000001</v>
      </c>
      <c r="F725" t="n">
        <v>39569</v>
      </c>
      <c r="G725" t="n">
        <v>25609</v>
      </c>
      <c r="H725" t="n">
        <v>58.99</v>
      </c>
      <c r="I725" t="n">
        <v>60.46</v>
      </c>
      <c r="J725" t="n">
        <v>0.11</v>
      </c>
      <c r="K725" t="n">
        <v>0.61</v>
      </c>
      <c r="L725" t="n">
        <v>2</v>
      </c>
      <c r="M725" t="n">
        <v>1</v>
      </c>
      <c r="N725" t="n">
        <v>4.3</v>
      </c>
      <c r="O725" t="n">
        <v>3</v>
      </c>
      <c r="P725" t="n">
        <v>241</v>
      </c>
      <c r="Q725" t="n">
        <v>29</v>
      </c>
      <c r="R725" t="n">
        <v>86</v>
      </c>
      <c r="S725" t="inlineStr">
        <is>
          <t>B0DBV5Z5RW</t>
        </is>
      </c>
      <c r="U725" t="n">
        <v>1.2786796</v>
      </c>
      <c r="V725" t="n">
        <v>6.24</v>
      </c>
      <c r="W725" t="inlineStr"/>
      <c r="X725" t="inlineStr">
        <is>
          <t>196859627168</t>
        </is>
      </c>
      <c r="Y725" t="inlineStr">
        <is>
          <t>39763511</t>
        </is>
      </c>
      <c r="Z725" t="inlineStr">
        <is>
          <t>39763511</t>
        </is>
      </c>
      <c r="AA725" t="inlineStr">
        <is>
          <t>Warm White-dewdrop-puma Gold</t>
        </is>
      </c>
      <c r="AB725" t="inlineStr">
        <is>
          <t>0196859627168</t>
        </is>
      </c>
      <c r="AC725" t="inlineStr">
        <is>
          <t>no Amazon offer exists</t>
        </is>
      </c>
      <c r="AD725" t="inlineStr">
        <is>
          <t>PUMA</t>
        </is>
      </c>
      <c r="AE725" t="inlineStr">
        <is>
          <t>6</t>
        </is>
      </c>
      <c r="AF725" t="inlineStr">
        <is>
          <t>https://m.media-amazon.com/images/I/213ZdMMDjIL.jpg;https://m.media-amazon.com/images/I/41EXdqS4cGL.jpg;https://m.media-amazon.com/images/I/21iz9S0b8fL.jpg;https://m.media-amazon.com/images/I/31BminvJBPL.jpg;https://m.media-amazon.com/images/I/31Gui5XT5QL.jpg;https://m.media-amazon.com/images/I/31GyL+yT7WL.jpg</t>
        </is>
      </c>
      <c r="AG725" t="inlineStr">
        <is>
          <t>Description
PUMA womens Club 5v5 Sneaker</t>
        </is>
      </c>
    </row>
    <row r="726">
      <c r="A726" t="inlineStr">
        <is>
          <t>com</t>
        </is>
      </c>
      <c r="B726" t="inlineStr">
        <is>
          <t>B0CLQ2N13D</t>
        </is>
      </c>
      <c r="C726" t="inlineStr">
        <is>
          <t>PUMA Womens Club 5v5 Sneaker, Warm White-Dewdrop-PUMA Womens Gold, 6.5</t>
        </is>
      </c>
      <c r="D726" t="n">
        <v>64.98999999999999</v>
      </c>
      <c r="E726" t="n">
        <v>64.98999999999999</v>
      </c>
      <c r="F726" t="n">
        <v>41667</v>
      </c>
      <c r="G726" t="n">
        <v>25525</v>
      </c>
      <c r="H726" t="n">
        <v>59.72</v>
      </c>
      <c r="I726" t="n">
        <v>60.67</v>
      </c>
      <c r="J726" t="n">
        <v>0</v>
      </c>
      <c r="K726" t="n">
        <v>0.02</v>
      </c>
      <c r="L726" t="n">
        <v>2</v>
      </c>
      <c r="M726" t="n">
        <v>2</v>
      </c>
      <c r="N726" t="n">
        <v>4.3</v>
      </c>
      <c r="O726" t="n">
        <v>3</v>
      </c>
      <c r="P726" t="n">
        <v>236</v>
      </c>
      <c r="Q726" t="n">
        <v>34</v>
      </c>
      <c r="R726" t="n">
        <v>115</v>
      </c>
      <c r="S726" t="inlineStr">
        <is>
          <t>B0DBV5Z5RW</t>
        </is>
      </c>
      <c r="U726" t="n">
        <v>1.3889106</v>
      </c>
      <c r="V726" t="n">
        <v>6.44</v>
      </c>
      <c r="W726" t="n">
        <v>9.75</v>
      </c>
      <c r="X726" t="inlineStr">
        <is>
          <t>196859627243</t>
        </is>
      </c>
      <c r="Y726" t="inlineStr">
        <is>
          <t>39763511</t>
        </is>
      </c>
      <c r="Z726" t="inlineStr">
        <is>
          <t>39763511</t>
        </is>
      </c>
      <c r="AA726" t="inlineStr">
        <is>
          <t>Warm White-dewdrop-puma Gold</t>
        </is>
      </c>
      <c r="AB726" t="inlineStr">
        <is>
          <t>0196859627243</t>
        </is>
      </c>
      <c r="AC726" t="inlineStr">
        <is>
          <t>Amazon offer is in stock and shippable</t>
        </is>
      </c>
      <c r="AD726" t="inlineStr">
        <is>
          <t>PUMA</t>
        </is>
      </c>
      <c r="AE726" t="inlineStr">
        <is>
          <t>6.5</t>
        </is>
      </c>
      <c r="AF726" t="inlineStr">
        <is>
          <t>https://m.media-amazon.com/images/I/213ZdMMDjIL.jpg;https://m.media-amazon.com/images/I/41EXdqS4cGL.jpg;https://m.media-amazon.com/images/I/21iz9S0b8fL.jpg;https://m.media-amazon.com/images/I/31BminvJBPL.jpg;https://m.media-amazon.com/images/I/31Gui5XT5QL.jpg;https://m.media-amazon.com/images/I/31GyL+yT7WL.jpg</t>
        </is>
      </c>
      <c r="AG726" t="inlineStr">
        <is>
          <t>Description
PUMA womens Club 5v5 Sneaker</t>
        </is>
      </c>
    </row>
    <row r="727">
      <c r="A727" t="inlineStr">
        <is>
          <t>com</t>
        </is>
      </c>
      <c r="B727" t="inlineStr">
        <is>
          <t>B0CLQ8TPTK</t>
        </is>
      </c>
      <c r="C727" t="inlineStr">
        <is>
          <t>PUMA Womens Club 5v5 Sneaker, Warm White-Dewdrop-PUMA Womens Gold, 7</t>
        </is>
      </c>
      <c r="D727" t="n">
        <v>79.97</v>
      </c>
      <c r="E727" t="n">
        <v>79.97</v>
      </c>
      <c r="F727" t="n">
        <v>41667</v>
      </c>
      <c r="G727" t="n">
        <v>25451</v>
      </c>
      <c r="H727" t="n">
        <v>60.19</v>
      </c>
      <c r="I727" t="n">
        <v>61.68</v>
      </c>
      <c r="J727" t="n">
        <v>0</v>
      </c>
      <c r="K727" t="n">
        <v>0.09</v>
      </c>
      <c r="L727" t="n">
        <v>3</v>
      </c>
      <c r="M727" t="n">
        <v>2</v>
      </c>
      <c r="N727" t="n">
        <v>4.3</v>
      </c>
      <c r="O727" t="n">
        <v>3</v>
      </c>
      <c r="P727" t="n">
        <v>236</v>
      </c>
      <c r="Q727" t="n">
        <v>40</v>
      </c>
      <c r="R727" t="n">
        <v>114</v>
      </c>
      <c r="S727" t="inlineStr">
        <is>
          <t>B0DBV5Z5RW</t>
        </is>
      </c>
      <c r="U727" t="n">
        <v>1.3889106</v>
      </c>
      <c r="V727" t="n">
        <v>6.44</v>
      </c>
      <c r="W727" t="inlineStr"/>
      <c r="X727" t="inlineStr">
        <is>
          <t>196859627182</t>
        </is>
      </c>
      <c r="Y727" t="inlineStr">
        <is>
          <t>39763511</t>
        </is>
      </c>
      <c r="Z727" t="inlineStr">
        <is>
          <t>39763511</t>
        </is>
      </c>
      <c r="AA727" t="inlineStr">
        <is>
          <t>Warm White-dewdrop-puma Gold</t>
        </is>
      </c>
      <c r="AB727" t="inlineStr">
        <is>
          <t>0196859627182</t>
        </is>
      </c>
      <c r="AC727" t="inlineStr">
        <is>
          <t>no Amazon offer exists</t>
        </is>
      </c>
      <c r="AD727" t="inlineStr">
        <is>
          <t>PUMA</t>
        </is>
      </c>
      <c r="AE727" t="inlineStr">
        <is>
          <t>7</t>
        </is>
      </c>
      <c r="AF727" t="inlineStr">
        <is>
          <t>https://m.media-amazon.com/images/I/213ZdMMDjIL.jpg;https://m.media-amazon.com/images/I/41EXdqS4cGL.jpg;https://m.media-amazon.com/images/I/21iz9S0b8fL.jpg;https://m.media-amazon.com/images/I/31BminvJBPL.jpg;https://m.media-amazon.com/images/I/31Gui5XT5QL.jpg;https://m.media-amazon.com/images/I/31GyL+yT7WL.jpg</t>
        </is>
      </c>
      <c r="AG727" t="inlineStr">
        <is>
          <t>Description
PUMA womens Club 5v5 Sneaker</t>
        </is>
      </c>
    </row>
    <row r="728">
      <c r="A728" t="inlineStr">
        <is>
          <t>com</t>
        </is>
      </c>
      <c r="B728" t="inlineStr">
        <is>
          <t>B0CLPSK7ZH</t>
        </is>
      </c>
      <c r="C728" t="inlineStr">
        <is>
          <t>PUMA Womens Club 5v5 Sneaker, Warm White-Dewdrop-PUMA Womens Gold, 7.5</t>
        </is>
      </c>
      <c r="D728" t="n">
        <v>64.98999999999999</v>
      </c>
      <c r="E728" t="n">
        <v>64.98999999999999</v>
      </c>
      <c r="F728" t="n">
        <v>40987</v>
      </c>
      <c r="G728" t="n">
        <v>25497</v>
      </c>
      <c r="H728" t="n">
        <v>60.01</v>
      </c>
      <c r="I728" t="n">
        <v>61.2</v>
      </c>
      <c r="J728" t="n">
        <v>0</v>
      </c>
      <c r="K728" t="n">
        <v>0.06</v>
      </c>
      <c r="L728" t="n">
        <v>3</v>
      </c>
      <c r="M728" t="n">
        <v>3</v>
      </c>
      <c r="N728" t="n">
        <v>4.3</v>
      </c>
      <c r="O728" t="n">
        <v>7</v>
      </c>
      <c r="P728" t="n">
        <v>239</v>
      </c>
      <c r="Q728" t="n">
        <v>34</v>
      </c>
      <c r="R728" t="n">
        <v>112</v>
      </c>
      <c r="S728" t="inlineStr">
        <is>
          <t>B0DBV5Z5RW</t>
        </is>
      </c>
      <c r="U728" t="n">
        <v>1.4550492</v>
      </c>
      <c r="V728" t="n">
        <v>6.61</v>
      </c>
      <c r="W728" t="n">
        <v>9.75</v>
      </c>
      <c r="X728" t="inlineStr">
        <is>
          <t>196859627199</t>
        </is>
      </c>
      <c r="Y728" t="inlineStr">
        <is>
          <t>39763511</t>
        </is>
      </c>
      <c r="Z728" t="inlineStr">
        <is>
          <t>39763511</t>
        </is>
      </c>
      <c r="AA728" t="inlineStr">
        <is>
          <t>Warm White-dewdrop-puma Gold</t>
        </is>
      </c>
      <c r="AB728" t="inlineStr">
        <is>
          <t>0196859627199</t>
        </is>
      </c>
      <c r="AC728" t="inlineStr">
        <is>
          <t>Amazon offer is in stock and shippable</t>
        </is>
      </c>
      <c r="AD728" t="inlineStr">
        <is>
          <t>PUMA</t>
        </is>
      </c>
      <c r="AE728" t="inlineStr">
        <is>
          <t>7.5</t>
        </is>
      </c>
      <c r="AF728" t="inlineStr">
        <is>
          <t>https://m.media-amazon.com/images/I/213ZdMMDjIL.jpg;https://m.media-amazon.com/images/I/41EXdqS4cGL.jpg;https://m.media-amazon.com/images/I/21iz9S0b8fL.jpg;https://m.media-amazon.com/images/I/31BminvJBPL.jpg;https://m.media-amazon.com/images/I/31Gui5XT5QL.jpg;https://m.media-amazon.com/images/I/31GyL+yT7WL.jpg</t>
        </is>
      </c>
      <c r="AG728" t="inlineStr">
        <is>
          <t>Description
PUMA womens Club 5v5 Sneaker</t>
        </is>
      </c>
    </row>
    <row r="729">
      <c r="A729" t="inlineStr">
        <is>
          <t>com</t>
        </is>
      </c>
      <c r="B729" t="inlineStr">
        <is>
          <t>B0CLQ2V4MC</t>
        </is>
      </c>
      <c r="C729" t="inlineStr">
        <is>
          <t>PUMA Womens Club 5v5 Sneaker, Warm White-Dewdrop-PUMA Womens Gold, 8</t>
        </is>
      </c>
      <c r="D729" t="n">
        <v>64.98999999999999</v>
      </c>
      <c r="E729" t="n">
        <v>64.98999999999999</v>
      </c>
      <c r="F729" t="n">
        <v>41667</v>
      </c>
      <c r="G729" t="n">
        <v>25633</v>
      </c>
      <c r="H729" t="n">
        <v>60.08</v>
      </c>
      <c r="I729" t="n">
        <v>60.37</v>
      </c>
      <c r="J729" t="n">
        <v>0</v>
      </c>
      <c r="K729" t="n">
        <v>0.03</v>
      </c>
      <c r="L729" t="n">
        <v>5</v>
      </c>
      <c r="M729" t="n">
        <v>2</v>
      </c>
      <c r="N729" t="n">
        <v>4.3</v>
      </c>
      <c r="O729" t="n">
        <v>7</v>
      </c>
      <c r="P729" t="n">
        <v>241</v>
      </c>
      <c r="Q729" t="n">
        <v>43</v>
      </c>
      <c r="R729" t="n">
        <v>97</v>
      </c>
      <c r="S729" t="inlineStr">
        <is>
          <t>B0DBV5Z5RW</t>
        </is>
      </c>
      <c r="U729" t="n">
        <v>1.433003</v>
      </c>
      <c r="V729" t="n">
        <v>6.61</v>
      </c>
      <c r="W729" t="n">
        <v>9.75</v>
      </c>
      <c r="X729" t="inlineStr">
        <is>
          <t>196859627151</t>
        </is>
      </c>
      <c r="Y729" t="inlineStr">
        <is>
          <t>39763511</t>
        </is>
      </c>
      <c r="Z729" t="inlineStr">
        <is>
          <t>39763511</t>
        </is>
      </c>
      <c r="AA729" t="inlineStr">
        <is>
          <t>Warm White-dewdrop-puma Gold</t>
        </is>
      </c>
      <c r="AB729" t="inlineStr">
        <is>
          <t>0196859627151</t>
        </is>
      </c>
      <c r="AC729" t="inlineStr">
        <is>
          <t>Amazon offer is back-ordered</t>
        </is>
      </c>
      <c r="AD729" t="inlineStr">
        <is>
          <t>PUMA</t>
        </is>
      </c>
      <c r="AE729" t="inlineStr">
        <is>
          <t>8</t>
        </is>
      </c>
      <c r="AF729" t="inlineStr">
        <is>
          <t>https://m.media-amazon.com/images/I/213ZdMMDjIL.jpg;https://m.media-amazon.com/images/I/41EXdqS4cGL.jpg;https://m.media-amazon.com/images/I/21iz9S0b8fL.jpg;https://m.media-amazon.com/images/I/31BminvJBPL.jpg;https://m.media-amazon.com/images/I/31Gui5XT5QL.jpg;https://m.media-amazon.com/images/I/31GyL+yT7WL.jpg</t>
        </is>
      </c>
      <c r="AG729" t="inlineStr">
        <is>
          <t>Description
PUMA womens Club 5v5 Sneaker</t>
        </is>
      </c>
    </row>
    <row r="730">
      <c r="A730" t="inlineStr">
        <is>
          <t>com</t>
        </is>
      </c>
      <c r="B730" t="inlineStr">
        <is>
          <t>B0CLQ47K6S</t>
        </is>
      </c>
      <c r="C730" t="inlineStr">
        <is>
          <t>PUMA Womens Club 5v5 Sneaker, Warm White-Dewdrop-PUMA Womens Gold, 8.5</t>
        </is>
      </c>
      <c r="D730" t="n">
        <v>64.98999999999999</v>
      </c>
      <c r="E730" t="n">
        <v>64.98999999999999</v>
      </c>
      <c r="F730" t="n">
        <v>37018</v>
      </c>
      <c r="G730" t="n">
        <v>25493</v>
      </c>
      <c r="H730" t="n">
        <v>60.33</v>
      </c>
      <c r="I730" t="n">
        <v>61.58</v>
      </c>
      <c r="J730" t="n">
        <v>0</v>
      </c>
      <c r="K730" t="n">
        <v>0.09</v>
      </c>
      <c r="L730" t="n">
        <v>7</v>
      </c>
      <c r="M730" t="n">
        <v>6</v>
      </c>
      <c r="N730" t="n">
        <v>4.3</v>
      </c>
      <c r="O730" t="n">
        <v>7</v>
      </c>
      <c r="P730" t="n">
        <v>245</v>
      </c>
      <c r="Q730" t="n">
        <v>43</v>
      </c>
      <c r="R730" t="n">
        <v>137</v>
      </c>
      <c r="S730" t="inlineStr">
        <is>
          <t>B0DBV5Z5RW</t>
        </is>
      </c>
      <c r="U730" t="n">
        <v>1.5873264</v>
      </c>
      <c r="V730" t="n">
        <v>7.03</v>
      </c>
      <c r="W730" t="n">
        <v>9.75</v>
      </c>
      <c r="X730" t="inlineStr">
        <is>
          <t>196859627175</t>
        </is>
      </c>
      <c r="Y730" t="inlineStr">
        <is>
          <t>39763511</t>
        </is>
      </c>
      <c r="Z730" t="inlineStr">
        <is>
          <t>39763511</t>
        </is>
      </c>
      <c r="AA730" t="inlineStr">
        <is>
          <t>Warm White-dewdrop-puma Gold</t>
        </is>
      </c>
      <c r="AB730" t="inlineStr">
        <is>
          <t>0196859627175</t>
        </is>
      </c>
      <c r="AC730" t="inlineStr">
        <is>
          <t>Amazon offer is in stock and shippable</t>
        </is>
      </c>
      <c r="AD730" t="inlineStr">
        <is>
          <t>PUMA</t>
        </is>
      </c>
      <c r="AE730" t="inlineStr">
        <is>
          <t>8.5</t>
        </is>
      </c>
      <c r="AF730" t="inlineStr">
        <is>
          <t>https://m.media-amazon.com/images/I/213ZdMMDjIL.jpg;https://m.media-amazon.com/images/I/41EXdqS4cGL.jpg;https://m.media-amazon.com/images/I/21iz9S0b8fL.jpg;https://m.media-amazon.com/images/I/31BminvJBPL.jpg;https://m.media-amazon.com/images/I/31Gui5XT5QL.jpg;https://m.media-amazon.com/images/I/31GyL+yT7WL.jpg</t>
        </is>
      </c>
      <c r="AG730" t="inlineStr">
        <is>
          <t>Description
PUMA womens Club 5v5 Sneaker</t>
        </is>
      </c>
    </row>
    <row r="731">
      <c r="A731" t="inlineStr">
        <is>
          <t>com</t>
        </is>
      </c>
      <c r="B731" t="inlineStr">
        <is>
          <t>B0CLQ62SXX</t>
        </is>
      </c>
      <c r="C731" t="inlineStr">
        <is>
          <t>PUMA Womens Club 5v5 Sneaker, Warm White-Dewdrop-PUMA Womens Gold, 9</t>
        </is>
      </c>
      <c r="D731" t="n">
        <v>64.98999999999999</v>
      </c>
      <c r="E731" t="n">
        <v>64.98999999999999</v>
      </c>
      <c r="F731" t="n">
        <v>41667</v>
      </c>
      <c r="G731" t="n">
        <v>25497</v>
      </c>
      <c r="H731" t="n">
        <v>59.16</v>
      </c>
      <c r="I731" t="n">
        <v>60.62</v>
      </c>
      <c r="J731" t="n">
        <v>0</v>
      </c>
      <c r="K731" t="n">
        <v>0</v>
      </c>
      <c r="L731" t="n">
        <v>7</v>
      </c>
      <c r="M731" t="n">
        <v>6</v>
      </c>
      <c r="N731" t="n">
        <v>4.3</v>
      </c>
      <c r="O731" t="n">
        <v>4</v>
      </c>
      <c r="P731" t="n">
        <v>245</v>
      </c>
      <c r="Q731" t="n">
        <v>45</v>
      </c>
      <c r="R731" t="n">
        <v>137</v>
      </c>
      <c r="S731" t="inlineStr">
        <is>
          <t>B0DBV5Z5RW</t>
        </is>
      </c>
      <c r="U731" t="n">
        <v>1.5652802</v>
      </c>
      <c r="V731" t="n">
        <v>7.03</v>
      </c>
      <c r="W731" t="n">
        <v>9.75</v>
      </c>
      <c r="X731" t="inlineStr">
        <is>
          <t>196859627212</t>
        </is>
      </c>
      <c r="Y731" t="inlineStr">
        <is>
          <t>39763511</t>
        </is>
      </c>
      <c r="Z731" t="inlineStr">
        <is>
          <t>39763511</t>
        </is>
      </c>
      <c r="AA731" t="inlineStr">
        <is>
          <t>Warm White-dewdrop-puma Gold</t>
        </is>
      </c>
      <c r="AB731" t="inlineStr">
        <is>
          <t>0196859627212</t>
        </is>
      </c>
      <c r="AC731" t="inlineStr">
        <is>
          <t>Amazon offer is in stock and shippable</t>
        </is>
      </c>
      <c r="AD731" t="inlineStr">
        <is>
          <t>PUMA</t>
        </is>
      </c>
      <c r="AE731" t="inlineStr">
        <is>
          <t>9</t>
        </is>
      </c>
      <c r="AF731" t="inlineStr">
        <is>
          <t>https://m.media-amazon.com/images/I/41nDONKfYDL.jpg;https://m.media-amazon.com/images/I/51QSneqBzKL.jpg;https://m.media-amazon.com/images/I/41k8A0-FQOL.jpg;https://m.media-amazon.com/images/I/51NojCyTxHL.jpg;https://m.media-amazon.com/images/I/41X9XyW2xLL.jpg;https://m.media-amazon.com/images/I/51Nuh2W5+QL.jpg</t>
        </is>
      </c>
      <c r="AG731" t="inlineStr">
        <is>
          <t>Description
PUMA womens Club 5v5 Sneaker</t>
        </is>
      </c>
    </row>
    <row r="732">
      <c r="A732" t="inlineStr">
        <is>
          <t>com</t>
        </is>
      </c>
      <c r="B732" t="inlineStr">
        <is>
          <t>B0CLQ1G2H4</t>
        </is>
      </c>
      <c r="C732" t="inlineStr">
        <is>
          <t>PUMA Womens Club 5v5 Sneaker, Warm White-Dewdrop-PUMA Womens Gold, 9.5</t>
        </is>
      </c>
      <c r="D732" t="n">
        <v>64.98999999999999</v>
      </c>
      <c r="E732" t="n">
        <v>64.98999999999999</v>
      </c>
      <c r="F732" t="n">
        <v>41667</v>
      </c>
      <c r="G732" t="n">
        <v>25843</v>
      </c>
      <c r="H732" t="n">
        <v>59.81</v>
      </c>
      <c r="I732" t="n">
        <v>61.08</v>
      </c>
      <c r="J732" t="n">
        <v>0</v>
      </c>
      <c r="K732" t="n">
        <v>0.04</v>
      </c>
      <c r="L732" t="n">
        <v>7</v>
      </c>
      <c r="M732" t="n">
        <v>7</v>
      </c>
      <c r="N732" t="n">
        <v>4.3</v>
      </c>
      <c r="O732" t="n">
        <v>7</v>
      </c>
      <c r="P732" t="n">
        <v>236</v>
      </c>
      <c r="Q732" t="n">
        <v>32</v>
      </c>
      <c r="R732" t="n">
        <v>101</v>
      </c>
      <c r="S732" t="inlineStr">
        <is>
          <t>B0DBV5Z5RW</t>
        </is>
      </c>
      <c r="U732" t="n">
        <v>1.6314188</v>
      </c>
      <c r="V732" t="n">
        <v>7.03</v>
      </c>
      <c r="W732" t="n">
        <v>9.75</v>
      </c>
      <c r="X732" t="inlineStr">
        <is>
          <t>196859627250</t>
        </is>
      </c>
      <c r="Y732" t="inlineStr">
        <is>
          <t>39763511</t>
        </is>
      </c>
      <c r="Z732" t="inlineStr">
        <is>
          <t>39763511</t>
        </is>
      </c>
      <c r="AA732" t="inlineStr">
        <is>
          <t>Warm White-dewdrop-puma Gold</t>
        </is>
      </c>
      <c r="AB732" t="inlineStr">
        <is>
          <t>0196859627250</t>
        </is>
      </c>
      <c r="AC732" t="inlineStr">
        <is>
          <t>Amazon offer is back-ordered</t>
        </is>
      </c>
      <c r="AD732" t="inlineStr">
        <is>
          <t>PUMA</t>
        </is>
      </c>
      <c r="AE732" t="inlineStr">
        <is>
          <t>9.5</t>
        </is>
      </c>
      <c r="AF732" t="inlineStr">
        <is>
          <t>https://m.media-amazon.com/images/I/41nDONKfYDL.jpg;https://m.media-amazon.com/images/I/51QSneqBzKL.jpg;https://m.media-amazon.com/images/I/41k8A0-FQOL.jpg;https://m.media-amazon.com/images/I/51NojCyTxHL.jpg;https://m.media-amazon.com/images/I/41X9XyW2xLL.jpg;https://m.media-amazon.com/images/I/51Nuh2W5+QL.jpg</t>
        </is>
      </c>
      <c r="AG732" t="inlineStr">
        <is>
          <t>Description
PUMA womens Club 5v5 Sneaker</t>
        </is>
      </c>
    </row>
    <row r="733">
      <c r="A733" t="inlineStr">
        <is>
          <t>com</t>
        </is>
      </c>
      <c r="B733" t="inlineStr">
        <is>
          <t>B0CLPYQQD9</t>
        </is>
      </c>
      <c r="C733" t="inlineStr">
        <is>
          <t>PUMA Womens Club 5v5 Sneaker, Warm White-Dewdrop-PUMA Womens Gold, 10</t>
        </is>
      </c>
      <c r="D733" t="n">
        <v>64.98999999999999</v>
      </c>
      <c r="E733" t="n">
        <v>64.94</v>
      </c>
      <c r="F733" t="n">
        <v>41667</v>
      </c>
      <c r="G733" t="n">
        <v>25649</v>
      </c>
      <c r="H733" t="n">
        <v>59.71</v>
      </c>
      <c r="I733" t="n">
        <v>60.98</v>
      </c>
      <c r="J733" t="n">
        <v>0</v>
      </c>
      <c r="K733" t="n">
        <v>0.02</v>
      </c>
      <c r="L733" t="n">
        <v>3</v>
      </c>
      <c r="M733" t="n">
        <v>4</v>
      </c>
      <c r="N733" t="n">
        <v>4.3</v>
      </c>
      <c r="O733" t="n">
        <v>7</v>
      </c>
      <c r="P733" t="n">
        <v>239</v>
      </c>
      <c r="Q733" t="n">
        <v>35</v>
      </c>
      <c r="R733" t="n">
        <v>117</v>
      </c>
      <c r="S733" t="inlineStr">
        <is>
          <t>B0DBV5Z5RW</t>
        </is>
      </c>
      <c r="U733" t="n">
        <v>1.653465</v>
      </c>
      <c r="V733" t="n">
        <v>7.03</v>
      </c>
      <c r="W733" t="n">
        <v>9.75</v>
      </c>
      <c r="X733" t="inlineStr">
        <is>
          <t>196859627144</t>
        </is>
      </c>
      <c r="Y733" t="inlineStr">
        <is>
          <t>39763511</t>
        </is>
      </c>
      <c r="Z733" t="inlineStr">
        <is>
          <t>39763511</t>
        </is>
      </c>
      <c r="AA733" t="inlineStr">
        <is>
          <t>Warm White-dewdrop-puma Gold</t>
        </is>
      </c>
      <c r="AB733" t="inlineStr">
        <is>
          <t>0196859627144</t>
        </is>
      </c>
      <c r="AC733" t="inlineStr">
        <is>
          <t>Amazon offer is in stock and shippable</t>
        </is>
      </c>
      <c r="AD733" t="inlineStr">
        <is>
          <t>PUMA</t>
        </is>
      </c>
      <c r="AE733" t="inlineStr">
        <is>
          <t>10</t>
        </is>
      </c>
      <c r="AF733" t="inlineStr">
        <is>
          <t>https://m.media-amazon.com/images/I/41nDONKfYDL.jpg;https://m.media-amazon.com/images/I/51QSneqBzKL.jpg;https://m.media-amazon.com/images/I/41k8A0-FQOL.jpg;https://m.media-amazon.com/images/I/51NojCyTxHL.jpg;https://m.media-amazon.com/images/I/41X9XyW2xLL.jpg;https://m.media-amazon.com/images/I/51Nuh2W5+QL.jpg</t>
        </is>
      </c>
      <c r="AG733" t="inlineStr">
        <is>
          <t>Description
PUMA womens Club 5v5 Sneaker</t>
        </is>
      </c>
    </row>
    <row r="734">
      <c r="A734" t="inlineStr">
        <is>
          <t>com</t>
        </is>
      </c>
      <c r="B734" t="inlineStr">
        <is>
          <t>B0CLQ87RRT</t>
        </is>
      </c>
      <c r="C734" t="inlineStr">
        <is>
          <t>PUMA Womens Club 5v5 Sneaker, Warm White-Dewdrop-PUMA Womens Gold, 11</t>
        </is>
      </c>
      <c r="D734" t="n">
        <v>64.98999999999999</v>
      </c>
      <c r="E734" t="n">
        <v>64</v>
      </c>
      <c r="F734" t="n">
        <v>41667</v>
      </c>
      <c r="G734" t="n">
        <v>25592</v>
      </c>
      <c r="H734" t="n">
        <v>59.49</v>
      </c>
      <c r="I734" t="n">
        <v>61.22</v>
      </c>
      <c r="J734" t="n">
        <v>0</v>
      </c>
      <c r="K734" t="n">
        <v>0</v>
      </c>
      <c r="L734" t="n">
        <v>7</v>
      </c>
      <c r="M734" t="n">
        <v>8</v>
      </c>
      <c r="N734" t="n">
        <v>4.3</v>
      </c>
      <c r="O734" t="n">
        <v>4</v>
      </c>
      <c r="P734" t="n">
        <v>245</v>
      </c>
      <c r="Q734" t="n">
        <v>35</v>
      </c>
      <c r="R734" t="n">
        <v>114</v>
      </c>
      <c r="S734" t="inlineStr">
        <is>
          <t>B0DBV5Z5RW</t>
        </is>
      </c>
      <c r="U734" t="n">
        <v>1.763696</v>
      </c>
      <c r="V734" t="n">
        <v>7.7</v>
      </c>
      <c r="W734" t="n">
        <v>9.75</v>
      </c>
      <c r="X734" t="inlineStr">
        <is>
          <t>196859627205</t>
        </is>
      </c>
      <c r="Y734" t="inlineStr">
        <is>
          <t>39763511</t>
        </is>
      </c>
      <c r="Z734" t="inlineStr">
        <is>
          <t>39763511</t>
        </is>
      </c>
      <c r="AA734" t="inlineStr">
        <is>
          <t>Warm White-dewdrop-puma Gold</t>
        </is>
      </c>
      <c r="AB734" t="inlineStr">
        <is>
          <t>0196859627205</t>
        </is>
      </c>
      <c r="AC734" t="inlineStr">
        <is>
          <t>Amazon offer is in stock and shippable</t>
        </is>
      </c>
      <c r="AD734" t="inlineStr">
        <is>
          <t>PUMA</t>
        </is>
      </c>
      <c r="AE734" t="inlineStr">
        <is>
          <t>11</t>
        </is>
      </c>
      <c r="AF734" t="inlineStr">
        <is>
          <t>https://m.media-amazon.com/images/I/41nDONKfYDL.jpg;https://m.media-amazon.com/images/I/51QSneqBzKL.jpg;https://m.media-amazon.com/images/I/41k8A0-FQOL.jpg;https://m.media-amazon.com/images/I/51NojCyTxHL.jpg;https://m.media-amazon.com/images/I/41X9XyW2xLL.jpg;https://m.media-amazon.com/images/I/51Nuh2W5+QL.jpg</t>
        </is>
      </c>
      <c r="AG734" t="inlineStr">
        <is>
          <t>Description
PUMA womens Club 5v5 Sneaker</t>
        </is>
      </c>
    </row>
    <row r="735">
      <c r="A735" t="inlineStr">
        <is>
          <t>com</t>
        </is>
      </c>
      <c r="B735" t="inlineStr">
        <is>
          <t>B0CV9HLWTY</t>
        </is>
      </c>
      <c r="C735" t="inlineStr">
        <is>
          <t>PUMA Women's Rebound Layup Sneaker, White-Frosted Dew Black, 5.5</t>
        </is>
      </c>
      <c r="D735" t="n">
        <v>70</v>
      </c>
      <c r="E735" t="n">
        <v>70</v>
      </c>
      <c r="F735" t="n">
        <v>159238</v>
      </c>
      <c r="G735" t="n">
        <v>182310</v>
      </c>
      <c r="H735" t="n">
        <v>64.66</v>
      </c>
      <c r="I735" t="n">
        <v>67</v>
      </c>
      <c r="J735" t="n">
        <v>0.61</v>
      </c>
      <c r="K735" t="n">
        <v>0.73</v>
      </c>
      <c r="L735" t="n">
        <v>1</v>
      </c>
      <c r="M735" t="n">
        <v>1</v>
      </c>
      <c r="N735" t="n">
        <v>4.4</v>
      </c>
      <c r="O735" t="n">
        <v>1</v>
      </c>
      <c r="P735" t="n">
        <v>22</v>
      </c>
      <c r="Q735" t="n">
        <v>10</v>
      </c>
      <c r="R735" t="n">
        <v>37</v>
      </c>
      <c r="S735" t="inlineStr">
        <is>
          <t>B0DDV21FY9</t>
        </is>
      </c>
      <c r="U735" t="n">
        <v>1.7196036</v>
      </c>
      <c r="V735" t="n">
        <v>7.03</v>
      </c>
      <c r="W735" t="n">
        <v>10.5</v>
      </c>
      <c r="X735" t="inlineStr">
        <is>
          <t>197670210706</t>
        </is>
      </c>
      <c r="Y735" t="inlineStr">
        <is>
          <t>39489152</t>
        </is>
      </c>
      <c r="Z735" t="inlineStr">
        <is>
          <t>39489152</t>
        </is>
      </c>
      <c r="AA735" t="inlineStr">
        <is>
          <t>Puma White-frosted Dew-puma Black</t>
        </is>
      </c>
      <c r="AB735" t="inlineStr">
        <is>
          <t>0197670210706</t>
        </is>
      </c>
      <c r="AC735" t="inlineStr">
        <is>
          <t>no Amazon offer exists</t>
        </is>
      </c>
      <c r="AD735" t="inlineStr">
        <is>
          <t>PUMA</t>
        </is>
      </c>
      <c r="AE735" t="inlineStr">
        <is>
          <t>5.5</t>
        </is>
      </c>
      <c r="AF735" t="inlineStr">
        <is>
          <t>https://m.media-amazon.com/images/I/41cCg0QQ43L.jpg;https://m.media-amazon.com/images/I/51X9m5GwjDL.jpg;https://m.media-amazon.com/images/I/41yuYod-W+L.jpg;https://m.media-amazon.com/images/I/418-9W0r1aL.jpg;https://m.media-amazon.com/images/I/418PWikDzYL.jpg;https://m.media-amazon.com/images/I/61KtwlbHIQL.jpg</t>
        </is>
      </c>
      <c r="AG735"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36">
      <c r="A736" t="inlineStr">
        <is>
          <t>com</t>
        </is>
      </c>
      <c r="B736" t="inlineStr">
        <is>
          <t>B0CV9LSR18</t>
        </is>
      </c>
      <c r="C736" t="inlineStr">
        <is>
          <t>PUMA Women's Rebound Layup Sneaker, White-Frosted Dew Black, 6</t>
        </is>
      </c>
      <c r="D736" t="n">
        <v>70</v>
      </c>
      <c r="E736" t="n">
        <v>69.95</v>
      </c>
      <c r="F736" t="n">
        <v>1594553</v>
      </c>
      <c r="G736" t="n">
        <v>890772</v>
      </c>
      <c r="H736" t="n">
        <v>65.73999999999999</v>
      </c>
      <c r="I736" t="n">
        <v>67.44</v>
      </c>
      <c r="J736" t="n">
        <v>0</v>
      </c>
      <c r="K736" t="n">
        <v>0</v>
      </c>
      <c r="L736" t="n">
        <v>6</v>
      </c>
      <c r="M736" t="n">
        <v>6</v>
      </c>
      <c r="N736" t="n">
        <v>3.5</v>
      </c>
      <c r="O736" t="n">
        <v>1</v>
      </c>
      <c r="P736" t="n">
        <v>6</v>
      </c>
      <c r="Q736" t="n">
        <v>4</v>
      </c>
      <c r="R736" t="n">
        <v>28</v>
      </c>
      <c r="S736" t="inlineStr">
        <is>
          <t>B0D9XPQ823</t>
        </is>
      </c>
      <c r="U736" t="n">
        <v>1.75928676</v>
      </c>
      <c r="V736" t="n">
        <v>7.03</v>
      </c>
      <c r="W736" t="n">
        <v>10.5</v>
      </c>
      <c r="X736" t="inlineStr">
        <is>
          <t>197670210713</t>
        </is>
      </c>
      <c r="Y736" t="inlineStr">
        <is>
          <t>39489152</t>
        </is>
      </c>
      <c r="Z736" t="inlineStr">
        <is>
          <t>39489152</t>
        </is>
      </c>
      <c r="AA736" t="inlineStr">
        <is>
          <t>Puma White-frosted Dew-puma Black</t>
        </is>
      </c>
      <c r="AB736" t="inlineStr">
        <is>
          <t>0197670210713</t>
        </is>
      </c>
      <c r="AC736" t="inlineStr">
        <is>
          <t>Amazon offer is in stock and shippable</t>
        </is>
      </c>
      <c r="AD736" t="inlineStr">
        <is>
          <t>PUMA</t>
        </is>
      </c>
      <c r="AE736" t="inlineStr">
        <is>
          <t>6</t>
        </is>
      </c>
      <c r="AF736" t="inlineStr">
        <is>
          <t>https://m.media-amazon.com/images/I/41cCg0QQ43L.jpg;https://m.media-amazon.com/images/I/51X9m5GwjDL.jpg;https://m.media-amazon.com/images/I/41yuYod-W+L.jpg;https://m.media-amazon.com/images/I/418-9W0r1aL.jpg;https://m.media-amazon.com/images/I/418PWikDzYL.jpg;https://m.media-amazon.com/images/I/61KtwlbHIQL.jpg</t>
        </is>
      </c>
      <c r="AG736"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37">
      <c r="A737" t="inlineStr">
        <is>
          <t>com</t>
        </is>
      </c>
      <c r="B737" t="inlineStr">
        <is>
          <t>B0CV9NMGM6</t>
        </is>
      </c>
      <c r="C737" t="inlineStr">
        <is>
          <t>PUMA Women's Rebound Layup Sneaker, White-Frosted Dew Black, 6.5</t>
        </is>
      </c>
      <c r="D737" t="n">
        <v>59.94</v>
      </c>
      <c r="E737" t="n">
        <v>59.94</v>
      </c>
      <c r="F737" t="n">
        <v>1573166</v>
      </c>
      <c r="G737" t="n">
        <v>869097</v>
      </c>
      <c r="H737" t="n">
        <v>66.16</v>
      </c>
      <c r="I737" t="n">
        <v>67.56</v>
      </c>
      <c r="J737" t="n">
        <v>0</v>
      </c>
      <c r="K737" t="n">
        <v>0.64</v>
      </c>
      <c r="L737" t="n">
        <v>6</v>
      </c>
      <c r="M737" t="n">
        <v>7</v>
      </c>
      <c r="N737" t="n">
        <v>3.5</v>
      </c>
      <c r="O737" t="n">
        <v>0</v>
      </c>
      <c r="P737" t="n">
        <v>6</v>
      </c>
      <c r="Q737" t="n">
        <v>2</v>
      </c>
      <c r="R737" t="n">
        <v>28</v>
      </c>
      <c r="S737" t="inlineStr">
        <is>
          <t>B0D9XPQ823</t>
        </is>
      </c>
      <c r="U737" t="n">
        <v>1.80999302</v>
      </c>
      <c r="V737" t="n">
        <v>7.03</v>
      </c>
      <c r="W737" t="inlineStr"/>
      <c r="X737" t="inlineStr">
        <is>
          <t>197670210720</t>
        </is>
      </c>
      <c r="Y737" t="inlineStr">
        <is>
          <t>39489152</t>
        </is>
      </c>
      <c r="Z737" t="inlineStr">
        <is>
          <t>39489152</t>
        </is>
      </c>
      <c r="AA737" t="inlineStr">
        <is>
          <t>Puma White-frosted Dew-puma Black</t>
        </is>
      </c>
      <c r="AB737" t="inlineStr">
        <is>
          <t>0197670210720</t>
        </is>
      </c>
      <c r="AC737" t="inlineStr">
        <is>
          <t>no Amazon offer exists</t>
        </is>
      </c>
      <c r="AD737" t="inlineStr">
        <is>
          <t>PUMA</t>
        </is>
      </c>
      <c r="AE737" t="inlineStr">
        <is>
          <t>6.5</t>
        </is>
      </c>
      <c r="AF737" t="inlineStr">
        <is>
          <t>https://m.media-amazon.com/images/I/41cCg0QQ43L.jpg;https://m.media-amazon.com/images/I/51X9m5GwjDL.jpg;https://m.media-amazon.com/images/I/41yuYod-W+L.jpg;https://m.media-amazon.com/images/I/418-9W0r1aL.jpg;https://m.media-amazon.com/images/I/418PWikDzYL.jpg;https://m.media-amazon.com/images/I/61KtwlbHIQL.jpg</t>
        </is>
      </c>
      <c r="AG737"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38">
      <c r="A738" t="inlineStr">
        <is>
          <t>com</t>
        </is>
      </c>
      <c r="B738" t="inlineStr">
        <is>
          <t>B0CV9SNHYR</t>
        </is>
      </c>
      <c r="C738" t="inlineStr">
        <is>
          <t>PUMA Women's Rebound Layup Sneaker, White-Frosted Dew Black, 7</t>
        </is>
      </c>
      <c r="D738" t="n">
        <v>59.99</v>
      </c>
      <c r="E738" t="n">
        <v>59.94</v>
      </c>
      <c r="F738" t="n">
        <v>119617</v>
      </c>
      <c r="G738" t="n">
        <v>178044</v>
      </c>
      <c r="H738" t="n">
        <v>65.40000000000001</v>
      </c>
      <c r="I738" t="n">
        <v>66.81999999999999</v>
      </c>
      <c r="J738" t="n">
        <v>0</v>
      </c>
      <c r="K738" t="n">
        <v>0.33</v>
      </c>
      <c r="L738" t="n">
        <v>9</v>
      </c>
      <c r="M738" t="n">
        <v>10</v>
      </c>
      <c r="N738" t="n">
        <v>4.4</v>
      </c>
      <c r="O738" t="n">
        <v>4</v>
      </c>
      <c r="P738" t="n">
        <v>22</v>
      </c>
      <c r="Q738" t="n">
        <v>23</v>
      </c>
      <c r="R738" t="n">
        <v>58</v>
      </c>
      <c r="S738" t="inlineStr">
        <is>
          <t>B0DDV21FY9</t>
        </is>
      </c>
      <c r="U738" t="n">
        <v>1.9069963</v>
      </c>
      <c r="V738" t="n">
        <v>7.03</v>
      </c>
      <c r="W738" t="n">
        <v>9</v>
      </c>
      <c r="X738" t="inlineStr">
        <is>
          <t>197670210737</t>
        </is>
      </c>
      <c r="Y738" t="inlineStr">
        <is>
          <t>39489152</t>
        </is>
      </c>
      <c r="Z738" t="inlineStr">
        <is>
          <t>39489152</t>
        </is>
      </c>
      <c r="AA738" t="inlineStr">
        <is>
          <t>Puma White-frosted Dew-puma Black</t>
        </is>
      </c>
      <c r="AB738" t="inlineStr">
        <is>
          <t>0197670210737</t>
        </is>
      </c>
      <c r="AC738" t="inlineStr">
        <is>
          <t>no Amazon offer exists</t>
        </is>
      </c>
      <c r="AD738" t="inlineStr">
        <is>
          <t>PUMA</t>
        </is>
      </c>
      <c r="AE738" t="inlineStr">
        <is>
          <t>7</t>
        </is>
      </c>
      <c r="AF738" t="inlineStr">
        <is>
          <t>https://m.media-amazon.com/images/I/41cCg0QQ43L.jpg;https://m.media-amazon.com/images/I/51X9m5GwjDL.jpg;https://m.media-amazon.com/images/I/41yuYod-W+L.jpg;https://m.media-amazon.com/images/I/418-9W0r1aL.jpg;https://m.media-amazon.com/images/I/418PWikDzYL.jpg;https://m.media-amazon.com/images/I/61KtwlbHIQL.jpg</t>
        </is>
      </c>
      <c r="AG738"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39">
      <c r="A739" t="inlineStr">
        <is>
          <t>com</t>
        </is>
      </c>
      <c r="B739" t="inlineStr">
        <is>
          <t>B0CV9NL35D</t>
        </is>
      </c>
      <c r="C739" t="inlineStr">
        <is>
          <t>PUMA Women's Rebound Layup Sneaker, White-Frosted Dew Black, 7.5</t>
        </is>
      </c>
      <c r="D739" t="n">
        <v>59.99</v>
      </c>
      <c r="E739" t="n">
        <v>59.94</v>
      </c>
      <c r="F739" t="n">
        <v>1638020</v>
      </c>
      <c r="G739" t="n">
        <v>827886</v>
      </c>
      <c r="H739" t="n">
        <v>63.66</v>
      </c>
      <c r="I739" t="n">
        <v>65.92</v>
      </c>
      <c r="J739" t="n">
        <v>0</v>
      </c>
      <c r="K739" t="n">
        <v>0.4</v>
      </c>
      <c r="L739" t="n">
        <v>7</v>
      </c>
      <c r="M739" t="n">
        <v>8</v>
      </c>
      <c r="N739" t="n">
        <v>3.5</v>
      </c>
      <c r="O739" t="n">
        <v>4</v>
      </c>
      <c r="P739" t="n">
        <v>6</v>
      </c>
      <c r="Q739" t="n">
        <v>4</v>
      </c>
      <c r="R739" t="n">
        <v>29</v>
      </c>
      <c r="S739" t="inlineStr">
        <is>
          <t>B0D9XPQ823</t>
        </is>
      </c>
      <c r="U739" t="n">
        <v>1.90038244</v>
      </c>
      <c r="V739" t="n">
        <v>7.54</v>
      </c>
      <c r="W739" t="n">
        <v>9</v>
      </c>
      <c r="X739" t="inlineStr">
        <is>
          <t>197670210744</t>
        </is>
      </c>
      <c r="Y739" t="inlineStr">
        <is>
          <t>39489152</t>
        </is>
      </c>
      <c r="Z739" t="inlineStr">
        <is>
          <t>39489152</t>
        </is>
      </c>
      <c r="AA739" t="inlineStr">
        <is>
          <t>Puma White-frosted Dew-puma Black</t>
        </is>
      </c>
      <c r="AB739" t="inlineStr">
        <is>
          <t>0197670210744</t>
        </is>
      </c>
      <c r="AC739" t="inlineStr">
        <is>
          <t>no Amazon offer exists</t>
        </is>
      </c>
      <c r="AD739" t="inlineStr">
        <is>
          <t>PUMA</t>
        </is>
      </c>
      <c r="AE739" t="inlineStr">
        <is>
          <t>7.5</t>
        </is>
      </c>
      <c r="AF739" t="inlineStr">
        <is>
          <t>https://m.media-amazon.com/images/I/31ijBxMlNEL.jpg;https://m.media-amazon.com/images/I/31TLgmWUkKL.jpg;https://m.media-amazon.com/images/I/31gBhrMwwsL.jpg;https://m.media-amazon.com/images/I/31gJs3iLuDL.jpg;https://m.media-amazon.com/images/I/31HKN5Dsb7L.jpg;https://m.media-amazon.com/images/I/51hx2Esv8wL.jpg</t>
        </is>
      </c>
      <c r="AG739"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0">
      <c r="A740" t="inlineStr">
        <is>
          <t>com</t>
        </is>
      </c>
      <c r="B740" t="inlineStr">
        <is>
          <t>B0CV9SZSC7</t>
        </is>
      </c>
      <c r="C740" t="inlineStr">
        <is>
          <t>PUMA Women's Rebound Layup Sneaker, White-Frosted Dew Black, 8</t>
        </is>
      </c>
      <c r="D740" t="n">
        <v>59.99</v>
      </c>
      <c r="E740" t="n">
        <v>59.99</v>
      </c>
      <c r="F740" t="n">
        <v>112728</v>
      </c>
      <c r="G740" t="n">
        <v>197792</v>
      </c>
      <c r="H740" t="n">
        <v>65.48999999999999</v>
      </c>
      <c r="I740" t="n">
        <v>66.87</v>
      </c>
      <c r="J740" t="n">
        <v>0</v>
      </c>
      <c r="K740" t="n">
        <v>0.65</v>
      </c>
      <c r="L740" t="n">
        <v>8</v>
      </c>
      <c r="M740" t="n">
        <v>10</v>
      </c>
      <c r="N740" t="n">
        <v>4.4</v>
      </c>
      <c r="O740" t="n">
        <v>4</v>
      </c>
      <c r="P740" t="n">
        <v>22</v>
      </c>
      <c r="Q740" t="n">
        <v>39</v>
      </c>
      <c r="R740" t="n">
        <v>106</v>
      </c>
      <c r="S740" t="inlineStr">
        <is>
          <t>B0DDV21FY9</t>
        </is>
      </c>
      <c r="U740" t="n">
        <v>1.9621118</v>
      </c>
      <c r="V740" t="n">
        <v>7.62</v>
      </c>
      <c r="W740" t="n">
        <v>9</v>
      </c>
      <c r="X740" t="inlineStr">
        <is>
          <t>197670210751</t>
        </is>
      </c>
      <c r="Y740" t="inlineStr">
        <is>
          <t>39489152</t>
        </is>
      </c>
      <c r="Z740" t="inlineStr">
        <is>
          <t>39489152</t>
        </is>
      </c>
      <c r="AA740" t="inlineStr">
        <is>
          <t>Puma White-frosted Dew-puma Black</t>
        </is>
      </c>
      <c r="AB740" t="inlineStr">
        <is>
          <t>0197670210751</t>
        </is>
      </c>
      <c r="AC740" t="inlineStr">
        <is>
          <t>no Amazon offer exists</t>
        </is>
      </c>
      <c r="AD740" t="inlineStr">
        <is>
          <t>PUMA</t>
        </is>
      </c>
      <c r="AE740" t="inlineStr">
        <is>
          <t>8</t>
        </is>
      </c>
      <c r="AF740" t="inlineStr">
        <is>
          <t>https://m.media-amazon.com/images/I/41cCg0QQ43L.jpg;https://m.media-amazon.com/images/I/51X9m5GwjDL.jpg;https://m.media-amazon.com/images/I/41yuYod-W+L.jpg;https://m.media-amazon.com/images/I/418-9W0r1aL.jpg;https://m.media-amazon.com/images/I/418PWikDzYL.jpg;https://m.media-amazon.com/images/I/61KtwlbHIQL.jpg</t>
        </is>
      </c>
      <c r="AG740"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1">
      <c r="A741" t="inlineStr">
        <is>
          <t>com</t>
        </is>
      </c>
      <c r="B741" t="inlineStr">
        <is>
          <t>B0CV9DPGFL</t>
        </is>
      </c>
      <c r="C741" t="inlineStr">
        <is>
          <t>PUMA Women's Rebound Layup Sneaker, White-Frosted Dew Black, 8.5</t>
        </is>
      </c>
      <c r="D741" t="n">
        <v>59.99</v>
      </c>
      <c r="E741" t="n">
        <v>59.99</v>
      </c>
      <c r="F741" t="n">
        <v>207300</v>
      </c>
      <c r="G741" t="n">
        <v>176374</v>
      </c>
      <c r="H741" t="n">
        <v>65.76000000000001</v>
      </c>
      <c r="I741" t="n">
        <v>67.13</v>
      </c>
      <c r="J741" t="n">
        <v>0</v>
      </c>
      <c r="K741" t="n">
        <v>0.48</v>
      </c>
      <c r="L741" t="n">
        <v>8</v>
      </c>
      <c r="M741" t="n">
        <v>10</v>
      </c>
      <c r="N741" t="n">
        <v>4.4</v>
      </c>
      <c r="O741" t="n">
        <v>3</v>
      </c>
      <c r="P741" t="n">
        <v>22</v>
      </c>
      <c r="Q741" t="n">
        <v>29</v>
      </c>
      <c r="R741" t="n">
        <v>74</v>
      </c>
      <c r="S741" t="inlineStr">
        <is>
          <t>B0DDV21FY9</t>
        </is>
      </c>
      <c r="U741" t="n">
        <v>2.03045502</v>
      </c>
      <c r="V741" t="n">
        <v>7.62</v>
      </c>
      <c r="W741" t="n">
        <v>9</v>
      </c>
      <c r="X741" t="inlineStr">
        <is>
          <t>197670210768</t>
        </is>
      </c>
      <c r="Y741" t="inlineStr">
        <is>
          <t>39489152</t>
        </is>
      </c>
      <c r="Z741" t="inlineStr">
        <is>
          <t>39489152</t>
        </is>
      </c>
      <c r="AA741" t="inlineStr">
        <is>
          <t>Puma White-frosted Dew-puma Black</t>
        </is>
      </c>
      <c r="AB741" t="inlineStr">
        <is>
          <t>0197670210768</t>
        </is>
      </c>
      <c r="AC741" t="inlineStr">
        <is>
          <t>no Amazon offer exists</t>
        </is>
      </c>
      <c r="AD741" t="inlineStr">
        <is>
          <t>PUMA</t>
        </is>
      </c>
      <c r="AE741" t="inlineStr">
        <is>
          <t>8.5</t>
        </is>
      </c>
      <c r="AF741" t="inlineStr">
        <is>
          <t>https://m.media-amazon.com/images/I/41cCg0QQ43L.jpg;https://m.media-amazon.com/images/I/51X9m5GwjDL.jpg;https://m.media-amazon.com/images/I/41yuYod-W+L.jpg;https://m.media-amazon.com/images/I/418-9W0r1aL.jpg;https://m.media-amazon.com/images/I/418PWikDzYL.jpg;https://m.media-amazon.com/images/I/61KtwlbHIQL.jpg</t>
        </is>
      </c>
      <c r="AG741"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2">
      <c r="A742" t="inlineStr">
        <is>
          <t>com</t>
        </is>
      </c>
      <c r="B742" t="inlineStr">
        <is>
          <t>B0CV9Q5FJ3</t>
        </is>
      </c>
      <c r="C742" t="inlineStr">
        <is>
          <t>PUMA Women's Rebound Layup Sneaker, White-Frosted Dew Black, 9</t>
        </is>
      </c>
      <c r="D742" t="n">
        <v>59.99</v>
      </c>
      <c r="E742" t="n">
        <v>59.99</v>
      </c>
      <c r="F742" t="n">
        <v>159238</v>
      </c>
      <c r="G742" t="n">
        <v>174573</v>
      </c>
      <c r="H742" t="n">
        <v>64.19</v>
      </c>
      <c r="I742" t="n">
        <v>66.11</v>
      </c>
      <c r="J742" t="n">
        <v>0</v>
      </c>
      <c r="K742" t="n">
        <v>0.66</v>
      </c>
      <c r="L742" t="n">
        <v>9</v>
      </c>
      <c r="M742" t="n">
        <v>10</v>
      </c>
      <c r="N742" t="n">
        <v>4.4</v>
      </c>
      <c r="O742" t="n">
        <v>1</v>
      </c>
      <c r="P742" t="n">
        <v>22</v>
      </c>
      <c r="Q742" t="n">
        <v>32</v>
      </c>
      <c r="R742" t="n">
        <v>95</v>
      </c>
      <c r="S742" t="inlineStr">
        <is>
          <t>B0DDV21FY9</t>
        </is>
      </c>
      <c r="U742" t="n">
        <v>2.094389</v>
      </c>
      <c r="V742" t="n">
        <v>7.62</v>
      </c>
      <c r="W742" t="n">
        <v>9</v>
      </c>
      <c r="X742" t="inlineStr">
        <is>
          <t>197670210775</t>
        </is>
      </c>
      <c r="Y742" t="inlineStr">
        <is>
          <t>39489152</t>
        </is>
      </c>
      <c r="Z742" t="inlineStr">
        <is>
          <t>39489152</t>
        </is>
      </c>
      <c r="AA742" t="inlineStr">
        <is>
          <t>Puma White-frosted Dew-puma Black</t>
        </is>
      </c>
      <c r="AB742" t="inlineStr">
        <is>
          <t>0197670210775</t>
        </is>
      </c>
      <c r="AC742" t="inlineStr">
        <is>
          <t>no Amazon offer exists</t>
        </is>
      </c>
      <c r="AD742" t="inlineStr">
        <is>
          <t>PUMA</t>
        </is>
      </c>
      <c r="AE742" t="inlineStr">
        <is>
          <t>9</t>
        </is>
      </c>
      <c r="AF742" t="inlineStr">
        <is>
          <t>https://m.media-amazon.com/images/I/41cCg0QQ43L.jpg;https://m.media-amazon.com/images/I/51X9m5GwjDL.jpg;https://m.media-amazon.com/images/I/41yuYod-W+L.jpg;https://m.media-amazon.com/images/I/418-9W0r1aL.jpg;https://m.media-amazon.com/images/I/418PWikDzYL.jpg;https://m.media-amazon.com/images/I/61KtwlbHIQL.jpg</t>
        </is>
      </c>
      <c r="AG742"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3">
      <c r="A743" t="inlineStr">
        <is>
          <t>com</t>
        </is>
      </c>
      <c r="B743" t="inlineStr">
        <is>
          <t>B0CV9RWH3R</t>
        </is>
      </c>
      <c r="C743" t="inlineStr">
        <is>
          <t>PUMA Women's Rebound Layup Sneaker, White-Frosted Dew Black, 9.5</t>
        </is>
      </c>
      <c r="D743" t="n">
        <v>59.99</v>
      </c>
      <c r="E743" t="n">
        <v>59.99</v>
      </c>
      <c r="F743" t="n">
        <v>191453</v>
      </c>
      <c r="G743" t="n">
        <v>176598</v>
      </c>
      <c r="H743" t="n">
        <v>66.81</v>
      </c>
      <c r="I743" t="n">
        <v>67.62</v>
      </c>
      <c r="J743" t="n">
        <v>0</v>
      </c>
      <c r="K743" t="n">
        <v>0.88</v>
      </c>
      <c r="L743" t="n">
        <v>7</v>
      </c>
      <c r="M743" t="n">
        <v>10</v>
      </c>
      <c r="N743" t="n">
        <v>4.4</v>
      </c>
      <c r="O743" t="n">
        <v>4</v>
      </c>
      <c r="P743" t="n">
        <v>22</v>
      </c>
      <c r="Q743" t="n">
        <v>38</v>
      </c>
      <c r="R743" t="n">
        <v>94</v>
      </c>
      <c r="S743" t="inlineStr">
        <is>
          <t>B0DDV21FY9</t>
        </is>
      </c>
      <c r="U743" t="n">
        <v>2.14068602</v>
      </c>
      <c r="V743" t="n">
        <v>7.62</v>
      </c>
      <c r="W743" t="n">
        <v>9</v>
      </c>
      <c r="X743" t="inlineStr">
        <is>
          <t>197670210782</t>
        </is>
      </c>
      <c r="Y743" t="inlineStr">
        <is>
          <t>39489152</t>
        </is>
      </c>
      <c r="Z743" t="inlineStr">
        <is>
          <t>39489152</t>
        </is>
      </c>
      <c r="AA743" t="inlineStr">
        <is>
          <t>Puma White-frosted Dew-puma Black</t>
        </is>
      </c>
      <c r="AB743" t="inlineStr">
        <is>
          <t>0197670210782</t>
        </is>
      </c>
      <c r="AC743" t="inlineStr">
        <is>
          <t>no Amazon offer exists</t>
        </is>
      </c>
      <c r="AD743" t="inlineStr">
        <is>
          <t>PUMA</t>
        </is>
      </c>
      <c r="AE743" t="inlineStr">
        <is>
          <t>9.5</t>
        </is>
      </c>
      <c r="AF743" t="inlineStr">
        <is>
          <t>https://m.media-amazon.com/images/I/41cCg0QQ43L.jpg;https://m.media-amazon.com/images/I/51X9m5GwjDL.jpg;https://m.media-amazon.com/images/I/41yuYod-W+L.jpg;https://m.media-amazon.com/images/I/418-9W0r1aL.jpg;https://m.media-amazon.com/images/I/418PWikDzYL.jpg;https://m.media-amazon.com/images/I/61KtwlbHIQL.jpg</t>
        </is>
      </c>
      <c r="AG743"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4">
      <c r="A744" t="inlineStr">
        <is>
          <t>com</t>
        </is>
      </c>
      <c r="B744" t="inlineStr">
        <is>
          <t>B0CV9SF1VP</t>
        </is>
      </c>
      <c r="C744" t="inlineStr">
        <is>
          <t>PUMA Women's Rebound Layup Sneaker, White-Frosted Dew Black, 10</t>
        </is>
      </c>
      <c r="D744" t="n">
        <v>59.99</v>
      </c>
      <c r="E744" t="n">
        <v>59.99</v>
      </c>
      <c r="F744" t="n">
        <v>200212</v>
      </c>
      <c r="G744" t="n">
        <v>181439</v>
      </c>
      <c r="H744" t="n">
        <v>64.42</v>
      </c>
      <c r="I744" t="n">
        <v>66.76000000000001</v>
      </c>
      <c r="J744" t="n">
        <v>0</v>
      </c>
      <c r="K744" t="n">
        <v>0.5</v>
      </c>
      <c r="L744" t="n">
        <v>7</v>
      </c>
      <c r="M744" t="n">
        <v>5</v>
      </c>
      <c r="N744" t="n">
        <v>4.4</v>
      </c>
      <c r="O744" t="n">
        <v>3</v>
      </c>
      <c r="P744" t="n">
        <v>22</v>
      </c>
      <c r="Q744" t="n">
        <v>30</v>
      </c>
      <c r="R744" t="n">
        <v>87</v>
      </c>
      <c r="S744" t="inlineStr">
        <is>
          <t>B0DDV21FY9</t>
        </is>
      </c>
      <c r="U744" t="n">
        <v>2.18036918</v>
      </c>
      <c r="V744" t="n">
        <v>7.62</v>
      </c>
      <c r="W744" t="n">
        <v>9</v>
      </c>
      <c r="X744" t="inlineStr">
        <is>
          <t>197670210799</t>
        </is>
      </c>
      <c r="Y744" t="inlineStr">
        <is>
          <t>39489152</t>
        </is>
      </c>
      <c r="Z744" t="inlineStr">
        <is>
          <t>39489152</t>
        </is>
      </c>
      <c r="AA744" t="inlineStr">
        <is>
          <t>Puma White-frosted Dew-puma Black</t>
        </is>
      </c>
      <c r="AB744" t="inlineStr">
        <is>
          <t>0197670210799</t>
        </is>
      </c>
      <c r="AC744" t="inlineStr">
        <is>
          <t>no Amazon offer exists</t>
        </is>
      </c>
      <c r="AD744" t="inlineStr">
        <is>
          <t>PUMA</t>
        </is>
      </c>
      <c r="AE744" t="inlineStr">
        <is>
          <t>10</t>
        </is>
      </c>
      <c r="AF744" t="inlineStr">
        <is>
          <t>https://m.media-amazon.com/images/I/41cCg0QQ43L.jpg;https://m.media-amazon.com/images/I/51X9m5GwjDL.jpg;https://m.media-amazon.com/images/I/41yuYod-W+L.jpg;https://m.media-amazon.com/images/I/418-9W0r1aL.jpg;https://m.media-amazon.com/images/I/418PWikDzYL.jpg;https://m.media-amazon.com/images/I/61KtwlbHIQL.jpg</t>
        </is>
      </c>
      <c r="AG744"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row r="745">
      <c r="A745" t="inlineStr">
        <is>
          <t>com</t>
        </is>
      </c>
      <c r="B745" t="inlineStr">
        <is>
          <t>B0CV9S9145</t>
        </is>
      </c>
      <c r="C745" t="inlineStr">
        <is>
          <t>PUMA Women's Rebound Layup Sneaker, White-Frosted Dew Black, 11</t>
        </is>
      </c>
      <c r="D745" t="n">
        <v>59.99</v>
      </c>
      <c r="E745" t="n">
        <v>59.94</v>
      </c>
      <c r="F745" t="n">
        <v>119617</v>
      </c>
      <c r="G745" t="n">
        <v>176891</v>
      </c>
      <c r="H745" t="n">
        <v>65.33</v>
      </c>
      <c r="I745" t="n">
        <v>66.77</v>
      </c>
      <c r="J745" t="n">
        <v>0</v>
      </c>
      <c r="K745" t="n">
        <v>0.64</v>
      </c>
      <c r="L745" t="n">
        <v>8</v>
      </c>
      <c r="M745" t="n">
        <v>9</v>
      </c>
      <c r="N745" t="n">
        <v>4.4</v>
      </c>
      <c r="O745" t="n">
        <v>2</v>
      </c>
      <c r="P745" t="n">
        <v>22</v>
      </c>
      <c r="Q745" t="n">
        <v>19</v>
      </c>
      <c r="R745" t="n">
        <v>58</v>
      </c>
      <c r="S745" t="inlineStr">
        <is>
          <t>B0DDV21FY9</t>
        </is>
      </c>
      <c r="U745" t="n">
        <v>2.3589434</v>
      </c>
      <c r="V745" t="n">
        <v>7.86</v>
      </c>
      <c r="W745" t="n">
        <v>9</v>
      </c>
      <c r="X745" t="inlineStr">
        <is>
          <t>197670210812</t>
        </is>
      </c>
      <c r="Y745" t="inlineStr">
        <is>
          <t>39489152</t>
        </is>
      </c>
      <c r="Z745" t="inlineStr">
        <is>
          <t>39489152</t>
        </is>
      </c>
      <c r="AA745" t="inlineStr">
        <is>
          <t>Puma White-frosted Dew-puma Black</t>
        </is>
      </c>
      <c r="AB745" t="inlineStr">
        <is>
          <t>0197670210812</t>
        </is>
      </c>
      <c r="AC745" t="inlineStr">
        <is>
          <t>no Amazon offer exists</t>
        </is>
      </c>
      <c r="AD745" t="inlineStr">
        <is>
          <t>PUMA</t>
        </is>
      </c>
      <c r="AE745" t="inlineStr">
        <is>
          <t>11</t>
        </is>
      </c>
      <c r="AF745" t="inlineStr">
        <is>
          <t>https://m.media-amazon.com/images/I/41cCg0QQ43L.jpg;https://m.media-amazon.com/images/I/51X9m5GwjDL.jpg;https://m.media-amazon.com/images/I/41yuYod-W+L.jpg;https://m.media-amazon.com/images/I/418-9W0r1aL.jpg;https://m.media-amazon.com/images/I/418PWikDzYL.jpg;https://m.media-amazon.com/images/I/61KtwlbHIQL.jpg</t>
        </is>
      </c>
      <c r="AG745" t="inlineStr">
        <is>
          <t>Description
Drawing inspiration from the high-top basketball sneakers of the '80s, these PUMA kicks alley-oop the comfort factor to ensure feet and ankles are supported from top to bottom. PUMA’s unique SoftFoam+ sockliner offers a plush, cushioned ride with each step, and the mid-height padded collar adds extra stability. The iconic PUMA Formstrip stretches along the side, and the look is completed with subtle branding embellishments.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Ronald Skolnik</dc:creator>
  <dc:language xmlns:dc="http://purl.org/dc/elements/1.1/">en-US</dc:language>
  <dcterms:created xmlns:dcterms="http://purl.org/dc/terms/" xmlns:xsi="http://www.w3.org/2001/XMLSchema-instance" xsi:type="dcterms:W3CDTF">2022-08-17T20:24:27Z</dcterms:created>
  <dcterms:modified xmlns:dcterms="http://purl.org/dc/terms/" xmlns:xsi="http://www.w3.org/2001/XMLSchema-instance" xsi:type="dcterms:W3CDTF">2024-10-19T23:49:24Z</dcterms:modified>
  <cp:lastModifiedBy>Ronald Skolnik</cp:lastModifiedBy>
  <cp:revision>3</cp:revision>
</cp:coreProperties>
</file>