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eaboardoverseas-my.sharepoint.com/personal/mfrere_mochasa_com_ec/Documents/Escritorio/TFM/"/>
    </mc:Choice>
  </mc:AlternateContent>
  <xr:revisionPtr revIDLastSave="10270" documentId="8_{59D20CB9-AC6C-488F-9303-ECCB7F040B3F}" xr6:coauthVersionLast="47" xr6:coauthVersionMax="47" xr10:uidLastSave="{B5DF28DE-3BFB-443A-A660-C64428CE6FE2}"/>
  <bookViews>
    <workbookView xWindow="-110" yWindow="-110" windowWidth="19420" windowHeight="10300" tabRatio="936" activeTab="6" xr2:uid="{882C30A6-F3C9-4CD3-AFCD-3FE1391FC1CC}"/>
  </bookViews>
  <sheets>
    <sheet name="lt" sheetId="50" r:id="rId1"/>
    <sheet name="FORMULACIÓN" sheetId="41" r:id="rId2"/>
    <sheet name="POLÍTICA" sheetId="15" r:id="rId3"/>
    <sheet name="inventario" sheetId="43" r:id="rId4"/>
    <sheet name="costo_mp" sheetId="32" r:id="rId5"/>
    <sheet name="h" sheetId="34" r:id="rId6"/>
    <sheet name="k" sheetId="25" r:id="rId7"/>
  </sheets>
  <definedNames>
    <definedName name="_xlnm._FilterDatabase" localSheetId="1" hidden="1">FORMULACIÓN!$A$4:$Q$111</definedName>
    <definedName name="_xlnm._FilterDatabase" localSheetId="5" hidden="1">h!$A$1:$D$169</definedName>
    <definedName name="_xlnm._FilterDatabase" localSheetId="0" hidden="1">lt!$A$1:$M$102</definedName>
    <definedName name="_xlnm._FilterDatabase" localSheetId="2" hidden="1">POLÍTICA!$A$4:$AZ$239</definedName>
    <definedName name="_xlnm.Print_Area" localSheetId="4">costo_mp!$A$1:$K$2088</definedName>
    <definedName name="CED" localSheetId="1">#REF!</definedName>
    <definedName name="CED">#REF!</definedName>
    <definedName name="COD" localSheetId="1">#REF!</definedName>
    <definedName name="COD">#REF!</definedName>
    <definedName name="COD_DIF" localSheetId="1">#REF!</definedName>
    <definedName name="COD_DIF">#REF!</definedName>
    <definedName name="COD_PROD">#REF!</definedName>
    <definedName name="COD_REP">#REF!</definedName>
    <definedName name="CODIGO">#REF!</definedName>
    <definedName name="CONVERSION">#REF!</definedName>
    <definedName name="D">#REF!</definedName>
    <definedName name="DATA">#REF!</definedName>
    <definedName name="DATOS_CIA" localSheetId="1">OFFSET(#REF!,0,0,COUNTA(#REF!),COUNTA(#REF!))</definedName>
    <definedName name="DATOS_CIA">OFFSET(#REF!,0,0,COUNTA(#REF!),COUNTA(#REF!))</definedName>
    <definedName name="DIARIOS_REEMP" localSheetId="1">#REF!</definedName>
    <definedName name="DIARIOS_REEMP">#REF!</definedName>
    <definedName name="FECHA" localSheetId="1">#REF!</definedName>
    <definedName name="FECHA">#REF!</definedName>
    <definedName name="H">#REF!</definedName>
    <definedName name="LOTE_SIST" localSheetId="1">#REF!</definedName>
    <definedName name="LOTE_SIST">#REF!</definedName>
    <definedName name="MES_ACTUAL">#REF!</definedName>
    <definedName name="MES_RM">#REF!</definedName>
    <definedName name="NOSE">#REF!</definedName>
    <definedName name="ORDEN_COMPRA" localSheetId="1">OFFSET(#REF!,0,0,COUNTA(#REF!),COUNTA(#REF!))</definedName>
    <definedName name="ORDEN_COMPRA">OFFSET(#REF!,0,0,COUNTA(#REF!),COUNTA(#REF!))</definedName>
    <definedName name="POLITICA">OFFSET(#REF!,0,0,COUNTA(#REF!),COUNTA(#REF!))</definedName>
    <definedName name="POR" localSheetId="1">#REF!</definedName>
    <definedName name="POR">#REF!</definedName>
    <definedName name="RAW_MAT" localSheetId="1">#REF!</definedName>
    <definedName name="RAW_MAT">#REF!</definedName>
    <definedName name="RAW_MAT_ACT" localSheetId="1">#REF!</definedName>
    <definedName name="RAW_MAT_ACT">#REF!</definedName>
    <definedName name="RECATEGORIZACION" localSheetId="1">OFFSET(#REF!,0,0,COUNTA(#REF!),COUNTA(#REF!))</definedName>
    <definedName name="RECATEGORIZACION">OFFSET(#REF!,0,0,COUNTA(#REF!),COUNTA(#REF!))</definedName>
    <definedName name="REP_DIF_INV" localSheetId="1">#REF!</definedName>
    <definedName name="REP_DIF_INV">#REF!</definedName>
    <definedName name="SITIO" localSheetId="1">#REF!</definedName>
    <definedName name="SITIO">#REF!</definedName>
    <definedName name="TRANSBOD_REP" localSheetId="1">OFFSET(#REF!,0,0,COUNTA(#REF!),COUNTA(#REF!))</definedName>
    <definedName name="TRANSBOD_REP">OFFSET(#REF!,0,0,COUNTA(#REF!),COUNTA(#REF!))</definedName>
    <definedName name="ULT_PRECIO">OFFSET(#REF!,0,0,COUNTA(#REF!),COUNTA(#REF!))</definedName>
    <definedName name="VENTA">OFFSET(#REF!,0,0,COUNTA(#REF!),COUNTA(#REF!))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5" l="1"/>
  <c r="G8" i="25"/>
  <c r="L123" i="15"/>
  <c r="M3" i="50"/>
  <c r="M4" i="50"/>
  <c r="M5" i="50"/>
  <c r="M6" i="50"/>
  <c r="M7" i="50"/>
  <c r="M8" i="50"/>
  <c r="M9" i="50"/>
  <c r="M10" i="50"/>
  <c r="M11" i="50"/>
  <c r="M12" i="50"/>
  <c r="M13" i="50"/>
  <c r="M14" i="50"/>
  <c r="M15" i="50"/>
  <c r="M16" i="50"/>
  <c r="M17" i="50"/>
  <c r="M18" i="50"/>
  <c r="M19" i="50"/>
  <c r="M20" i="50"/>
  <c r="M21" i="50"/>
  <c r="M22" i="50"/>
  <c r="M23" i="50"/>
  <c r="M24" i="50"/>
  <c r="M25" i="50"/>
  <c r="M26" i="50"/>
  <c r="M27" i="50"/>
  <c r="M28" i="50"/>
  <c r="M29" i="50"/>
  <c r="M30" i="50"/>
  <c r="M31" i="50"/>
  <c r="M32" i="50"/>
  <c r="M33" i="50"/>
  <c r="M34" i="50"/>
  <c r="M35" i="50"/>
  <c r="M36" i="50"/>
  <c r="M37" i="50"/>
  <c r="M38" i="50"/>
  <c r="M39" i="50"/>
  <c r="M40" i="50"/>
  <c r="M41" i="50"/>
  <c r="M42" i="50"/>
  <c r="M43" i="50"/>
  <c r="M44" i="50"/>
  <c r="M45" i="50"/>
  <c r="M46" i="50"/>
  <c r="M47" i="50"/>
  <c r="M48" i="50"/>
  <c r="M49" i="50"/>
  <c r="M50" i="50"/>
  <c r="M51" i="50"/>
  <c r="M52" i="50"/>
  <c r="M53" i="50"/>
  <c r="M54" i="50"/>
  <c r="M55" i="50"/>
  <c r="M56" i="50"/>
  <c r="M57" i="50"/>
  <c r="M58" i="50"/>
  <c r="M59" i="50"/>
  <c r="M60" i="50"/>
  <c r="M61" i="50"/>
  <c r="M62" i="50"/>
  <c r="M63" i="50"/>
  <c r="M64" i="50"/>
  <c r="M65" i="50"/>
  <c r="M66" i="50"/>
  <c r="M67" i="50"/>
  <c r="M68" i="50"/>
  <c r="M69" i="50"/>
  <c r="M70" i="50"/>
  <c r="M71" i="50"/>
  <c r="M72" i="50"/>
  <c r="M73" i="50"/>
  <c r="M74" i="50"/>
  <c r="M75" i="50"/>
  <c r="M76" i="50"/>
  <c r="M77" i="50"/>
  <c r="M78" i="50"/>
  <c r="M79" i="50"/>
  <c r="M80" i="50"/>
  <c r="M81" i="50"/>
  <c r="M82" i="50"/>
  <c r="M83" i="50"/>
  <c r="M84" i="50"/>
  <c r="M85" i="50"/>
  <c r="M86" i="50"/>
  <c r="M87" i="50"/>
  <c r="M88" i="50"/>
  <c r="M89" i="50"/>
  <c r="M90" i="50"/>
  <c r="M91" i="50"/>
  <c r="M92" i="50"/>
  <c r="M93" i="50"/>
  <c r="M94" i="50"/>
  <c r="M95" i="50"/>
  <c r="M96" i="50"/>
  <c r="M97" i="50"/>
  <c r="M98" i="50"/>
  <c r="M99" i="50"/>
  <c r="M100" i="50"/>
  <c r="M101" i="50"/>
  <c r="M102" i="50"/>
  <c r="G18" i="50"/>
  <c r="G9" i="50"/>
  <c r="J96" i="50"/>
  <c r="A95" i="50"/>
  <c r="F7" i="34"/>
  <c r="D8" i="25"/>
  <c r="F8" i="25"/>
  <c r="C8" i="25"/>
  <c r="B8" i="25"/>
  <c r="F9" i="25"/>
  <c r="C16" i="25"/>
  <c r="D51" i="34"/>
  <c r="D169" i="34"/>
  <c r="D168" i="34"/>
  <c r="D123" i="15" l="1"/>
  <c r="P219" i="43"/>
  <c r="P220" i="43"/>
  <c r="P221" i="43"/>
  <c r="P222" i="43"/>
  <c r="P223" i="43"/>
  <c r="B244" i="15"/>
  <c r="H155" i="15" l="1"/>
  <c r="H211" i="15"/>
  <c r="H212" i="15"/>
  <c r="H213" i="15"/>
  <c r="H215" i="15"/>
  <c r="H227" i="15"/>
  <c r="H228" i="15"/>
  <c r="H229" i="15"/>
  <c r="H230" i="15"/>
  <c r="H231" i="15"/>
  <c r="H232" i="15"/>
  <c r="H233" i="15"/>
  <c r="H234" i="15"/>
  <c r="H235" i="15"/>
  <c r="H236" i="15"/>
  <c r="H237" i="15"/>
  <c r="H239" i="15"/>
  <c r="P3" i="43"/>
  <c r="P4" i="43"/>
  <c r="P5" i="43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P45" i="43"/>
  <c r="P46" i="43"/>
  <c r="P47" i="43"/>
  <c r="P48" i="43"/>
  <c r="P49" i="43"/>
  <c r="P50" i="43"/>
  <c r="P51" i="43"/>
  <c r="P52" i="43"/>
  <c r="P53" i="43"/>
  <c r="P54" i="43"/>
  <c r="P55" i="43"/>
  <c r="P56" i="43"/>
  <c r="P57" i="43"/>
  <c r="P58" i="43"/>
  <c r="P59" i="43"/>
  <c r="P60" i="43"/>
  <c r="P61" i="43"/>
  <c r="P62" i="43"/>
  <c r="P63" i="43"/>
  <c r="P64" i="43"/>
  <c r="P65" i="43"/>
  <c r="P66" i="43"/>
  <c r="P67" i="43"/>
  <c r="P68" i="43"/>
  <c r="P69" i="43"/>
  <c r="P70" i="43"/>
  <c r="P71" i="43"/>
  <c r="P72" i="43"/>
  <c r="P73" i="43"/>
  <c r="P74" i="43"/>
  <c r="P75" i="43"/>
  <c r="P76" i="43"/>
  <c r="P77" i="43"/>
  <c r="P78" i="43"/>
  <c r="P79" i="43"/>
  <c r="P80" i="43"/>
  <c r="P81" i="43"/>
  <c r="P82" i="43"/>
  <c r="P83" i="43"/>
  <c r="P84" i="43"/>
  <c r="P85" i="43"/>
  <c r="P86" i="43"/>
  <c r="P87" i="43"/>
  <c r="P88" i="43"/>
  <c r="P89" i="43"/>
  <c r="P90" i="43"/>
  <c r="P91" i="43"/>
  <c r="P92" i="43"/>
  <c r="P93" i="43"/>
  <c r="P94" i="43"/>
  <c r="P95" i="43"/>
  <c r="P96" i="43"/>
  <c r="P97" i="43"/>
  <c r="P98" i="43"/>
  <c r="P99" i="43"/>
  <c r="P100" i="43"/>
  <c r="P101" i="43"/>
  <c r="P102" i="43"/>
  <c r="P103" i="43"/>
  <c r="P104" i="43"/>
  <c r="P105" i="43"/>
  <c r="P106" i="43"/>
  <c r="P107" i="43"/>
  <c r="P108" i="43"/>
  <c r="P109" i="43"/>
  <c r="P110" i="43"/>
  <c r="P111" i="43"/>
  <c r="P112" i="43"/>
  <c r="P113" i="43"/>
  <c r="P114" i="43"/>
  <c r="P115" i="43"/>
  <c r="P116" i="43"/>
  <c r="P117" i="43"/>
  <c r="P118" i="43"/>
  <c r="P119" i="43"/>
  <c r="P120" i="43"/>
  <c r="P121" i="43"/>
  <c r="P122" i="43"/>
  <c r="P123" i="43"/>
  <c r="P124" i="43"/>
  <c r="P125" i="43"/>
  <c r="P126" i="43"/>
  <c r="P127" i="43"/>
  <c r="P128" i="43"/>
  <c r="P129" i="43"/>
  <c r="P130" i="43"/>
  <c r="P131" i="43"/>
  <c r="P132" i="43"/>
  <c r="P133" i="43"/>
  <c r="P134" i="43"/>
  <c r="P135" i="43"/>
  <c r="P136" i="43"/>
  <c r="P137" i="43"/>
  <c r="P138" i="43"/>
  <c r="P139" i="43"/>
  <c r="P140" i="43"/>
  <c r="P141" i="43"/>
  <c r="P142" i="43"/>
  <c r="P143" i="43"/>
  <c r="P144" i="43"/>
  <c r="P145" i="43"/>
  <c r="P146" i="43"/>
  <c r="P147" i="43"/>
  <c r="P148" i="43"/>
  <c r="P149" i="43"/>
  <c r="P150" i="43"/>
  <c r="P151" i="43"/>
  <c r="P152" i="43"/>
  <c r="P153" i="43"/>
  <c r="P154" i="43"/>
  <c r="P155" i="43"/>
  <c r="P156" i="43"/>
  <c r="P157" i="43"/>
  <c r="P158" i="43"/>
  <c r="P159" i="43"/>
  <c r="P160" i="43"/>
  <c r="P161" i="43"/>
  <c r="P162" i="43"/>
  <c r="P163" i="43"/>
  <c r="P164" i="43"/>
  <c r="P165" i="43"/>
  <c r="P166" i="43"/>
  <c r="P167" i="43"/>
  <c r="P168" i="43"/>
  <c r="P169" i="43"/>
  <c r="P170" i="43"/>
  <c r="P171" i="43"/>
  <c r="P172" i="43"/>
  <c r="P173" i="43"/>
  <c r="P174" i="43"/>
  <c r="P175" i="43"/>
  <c r="P176" i="43"/>
  <c r="P177" i="43"/>
  <c r="P178" i="43"/>
  <c r="P179" i="43"/>
  <c r="P180" i="43"/>
  <c r="P181" i="43"/>
  <c r="P182" i="43"/>
  <c r="P183" i="43"/>
  <c r="P184" i="43"/>
  <c r="P185" i="43"/>
  <c r="P186" i="43"/>
  <c r="P187" i="43"/>
  <c r="P188" i="43"/>
  <c r="P189" i="43"/>
  <c r="P190" i="43"/>
  <c r="P191" i="43"/>
  <c r="P192" i="43"/>
  <c r="P193" i="43"/>
  <c r="P194" i="43"/>
  <c r="P195" i="43"/>
  <c r="P196" i="43"/>
  <c r="P197" i="43"/>
  <c r="P198" i="43"/>
  <c r="P199" i="43"/>
  <c r="P200" i="43"/>
  <c r="P201" i="43"/>
  <c r="P202" i="43"/>
  <c r="P203" i="43"/>
  <c r="P204" i="43"/>
  <c r="P205" i="43"/>
  <c r="P206" i="43"/>
  <c r="P207" i="43"/>
  <c r="P208" i="43"/>
  <c r="P209" i="43"/>
  <c r="P210" i="43"/>
  <c r="P211" i="43"/>
  <c r="P212" i="43"/>
  <c r="P213" i="43"/>
  <c r="P214" i="43"/>
  <c r="P215" i="43"/>
  <c r="P216" i="43"/>
  <c r="P217" i="43"/>
  <c r="P218" i="43"/>
  <c r="P2" i="43"/>
  <c r="AC51" i="15"/>
  <c r="AC52" i="15"/>
  <c r="AC53" i="15"/>
  <c r="AC54" i="15"/>
  <c r="AC55" i="15"/>
  <c r="AC56" i="15"/>
  <c r="AC57" i="15"/>
  <c r="AC58" i="15"/>
  <c r="AC59" i="15"/>
  <c r="AC60" i="15"/>
  <c r="AC61" i="15"/>
  <c r="AC62" i="15"/>
  <c r="AC63" i="15"/>
  <c r="AC45" i="15"/>
  <c r="AC48" i="15"/>
  <c r="AC44" i="15"/>
  <c r="AC36" i="15"/>
  <c r="AC41" i="15"/>
  <c r="AC42" i="15"/>
  <c r="AC35" i="15"/>
  <c r="AC47" i="15"/>
  <c r="AC40" i="15"/>
  <c r="AC46" i="15"/>
  <c r="AC28" i="15"/>
  <c r="AC18" i="15"/>
  <c r="AC32" i="15"/>
  <c r="AC16" i="15"/>
  <c r="AC34" i="15"/>
  <c r="AC17" i="15"/>
  <c r="AC25" i="15"/>
  <c r="AC29" i="15"/>
  <c r="AC15" i="15"/>
  <c r="AC24" i="15"/>
  <c r="AC30" i="15"/>
  <c r="AC19" i="15"/>
  <c r="AC26" i="15"/>
  <c r="AC6" i="15"/>
  <c r="AC10" i="15"/>
  <c r="AC27" i="15"/>
  <c r="AC14" i="15"/>
  <c r="AC21" i="15"/>
  <c r="AC33" i="15"/>
  <c r="AC8" i="15"/>
  <c r="AC23" i="15"/>
  <c r="AC20" i="15"/>
  <c r="AC9" i="15"/>
  <c r="AC31" i="15"/>
  <c r="AC5" i="15"/>
  <c r="AC43" i="15"/>
  <c r="AC11" i="15"/>
  <c r="AC7" i="15"/>
  <c r="AC22" i="15"/>
  <c r="AC39" i="15"/>
  <c r="AC13" i="15"/>
  <c r="AC38" i="15"/>
  <c r="AC49" i="15"/>
  <c r="AC12" i="15"/>
  <c r="AC64" i="15"/>
  <c r="AC65" i="15"/>
  <c r="AC141" i="15"/>
  <c r="AC142" i="15"/>
  <c r="AC143" i="15"/>
  <c r="AC66" i="15"/>
  <c r="AC144" i="15"/>
  <c r="AC130" i="15"/>
  <c r="AC102" i="15"/>
  <c r="AC85" i="15"/>
  <c r="AC127" i="15"/>
  <c r="AC97" i="15"/>
  <c r="AC89" i="15"/>
  <c r="AC108" i="15"/>
  <c r="AC95" i="15"/>
  <c r="AC105" i="15"/>
  <c r="AC116" i="15"/>
  <c r="AC122" i="15"/>
  <c r="AC83" i="15"/>
  <c r="AC79" i="15"/>
  <c r="AC82" i="15"/>
  <c r="AC76" i="15"/>
  <c r="AC109" i="15"/>
  <c r="AC117" i="15"/>
  <c r="AC110" i="15"/>
  <c r="AC124" i="15"/>
  <c r="AC98" i="15"/>
  <c r="AC115" i="15"/>
  <c r="AC104" i="15"/>
  <c r="AC121" i="15"/>
  <c r="AC84" i="15"/>
  <c r="AC112" i="15"/>
  <c r="AC78" i="15"/>
  <c r="AC100" i="15"/>
  <c r="AC80" i="15"/>
  <c r="AC111" i="15"/>
  <c r="AC88" i="15"/>
  <c r="AC107" i="15"/>
  <c r="AC120" i="15"/>
  <c r="AC129" i="15"/>
  <c r="AC135" i="15"/>
  <c r="AC99" i="15"/>
  <c r="AC113" i="15"/>
  <c r="AC114" i="15"/>
  <c r="AC73" i="15"/>
  <c r="AC123" i="15"/>
  <c r="AC75" i="15"/>
  <c r="AC74" i="15"/>
  <c r="AC90" i="15"/>
  <c r="AC131" i="15"/>
  <c r="AC77" i="15"/>
  <c r="AC132" i="15"/>
  <c r="AC72" i="15"/>
  <c r="AC81" i="15"/>
  <c r="AC133" i="15"/>
  <c r="AC128" i="15"/>
  <c r="AC91" i="15"/>
  <c r="AC125" i="15"/>
  <c r="AC106" i="15"/>
  <c r="AC126" i="15"/>
  <c r="AC94" i="15"/>
  <c r="AC118" i="15"/>
  <c r="AC103" i="15"/>
  <c r="AC93" i="15"/>
  <c r="AC92" i="15"/>
  <c r="AC69" i="15"/>
  <c r="AC87" i="15"/>
  <c r="AC96" i="15"/>
  <c r="AC136" i="15"/>
  <c r="AC119" i="15"/>
  <c r="AC71" i="15"/>
  <c r="AC137" i="15"/>
  <c r="AC138" i="15"/>
  <c r="AC134" i="15"/>
  <c r="AC209" i="15"/>
  <c r="AC145" i="15"/>
  <c r="AC146" i="15"/>
  <c r="AC140" i="15"/>
  <c r="AC147" i="15"/>
  <c r="AC139" i="15"/>
  <c r="AC101" i="15"/>
  <c r="AC86" i="15"/>
  <c r="AC70" i="15"/>
  <c r="AC67" i="15"/>
  <c r="AC68" i="15"/>
  <c r="AC148" i="15"/>
  <c r="AC149" i="15"/>
  <c r="AC153" i="15"/>
  <c r="AC155" i="15"/>
  <c r="AC152" i="15"/>
  <c r="AC154" i="15"/>
  <c r="AC171" i="15"/>
  <c r="AC166" i="15"/>
  <c r="AC163" i="15"/>
  <c r="AC159" i="15"/>
  <c r="AC168" i="15"/>
  <c r="AC164" i="15"/>
  <c r="AC156" i="15"/>
  <c r="AC170" i="15"/>
  <c r="AC161" i="15"/>
  <c r="AC157" i="15"/>
  <c r="AC158" i="15"/>
  <c r="AC160" i="15"/>
  <c r="AC167" i="15"/>
  <c r="AC169" i="15"/>
  <c r="AC162" i="15"/>
  <c r="AC165" i="15"/>
  <c r="AC197" i="15"/>
  <c r="AC198" i="15"/>
  <c r="AC199" i="15"/>
  <c r="AC200" i="15"/>
  <c r="AC201" i="15"/>
  <c r="AC202" i="15"/>
  <c r="AC203" i="15"/>
  <c r="AC204" i="15"/>
  <c r="AC172" i="15"/>
  <c r="AC180" i="15"/>
  <c r="AC183" i="15"/>
  <c r="AC189" i="15"/>
  <c r="AC186" i="15"/>
  <c r="AC176" i="15"/>
  <c r="AC179" i="15"/>
  <c r="AC174" i="15"/>
  <c r="AC175" i="15"/>
  <c r="AC178" i="15"/>
  <c r="AC177" i="15"/>
  <c r="AC192" i="15"/>
  <c r="AC185" i="15"/>
  <c r="AC196" i="15"/>
  <c r="AC182" i="15"/>
  <c r="AC184" i="15"/>
  <c r="AC173" i="15"/>
  <c r="AC190" i="15"/>
  <c r="AC191" i="15"/>
  <c r="AC193" i="15"/>
  <c r="AC181" i="15"/>
  <c r="AC194" i="15"/>
  <c r="AC188" i="15"/>
  <c r="AC187" i="15"/>
  <c r="AC195" i="15"/>
  <c r="AC210" i="15"/>
  <c r="AC211" i="15"/>
  <c r="AC212" i="15"/>
  <c r="AC213" i="15"/>
  <c r="AC214" i="15"/>
  <c r="AC215" i="15"/>
  <c r="AC216" i="15"/>
  <c r="AC217" i="15"/>
  <c r="AC218" i="15"/>
  <c r="AC219" i="15"/>
  <c r="AC220" i="15"/>
  <c r="AC221" i="15"/>
  <c r="AC222" i="15"/>
  <c r="AC223" i="15"/>
  <c r="AC224" i="15"/>
  <c r="AC225" i="15"/>
  <c r="AC226" i="15"/>
  <c r="AC227" i="15"/>
  <c r="AC228" i="15"/>
  <c r="AC229" i="15"/>
  <c r="AC230" i="15"/>
  <c r="AC231" i="15"/>
  <c r="AC232" i="15"/>
  <c r="AC233" i="15"/>
  <c r="AC234" i="15"/>
  <c r="AC235" i="15"/>
  <c r="AC236" i="15"/>
  <c r="AC237" i="15"/>
  <c r="AC37" i="15"/>
  <c r="AC208" i="15"/>
  <c r="AC238" i="15"/>
  <c r="AC239" i="15"/>
  <c r="AC207" i="15"/>
  <c r="AC205" i="15"/>
  <c r="AC206" i="15"/>
  <c r="AC150" i="15"/>
  <c r="AC151" i="15"/>
  <c r="AC50" i="15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H62" i="32"/>
  <c r="H63" i="32"/>
  <c r="H64" i="32"/>
  <c r="H65" i="32"/>
  <c r="H66" i="32"/>
  <c r="H67" i="32"/>
  <c r="H68" i="32"/>
  <c r="H69" i="32"/>
  <c r="H70" i="32"/>
  <c r="H71" i="32"/>
  <c r="H72" i="32"/>
  <c r="H73" i="32"/>
  <c r="H74" i="32"/>
  <c r="H75" i="32"/>
  <c r="H76" i="32"/>
  <c r="H77" i="32"/>
  <c r="H78" i="32"/>
  <c r="H79" i="32"/>
  <c r="H80" i="32"/>
  <c r="H81" i="32"/>
  <c r="H82" i="32"/>
  <c r="H83" i="32"/>
  <c r="H84" i="32"/>
  <c r="H85" i="32"/>
  <c r="H86" i="32"/>
  <c r="H87" i="32"/>
  <c r="H88" i="32"/>
  <c r="H89" i="32"/>
  <c r="H90" i="32"/>
  <c r="H91" i="32"/>
  <c r="H92" i="32"/>
  <c r="H93" i="32"/>
  <c r="H94" i="32"/>
  <c r="H95" i="32"/>
  <c r="H96" i="32"/>
  <c r="H97" i="32"/>
  <c r="H98" i="32"/>
  <c r="H99" i="32"/>
  <c r="H100" i="32"/>
  <c r="H101" i="32"/>
  <c r="H102" i="32"/>
  <c r="H103" i="32"/>
  <c r="H104" i="32"/>
  <c r="H105" i="32"/>
  <c r="H106" i="32"/>
  <c r="H107" i="32"/>
  <c r="H108" i="32"/>
  <c r="H109" i="32"/>
  <c r="H110" i="32"/>
  <c r="H111" i="32"/>
  <c r="H112" i="32"/>
  <c r="H113" i="32"/>
  <c r="H114" i="32"/>
  <c r="H115" i="32"/>
  <c r="H116" i="32"/>
  <c r="H117" i="32"/>
  <c r="H118" i="32"/>
  <c r="H119" i="32"/>
  <c r="H120" i="32"/>
  <c r="H121" i="32"/>
  <c r="H122" i="32"/>
  <c r="H123" i="32"/>
  <c r="H124" i="32"/>
  <c r="H125" i="32"/>
  <c r="H126" i="32"/>
  <c r="H127" i="32"/>
  <c r="H128" i="32"/>
  <c r="H129" i="32"/>
  <c r="H130" i="32"/>
  <c r="H131" i="32"/>
  <c r="H132" i="32"/>
  <c r="H133" i="32"/>
  <c r="H134" i="32"/>
  <c r="H135" i="32"/>
  <c r="H136" i="32"/>
  <c r="H137" i="32"/>
  <c r="H138" i="32"/>
  <c r="H139" i="32"/>
  <c r="H140" i="32"/>
  <c r="H141" i="32"/>
  <c r="H142" i="32"/>
  <c r="H143" i="32"/>
  <c r="H144" i="32"/>
  <c r="H145" i="32"/>
  <c r="H146" i="32"/>
  <c r="H147" i="32"/>
  <c r="H148" i="32"/>
  <c r="H149" i="32"/>
  <c r="H150" i="32"/>
  <c r="H151" i="32"/>
  <c r="H152" i="32"/>
  <c r="H153" i="32"/>
  <c r="H154" i="32"/>
  <c r="H155" i="32"/>
  <c r="H156" i="32"/>
  <c r="H157" i="32"/>
  <c r="H158" i="32"/>
  <c r="H159" i="32"/>
  <c r="H160" i="32"/>
  <c r="H161" i="32"/>
  <c r="H162" i="32"/>
  <c r="H163" i="32"/>
  <c r="H164" i="32"/>
  <c r="H165" i="32"/>
  <c r="H166" i="32"/>
  <c r="H167" i="32"/>
  <c r="H168" i="32"/>
  <c r="H169" i="32"/>
  <c r="H170" i="32"/>
  <c r="H171" i="32"/>
  <c r="H172" i="32"/>
  <c r="H173" i="32"/>
  <c r="H174" i="32"/>
  <c r="H175" i="32"/>
  <c r="H176" i="32"/>
  <c r="H177" i="32"/>
  <c r="H178" i="32"/>
  <c r="H179" i="32"/>
  <c r="H180" i="32"/>
  <c r="H181" i="32"/>
  <c r="H182" i="32"/>
  <c r="H183" i="32"/>
  <c r="H184" i="32"/>
  <c r="H185" i="32"/>
  <c r="H186" i="32"/>
  <c r="H187" i="32"/>
  <c r="H188" i="32"/>
  <c r="H189" i="32"/>
  <c r="H190" i="32"/>
  <c r="H191" i="32"/>
  <c r="H192" i="32"/>
  <c r="H193" i="32"/>
  <c r="H194" i="32"/>
  <c r="H195" i="32"/>
  <c r="H196" i="32"/>
  <c r="H197" i="32"/>
  <c r="H198" i="32"/>
  <c r="H199" i="32"/>
  <c r="H200" i="32"/>
  <c r="H201" i="32"/>
  <c r="H202" i="32"/>
  <c r="H203" i="32"/>
  <c r="H204" i="32"/>
  <c r="H205" i="32"/>
  <c r="H206" i="32"/>
  <c r="H207" i="32"/>
  <c r="H208" i="32"/>
  <c r="H209" i="32"/>
  <c r="H210" i="32"/>
  <c r="H211" i="32"/>
  <c r="H212" i="32"/>
  <c r="H213" i="32"/>
  <c r="H214" i="32"/>
  <c r="H215" i="32"/>
  <c r="H216" i="32"/>
  <c r="H217" i="32"/>
  <c r="H218" i="32"/>
  <c r="H219" i="32"/>
  <c r="H220" i="32"/>
  <c r="H221" i="32"/>
  <c r="H222" i="32"/>
  <c r="H223" i="32"/>
  <c r="H224" i="32"/>
  <c r="H225" i="32"/>
  <c r="H226" i="32"/>
  <c r="H227" i="32"/>
  <c r="H228" i="32"/>
  <c r="H229" i="32"/>
  <c r="H230" i="32"/>
  <c r="H231" i="32"/>
  <c r="H232" i="32"/>
  <c r="H233" i="32"/>
  <c r="H234" i="32"/>
  <c r="H235" i="32"/>
  <c r="H236" i="32"/>
  <c r="H237" i="32"/>
  <c r="H238" i="32"/>
  <c r="H239" i="32"/>
  <c r="H240" i="32"/>
  <c r="H241" i="32"/>
  <c r="H242" i="32"/>
  <c r="H243" i="32"/>
  <c r="H244" i="32"/>
  <c r="H245" i="32"/>
  <c r="H246" i="32"/>
  <c r="H247" i="32"/>
  <c r="H248" i="32"/>
  <c r="H249" i="32"/>
  <c r="H250" i="32"/>
  <c r="H251" i="32"/>
  <c r="H252" i="32"/>
  <c r="H253" i="32"/>
  <c r="H254" i="32"/>
  <c r="H255" i="32"/>
  <c r="H256" i="32"/>
  <c r="H257" i="32"/>
  <c r="H258" i="32"/>
  <c r="H259" i="32"/>
  <c r="H260" i="32"/>
  <c r="H261" i="32"/>
  <c r="H262" i="32"/>
  <c r="H263" i="32"/>
  <c r="H264" i="32"/>
  <c r="H265" i="32"/>
  <c r="H266" i="32"/>
  <c r="H267" i="32"/>
  <c r="H268" i="32"/>
  <c r="H269" i="32"/>
  <c r="H270" i="32"/>
  <c r="H271" i="32"/>
  <c r="H272" i="32"/>
  <c r="H273" i="32"/>
  <c r="H274" i="32"/>
  <c r="H275" i="32"/>
  <c r="H276" i="32"/>
  <c r="H277" i="32"/>
  <c r="H278" i="32"/>
  <c r="H279" i="32"/>
  <c r="H280" i="32"/>
  <c r="H281" i="32"/>
  <c r="H282" i="32"/>
  <c r="H283" i="32"/>
  <c r="H284" i="32"/>
  <c r="H285" i="32"/>
  <c r="H286" i="32"/>
  <c r="H287" i="32"/>
  <c r="H288" i="32"/>
  <c r="H289" i="32"/>
  <c r="H290" i="32"/>
  <c r="H291" i="32"/>
  <c r="H292" i="32"/>
  <c r="H293" i="32"/>
  <c r="H294" i="32"/>
  <c r="H295" i="32"/>
  <c r="H296" i="32"/>
  <c r="H297" i="32"/>
  <c r="H298" i="32"/>
  <c r="H299" i="32"/>
  <c r="H300" i="32"/>
  <c r="H301" i="32"/>
  <c r="H302" i="32"/>
  <c r="H303" i="32"/>
  <c r="H304" i="32"/>
  <c r="H305" i="32"/>
  <c r="H306" i="32"/>
  <c r="H307" i="32"/>
  <c r="H308" i="32"/>
  <c r="H309" i="32"/>
  <c r="H310" i="32"/>
  <c r="H311" i="32"/>
  <c r="H312" i="32"/>
  <c r="H313" i="32"/>
  <c r="H314" i="32"/>
  <c r="H315" i="32"/>
  <c r="H316" i="32"/>
  <c r="H317" i="32"/>
  <c r="H318" i="32"/>
  <c r="H319" i="32"/>
  <c r="H320" i="32"/>
  <c r="H321" i="32"/>
  <c r="H322" i="32"/>
  <c r="H323" i="32"/>
  <c r="H324" i="32"/>
  <c r="H325" i="32"/>
  <c r="H326" i="32"/>
  <c r="H327" i="32"/>
  <c r="H328" i="32"/>
  <c r="H329" i="32"/>
  <c r="H330" i="32"/>
  <c r="H331" i="32"/>
  <c r="H332" i="32"/>
  <c r="H333" i="32"/>
  <c r="H334" i="32"/>
  <c r="H335" i="32"/>
  <c r="H336" i="32"/>
  <c r="H337" i="32"/>
  <c r="H338" i="32"/>
  <c r="H339" i="32"/>
  <c r="H340" i="32"/>
  <c r="H341" i="32"/>
  <c r="H342" i="32"/>
  <c r="H343" i="32"/>
  <c r="H344" i="32"/>
  <c r="H345" i="32"/>
  <c r="H346" i="32"/>
  <c r="H347" i="32"/>
  <c r="H348" i="32"/>
  <c r="H349" i="32"/>
  <c r="H350" i="32"/>
  <c r="H351" i="32"/>
  <c r="H352" i="32"/>
  <c r="H353" i="32"/>
  <c r="H354" i="32"/>
  <c r="H355" i="32"/>
  <c r="H356" i="32"/>
  <c r="H357" i="32"/>
  <c r="H358" i="32"/>
  <c r="H359" i="32"/>
  <c r="H360" i="32"/>
  <c r="H361" i="32"/>
  <c r="H362" i="32"/>
  <c r="H363" i="32"/>
  <c r="H364" i="32"/>
  <c r="H365" i="32"/>
  <c r="H366" i="32"/>
  <c r="H367" i="32"/>
  <c r="H368" i="32"/>
  <c r="H369" i="32"/>
  <c r="H370" i="32"/>
  <c r="H371" i="32"/>
  <c r="H372" i="32"/>
  <c r="H373" i="32"/>
  <c r="H374" i="32"/>
  <c r="H375" i="32"/>
  <c r="H376" i="32"/>
  <c r="H377" i="32"/>
  <c r="H378" i="32"/>
  <c r="H379" i="32"/>
  <c r="H380" i="32"/>
  <c r="H381" i="32"/>
  <c r="H382" i="32"/>
  <c r="H383" i="32"/>
  <c r="H384" i="32"/>
  <c r="H385" i="32"/>
  <c r="H386" i="32"/>
  <c r="H387" i="32"/>
  <c r="H388" i="32"/>
  <c r="H389" i="32"/>
  <c r="H390" i="32"/>
  <c r="H391" i="32"/>
  <c r="H392" i="32"/>
  <c r="H393" i="32"/>
  <c r="H394" i="32"/>
  <c r="H395" i="32"/>
  <c r="H396" i="32"/>
  <c r="H397" i="32"/>
  <c r="H398" i="32"/>
  <c r="H399" i="32"/>
  <c r="H400" i="32"/>
  <c r="H401" i="32"/>
  <c r="H402" i="32"/>
  <c r="H403" i="32"/>
  <c r="H404" i="32"/>
  <c r="H405" i="32"/>
  <c r="H406" i="32"/>
  <c r="H407" i="32"/>
  <c r="H408" i="32"/>
  <c r="H409" i="32"/>
  <c r="H410" i="32"/>
  <c r="H411" i="32"/>
  <c r="H412" i="32"/>
  <c r="H413" i="32"/>
  <c r="H414" i="32"/>
  <c r="H415" i="32"/>
  <c r="H416" i="32"/>
  <c r="H417" i="32"/>
  <c r="H418" i="32"/>
  <c r="H419" i="32"/>
  <c r="H420" i="32"/>
  <c r="H421" i="32"/>
  <c r="H422" i="32"/>
  <c r="H423" i="32"/>
  <c r="H424" i="32"/>
  <c r="H425" i="32"/>
  <c r="H426" i="32"/>
  <c r="H427" i="32"/>
  <c r="H428" i="32"/>
  <c r="H429" i="32"/>
  <c r="H430" i="32"/>
  <c r="H431" i="32"/>
  <c r="H432" i="32"/>
  <c r="H433" i="32"/>
  <c r="H434" i="32"/>
  <c r="H435" i="32"/>
  <c r="H436" i="32"/>
  <c r="H437" i="32"/>
  <c r="H438" i="32"/>
  <c r="H439" i="32"/>
  <c r="H440" i="32"/>
  <c r="H441" i="32"/>
  <c r="H442" i="32"/>
  <c r="H443" i="32"/>
  <c r="H444" i="32"/>
  <c r="H445" i="32"/>
  <c r="H446" i="32"/>
  <c r="H447" i="32"/>
  <c r="H448" i="32"/>
  <c r="H449" i="32"/>
  <c r="H450" i="32"/>
  <c r="H451" i="32"/>
  <c r="H452" i="32"/>
  <c r="H453" i="32"/>
  <c r="H454" i="32"/>
  <c r="H455" i="32"/>
  <c r="H456" i="32"/>
  <c r="H457" i="32"/>
  <c r="H458" i="32"/>
  <c r="H459" i="32"/>
  <c r="H460" i="32"/>
  <c r="H461" i="32"/>
  <c r="H462" i="32"/>
  <c r="H463" i="32"/>
  <c r="H464" i="32"/>
  <c r="H465" i="32"/>
  <c r="H466" i="32"/>
  <c r="H467" i="32"/>
  <c r="H468" i="32"/>
  <c r="H469" i="32"/>
  <c r="H470" i="32"/>
  <c r="H471" i="32"/>
  <c r="H472" i="32"/>
  <c r="H473" i="32"/>
  <c r="H474" i="32"/>
  <c r="H475" i="32"/>
  <c r="H476" i="32"/>
  <c r="H477" i="32"/>
  <c r="H478" i="32"/>
  <c r="H479" i="32"/>
  <c r="H480" i="32"/>
  <c r="H481" i="32"/>
  <c r="H482" i="32"/>
  <c r="H483" i="32"/>
  <c r="H484" i="32"/>
  <c r="H485" i="32"/>
  <c r="H486" i="32"/>
  <c r="H487" i="32"/>
  <c r="H488" i="32"/>
  <c r="H489" i="32"/>
  <c r="H490" i="32"/>
  <c r="H491" i="32"/>
  <c r="H492" i="32"/>
  <c r="H493" i="32"/>
  <c r="H494" i="32"/>
  <c r="H495" i="32"/>
  <c r="H496" i="32"/>
  <c r="H497" i="32"/>
  <c r="H498" i="32"/>
  <c r="H499" i="32"/>
  <c r="H500" i="32"/>
  <c r="H501" i="32"/>
  <c r="H502" i="32"/>
  <c r="H503" i="32"/>
  <c r="H504" i="32"/>
  <c r="H505" i="32"/>
  <c r="H506" i="32"/>
  <c r="H507" i="32"/>
  <c r="H508" i="32"/>
  <c r="H509" i="32"/>
  <c r="H510" i="32"/>
  <c r="H511" i="32"/>
  <c r="H512" i="32"/>
  <c r="H513" i="32"/>
  <c r="H514" i="32"/>
  <c r="H515" i="32"/>
  <c r="H516" i="32"/>
  <c r="H517" i="32"/>
  <c r="H518" i="32"/>
  <c r="H519" i="32"/>
  <c r="H520" i="32"/>
  <c r="H521" i="32"/>
  <c r="H522" i="32"/>
  <c r="H523" i="32"/>
  <c r="H524" i="32"/>
  <c r="H525" i="32"/>
  <c r="H526" i="32"/>
  <c r="H527" i="32"/>
  <c r="H528" i="32"/>
  <c r="H529" i="32"/>
  <c r="H530" i="32"/>
  <c r="H531" i="32"/>
  <c r="H532" i="32"/>
  <c r="H533" i="32"/>
  <c r="H534" i="32"/>
  <c r="H535" i="32"/>
  <c r="H536" i="32"/>
  <c r="H537" i="32"/>
  <c r="H538" i="32"/>
  <c r="H539" i="32"/>
  <c r="H540" i="32"/>
  <c r="H541" i="32"/>
  <c r="H542" i="32"/>
  <c r="H543" i="32"/>
  <c r="H544" i="32"/>
  <c r="H545" i="32"/>
  <c r="H546" i="32"/>
  <c r="H547" i="32"/>
  <c r="H548" i="32"/>
  <c r="H549" i="32"/>
  <c r="H550" i="32"/>
  <c r="H551" i="32"/>
  <c r="H552" i="32"/>
  <c r="H553" i="32"/>
  <c r="H554" i="32"/>
  <c r="H555" i="32"/>
  <c r="H556" i="32"/>
  <c r="H557" i="32"/>
  <c r="H558" i="32"/>
  <c r="H559" i="32"/>
  <c r="H560" i="32"/>
  <c r="H561" i="32"/>
  <c r="H562" i="32"/>
  <c r="H563" i="32"/>
  <c r="H564" i="32"/>
  <c r="H565" i="32"/>
  <c r="H566" i="32"/>
  <c r="H567" i="32"/>
  <c r="H568" i="32"/>
  <c r="H569" i="32"/>
  <c r="H570" i="32"/>
  <c r="H571" i="32"/>
  <c r="H572" i="32"/>
  <c r="H573" i="32"/>
  <c r="H574" i="32"/>
  <c r="H575" i="32"/>
  <c r="H576" i="32"/>
  <c r="H577" i="32"/>
  <c r="H578" i="32"/>
  <c r="H579" i="32"/>
  <c r="H580" i="32"/>
  <c r="H581" i="32"/>
  <c r="H582" i="32"/>
  <c r="H583" i="32"/>
  <c r="H584" i="32"/>
  <c r="H585" i="32"/>
  <c r="H586" i="32"/>
  <c r="H587" i="32"/>
  <c r="H588" i="32"/>
  <c r="H589" i="32"/>
  <c r="H590" i="32"/>
  <c r="H591" i="32"/>
  <c r="H592" i="32"/>
  <c r="H593" i="32"/>
  <c r="H594" i="32"/>
  <c r="H595" i="32"/>
  <c r="H596" i="32"/>
  <c r="H597" i="32"/>
  <c r="H598" i="32"/>
  <c r="H599" i="32"/>
  <c r="H600" i="32"/>
  <c r="H601" i="32"/>
  <c r="H602" i="32"/>
  <c r="H603" i="32"/>
  <c r="H604" i="32"/>
  <c r="H605" i="32"/>
  <c r="H606" i="32"/>
  <c r="H607" i="32"/>
  <c r="H608" i="32"/>
  <c r="H609" i="32"/>
  <c r="H610" i="32"/>
  <c r="H611" i="32"/>
  <c r="H612" i="32"/>
  <c r="H613" i="32"/>
  <c r="H614" i="32"/>
  <c r="H615" i="32"/>
  <c r="H616" i="32"/>
  <c r="H617" i="32"/>
  <c r="H618" i="32"/>
  <c r="H619" i="32"/>
  <c r="H620" i="32"/>
  <c r="H621" i="32"/>
  <c r="H622" i="32"/>
  <c r="H623" i="32"/>
  <c r="H624" i="32"/>
  <c r="H625" i="32"/>
  <c r="H626" i="32"/>
  <c r="H627" i="32"/>
  <c r="H628" i="32"/>
  <c r="H629" i="32"/>
  <c r="H630" i="32"/>
  <c r="H631" i="32"/>
  <c r="H632" i="32"/>
  <c r="H633" i="32"/>
  <c r="H634" i="32"/>
  <c r="H635" i="32"/>
  <c r="H636" i="32"/>
  <c r="H637" i="32"/>
  <c r="H638" i="32"/>
  <c r="H639" i="32"/>
  <c r="H640" i="32"/>
  <c r="H641" i="32"/>
  <c r="H642" i="32"/>
  <c r="H643" i="32"/>
  <c r="H644" i="32"/>
  <c r="H645" i="32"/>
  <c r="H646" i="32"/>
  <c r="H647" i="32"/>
  <c r="H648" i="32"/>
  <c r="H649" i="32"/>
  <c r="H650" i="32"/>
  <c r="H651" i="32"/>
  <c r="H652" i="32"/>
  <c r="H653" i="32"/>
  <c r="H654" i="32"/>
  <c r="H655" i="32"/>
  <c r="H656" i="32"/>
  <c r="H657" i="32"/>
  <c r="H658" i="32"/>
  <c r="H659" i="32"/>
  <c r="H660" i="32"/>
  <c r="H661" i="32"/>
  <c r="H662" i="32"/>
  <c r="H663" i="32"/>
  <c r="H664" i="32"/>
  <c r="H665" i="32"/>
  <c r="H666" i="32"/>
  <c r="H667" i="32"/>
  <c r="H668" i="32"/>
  <c r="H669" i="32"/>
  <c r="H670" i="32"/>
  <c r="H671" i="32"/>
  <c r="H672" i="32"/>
  <c r="H673" i="32"/>
  <c r="H674" i="32"/>
  <c r="H675" i="32"/>
  <c r="H676" i="32"/>
  <c r="H677" i="32"/>
  <c r="H678" i="32"/>
  <c r="H679" i="32"/>
  <c r="H680" i="32"/>
  <c r="H681" i="32"/>
  <c r="H682" i="32"/>
  <c r="H683" i="32"/>
  <c r="H684" i="32"/>
  <c r="H685" i="32"/>
  <c r="H686" i="32"/>
  <c r="H687" i="32"/>
  <c r="H688" i="32"/>
  <c r="H689" i="32"/>
  <c r="H690" i="32"/>
  <c r="H691" i="32"/>
  <c r="H692" i="32"/>
  <c r="H693" i="32"/>
  <c r="H694" i="32"/>
  <c r="H695" i="32"/>
  <c r="H696" i="32"/>
  <c r="H697" i="32"/>
  <c r="H698" i="32"/>
  <c r="H699" i="32"/>
  <c r="H700" i="32"/>
  <c r="H701" i="32"/>
  <c r="H702" i="32"/>
  <c r="H703" i="32"/>
  <c r="H704" i="32"/>
  <c r="H705" i="32"/>
  <c r="H706" i="32"/>
  <c r="H707" i="32"/>
  <c r="H708" i="32"/>
  <c r="H709" i="32"/>
  <c r="H710" i="32"/>
  <c r="H711" i="32"/>
  <c r="H712" i="32"/>
  <c r="H713" i="32"/>
  <c r="H714" i="32"/>
  <c r="H715" i="32"/>
  <c r="H716" i="32"/>
  <c r="H717" i="32"/>
  <c r="H718" i="32"/>
  <c r="H719" i="32"/>
  <c r="H720" i="32"/>
  <c r="H721" i="32"/>
  <c r="H722" i="32"/>
  <c r="H723" i="32"/>
  <c r="H724" i="32"/>
  <c r="H725" i="32"/>
  <c r="H726" i="32"/>
  <c r="H727" i="32"/>
  <c r="H728" i="32"/>
  <c r="H729" i="32"/>
  <c r="H730" i="32"/>
  <c r="H731" i="32"/>
  <c r="H732" i="32"/>
  <c r="H733" i="32"/>
  <c r="H734" i="32"/>
  <c r="H735" i="32"/>
  <c r="H736" i="32"/>
  <c r="H737" i="32"/>
  <c r="H738" i="32"/>
  <c r="H739" i="32"/>
  <c r="H740" i="32"/>
  <c r="H741" i="32"/>
  <c r="H742" i="32"/>
  <c r="H743" i="32"/>
  <c r="H744" i="32"/>
  <c r="H745" i="32"/>
  <c r="H746" i="32"/>
  <c r="H747" i="32"/>
  <c r="H748" i="32"/>
  <c r="H749" i="32"/>
  <c r="H750" i="32"/>
  <c r="H751" i="32"/>
  <c r="H752" i="32"/>
  <c r="H753" i="32"/>
  <c r="H754" i="32"/>
  <c r="H755" i="32"/>
  <c r="H756" i="32"/>
  <c r="H757" i="32"/>
  <c r="H758" i="32"/>
  <c r="H759" i="32"/>
  <c r="H760" i="32"/>
  <c r="H761" i="32"/>
  <c r="H762" i="32"/>
  <c r="H763" i="32"/>
  <c r="H764" i="32"/>
  <c r="H765" i="32"/>
  <c r="H766" i="32"/>
  <c r="H767" i="32"/>
  <c r="H768" i="32"/>
  <c r="H769" i="32"/>
  <c r="H770" i="32"/>
  <c r="H771" i="32"/>
  <c r="H772" i="32"/>
  <c r="H773" i="32"/>
  <c r="H774" i="32"/>
  <c r="H775" i="32"/>
  <c r="H776" i="32"/>
  <c r="H777" i="32"/>
  <c r="H778" i="32"/>
  <c r="H779" i="32"/>
  <c r="H780" i="32"/>
  <c r="H781" i="32"/>
  <c r="H782" i="32"/>
  <c r="H783" i="32"/>
  <c r="H784" i="32"/>
  <c r="H785" i="32"/>
  <c r="H786" i="32"/>
  <c r="H787" i="32"/>
  <c r="H788" i="32"/>
  <c r="H789" i="32"/>
  <c r="H790" i="32"/>
  <c r="H791" i="32"/>
  <c r="H792" i="32"/>
  <c r="H793" i="32"/>
  <c r="H794" i="32"/>
  <c r="H795" i="32"/>
  <c r="H796" i="32"/>
  <c r="H797" i="32"/>
  <c r="H798" i="32"/>
  <c r="H799" i="32"/>
  <c r="H800" i="32"/>
  <c r="H801" i="32"/>
  <c r="H802" i="32"/>
  <c r="H803" i="32"/>
  <c r="H804" i="32"/>
  <c r="H805" i="32"/>
  <c r="H806" i="32"/>
  <c r="H807" i="32"/>
  <c r="H808" i="32"/>
  <c r="H809" i="32"/>
  <c r="H810" i="32"/>
  <c r="H811" i="32"/>
  <c r="H812" i="32"/>
  <c r="H813" i="32"/>
  <c r="H814" i="32"/>
  <c r="H815" i="32"/>
  <c r="H816" i="32"/>
  <c r="H817" i="32"/>
  <c r="H818" i="32"/>
  <c r="H819" i="32"/>
  <c r="H820" i="32"/>
  <c r="H821" i="32"/>
  <c r="H822" i="32"/>
  <c r="H823" i="32"/>
  <c r="H824" i="32"/>
  <c r="H825" i="32"/>
  <c r="H826" i="32"/>
  <c r="H827" i="32"/>
  <c r="H828" i="32"/>
  <c r="H829" i="32"/>
  <c r="H830" i="32"/>
  <c r="H831" i="32"/>
  <c r="H832" i="32"/>
  <c r="H833" i="32"/>
  <c r="H834" i="32"/>
  <c r="H835" i="32"/>
  <c r="H836" i="32"/>
  <c r="H837" i="32"/>
  <c r="H838" i="32"/>
  <c r="H839" i="32"/>
  <c r="H840" i="32"/>
  <c r="H841" i="32"/>
  <c r="H842" i="32"/>
  <c r="H843" i="32"/>
  <c r="H844" i="32"/>
  <c r="H845" i="32"/>
  <c r="H846" i="32"/>
  <c r="H847" i="32"/>
  <c r="H848" i="32"/>
  <c r="H849" i="32"/>
  <c r="H850" i="32"/>
  <c r="H851" i="32"/>
  <c r="H852" i="32"/>
  <c r="H853" i="32"/>
  <c r="H854" i="32"/>
  <c r="H855" i="32"/>
  <c r="H856" i="32"/>
  <c r="H857" i="32"/>
  <c r="H858" i="32"/>
  <c r="H859" i="32"/>
  <c r="H860" i="32"/>
  <c r="H861" i="32"/>
  <c r="H862" i="32"/>
  <c r="H863" i="32"/>
  <c r="H864" i="32"/>
  <c r="H865" i="32"/>
  <c r="H866" i="32"/>
  <c r="H867" i="32"/>
  <c r="H868" i="32"/>
  <c r="H869" i="32"/>
  <c r="H870" i="32"/>
  <c r="H871" i="32"/>
  <c r="H872" i="32"/>
  <c r="H873" i="32"/>
  <c r="H874" i="32"/>
  <c r="H875" i="32"/>
  <c r="H876" i="32"/>
  <c r="H877" i="32"/>
  <c r="H878" i="32"/>
  <c r="H879" i="32"/>
  <c r="H880" i="32"/>
  <c r="H881" i="32"/>
  <c r="H882" i="32"/>
  <c r="H883" i="32"/>
  <c r="H884" i="32"/>
  <c r="H885" i="32"/>
  <c r="H886" i="32"/>
  <c r="H887" i="32"/>
  <c r="H888" i="32"/>
  <c r="H889" i="32"/>
  <c r="H890" i="32"/>
  <c r="H891" i="32"/>
  <c r="H892" i="32"/>
  <c r="H893" i="32"/>
  <c r="H894" i="32"/>
  <c r="H895" i="32"/>
  <c r="H896" i="32"/>
  <c r="H897" i="32"/>
  <c r="H898" i="32"/>
  <c r="H899" i="32"/>
  <c r="H900" i="32"/>
  <c r="H901" i="32"/>
  <c r="H902" i="32"/>
  <c r="H903" i="32"/>
  <c r="H904" i="32"/>
  <c r="H905" i="32"/>
  <c r="H906" i="32"/>
  <c r="H907" i="32"/>
  <c r="H908" i="32"/>
  <c r="H909" i="32"/>
  <c r="H910" i="32"/>
  <c r="H911" i="32"/>
  <c r="H912" i="32"/>
  <c r="H913" i="32"/>
  <c r="H914" i="32"/>
  <c r="H915" i="32"/>
  <c r="H916" i="32"/>
  <c r="H917" i="32"/>
  <c r="H918" i="32"/>
  <c r="H919" i="32"/>
  <c r="H920" i="32"/>
  <c r="H921" i="32"/>
  <c r="H922" i="32"/>
  <c r="H923" i="32"/>
  <c r="H924" i="32"/>
  <c r="H925" i="32"/>
  <c r="H926" i="32"/>
  <c r="H927" i="32"/>
  <c r="H928" i="32"/>
  <c r="H929" i="32"/>
  <c r="H930" i="32"/>
  <c r="H931" i="32"/>
  <c r="H932" i="32"/>
  <c r="H933" i="32"/>
  <c r="H934" i="32"/>
  <c r="H935" i="32"/>
  <c r="H936" i="32"/>
  <c r="H937" i="32"/>
  <c r="H938" i="32"/>
  <c r="H939" i="32"/>
  <c r="H940" i="32"/>
  <c r="H941" i="32"/>
  <c r="H942" i="32"/>
  <c r="H943" i="32"/>
  <c r="H944" i="32"/>
  <c r="H945" i="32"/>
  <c r="H946" i="32"/>
  <c r="H947" i="32"/>
  <c r="H948" i="32"/>
  <c r="H949" i="32"/>
  <c r="H950" i="32"/>
  <c r="H951" i="32"/>
  <c r="H952" i="32"/>
  <c r="H953" i="32"/>
  <c r="H954" i="32"/>
  <c r="H955" i="32"/>
  <c r="H956" i="32"/>
  <c r="H957" i="32"/>
  <c r="H958" i="32"/>
  <c r="H959" i="32"/>
  <c r="H960" i="32"/>
  <c r="H961" i="32"/>
  <c r="H962" i="32"/>
  <c r="H963" i="32"/>
  <c r="H964" i="32"/>
  <c r="H965" i="32"/>
  <c r="H966" i="32"/>
  <c r="H967" i="32"/>
  <c r="H968" i="32"/>
  <c r="H969" i="32"/>
  <c r="H970" i="32"/>
  <c r="H971" i="32"/>
  <c r="H972" i="32"/>
  <c r="H973" i="32"/>
  <c r="H974" i="32"/>
  <c r="H975" i="32"/>
  <c r="H976" i="32"/>
  <c r="H977" i="32"/>
  <c r="H978" i="32"/>
  <c r="H979" i="32"/>
  <c r="H980" i="32"/>
  <c r="H981" i="32"/>
  <c r="H982" i="32"/>
  <c r="H983" i="32"/>
  <c r="H984" i="32"/>
  <c r="H985" i="32"/>
  <c r="H986" i="32"/>
  <c r="H987" i="32"/>
  <c r="H988" i="32"/>
  <c r="H989" i="32"/>
  <c r="H990" i="32"/>
  <c r="H991" i="32"/>
  <c r="H992" i="32"/>
  <c r="H993" i="32"/>
  <c r="H994" i="32"/>
  <c r="H995" i="32"/>
  <c r="H996" i="32"/>
  <c r="H997" i="32"/>
  <c r="H998" i="32"/>
  <c r="H999" i="32"/>
  <c r="H1000" i="32"/>
  <c r="H1001" i="32"/>
  <c r="H1002" i="32"/>
  <c r="H1003" i="32"/>
  <c r="H1004" i="32"/>
  <c r="H1005" i="32"/>
  <c r="H1006" i="32"/>
  <c r="H1007" i="32"/>
  <c r="H1008" i="32"/>
  <c r="H1009" i="32"/>
  <c r="H1010" i="32"/>
  <c r="H1011" i="32"/>
  <c r="H1012" i="32"/>
  <c r="H1013" i="32"/>
  <c r="H1014" i="32"/>
  <c r="H1015" i="32"/>
  <c r="H1016" i="32"/>
  <c r="H1017" i="32"/>
  <c r="H1018" i="32"/>
  <c r="H1019" i="32"/>
  <c r="H1020" i="32"/>
  <c r="H1021" i="32"/>
  <c r="H1022" i="32"/>
  <c r="H1023" i="32"/>
  <c r="H1024" i="32"/>
  <c r="H1025" i="32"/>
  <c r="H1026" i="32"/>
  <c r="H1027" i="32"/>
  <c r="H1028" i="32"/>
  <c r="H1029" i="32"/>
  <c r="H1030" i="32"/>
  <c r="H1031" i="32"/>
  <c r="H1032" i="32"/>
  <c r="H1033" i="32"/>
  <c r="H1034" i="32"/>
  <c r="H1035" i="32"/>
  <c r="H1036" i="32"/>
  <c r="H1037" i="32"/>
  <c r="H1038" i="32"/>
  <c r="H1039" i="32"/>
  <c r="H1040" i="32"/>
  <c r="H1041" i="32"/>
  <c r="H1042" i="32"/>
  <c r="H1043" i="32"/>
  <c r="H1044" i="32"/>
  <c r="H1045" i="32"/>
  <c r="H1046" i="32"/>
  <c r="H1047" i="32"/>
  <c r="H1048" i="32"/>
  <c r="H1049" i="32"/>
  <c r="H1050" i="32"/>
  <c r="H1051" i="32"/>
  <c r="H1052" i="32"/>
  <c r="H1053" i="32"/>
  <c r="H1054" i="32"/>
  <c r="H1055" i="32"/>
  <c r="H1056" i="32"/>
  <c r="H1057" i="32"/>
  <c r="H1058" i="32"/>
  <c r="H1059" i="32"/>
  <c r="H1060" i="32"/>
  <c r="H1061" i="32"/>
  <c r="H1062" i="32"/>
  <c r="H1063" i="32"/>
  <c r="H1064" i="32"/>
  <c r="H1065" i="32"/>
  <c r="H1066" i="32"/>
  <c r="H1067" i="32"/>
  <c r="H1068" i="32"/>
  <c r="H1069" i="32"/>
  <c r="H1070" i="32"/>
  <c r="H1071" i="32"/>
  <c r="H1072" i="32"/>
  <c r="H1073" i="32"/>
  <c r="H1074" i="32"/>
  <c r="H1075" i="32"/>
  <c r="H1076" i="32"/>
  <c r="H1077" i="32"/>
  <c r="H1078" i="32"/>
  <c r="H1079" i="32"/>
  <c r="H1080" i="32"/>
  <c r="H1081" i="32"/>
  <c r="H1082" i="32"/>
  <c r="H1083" i="32"/>
  <c r="H1084" i="32"/>
  <c r="H1085" i="32"/>
  <c r="H1086" i="32"/>
  <c r="H1087" i="32"/>
  <c r="H1088" i="32"/>
  <c r="H1089" i="32"/>
  <c r="H1090" i="32"/>
  <c r="H1091" i="32"/>
  <c r="H1092" i="32"/>
  <c r="H1093" i="32"/>
  <c r="H1094" i="32"/>
  <c r="H1095" i="32"/>
  <c r="H1096" i="32"/>
  <c r="H1097" i="32"/>
  <c r="H1098" i="32"/>
  <c r="H1099" i="32"/>
  <c r="H1100" i="32"/>
  <c r="H1101" i="32"/>
  <c r="H1102" i="32"/>
  <c r="H1103" i="32"/>
  <c r="H1104" i="32"/>
  <c r="H1105" i="32"/>
  <c r="H1106" i="32"/>
  <c r="H1107" i="32"/>
  <c r="H1108" i="32"/>
  <c r="H1109" i="32"/>
  <c r="H1110" i="32"/>
  <c r="H1111" i="32"/>
  <c r="H1112" i="32"/>
  <c r="H1113" i="32"/>
  <c r="H1114" i="32"/>
  <c r="H1115" i="32"/>
  <c r="H1116" i="32"/>
  <c r="H1117" i="32"/>
  <c r="H1118" i="32"/>
  <c r="H1119" i="32"/>
  <c r="H1120" i="32"/>
  <c r="H1121" i="32"/>
  <c r="H1122" i="32"/>
  <c r="H1123" i="32"/>
  <c r="H1124" i="32"/>
  <c r="H1125" i="32"/>
  <c r="H1126" i="32"/>
  <c r="H1127" i="32"/>
  <c r="H1128" i="32"/>
  <c r="H1129" i="32"/>
  <c r="H1130" i="32"/>
  <c r="H1131" i="32"/>
  <c r="H1132" i="32"/>
  <c r="H1133" i="32"/>
  <c r="H1134" i="32"/>
  <c r="H1135" i="32"/>
  <c r="H1136" i="32"/>
  <c r="H1137" i="32"/>
  <c r="H1138" i="32"/>
  <c r="H1139" i="32"/>
  <c r="H1140" i="32"/>
  <c r="H1141" i="32"/>
  <c r="H1142" i="32"/>
  <c r="H1143" i="32"/>
  <c r="H1144" i="32"/>
  <c r="H1145" i="32"/>
  <c r="H1146" i="32"/>
  <c r="H1147" i="32"/>
  <c r="H1148" i="32"/>
  <c r="H1149" i="32"/>
  <c r="H1150" i="32"/>
  <c r="H1151" i="32"/>
  <c r="H1152" i="32"/>
  <c r="H1153" i="32"/>
  <c r="H1154" i="32"/>
  <c r="H1155" i="32"/>
  <c r="H1156" i="32"/>
  <c r="H1157" i="32"/>
  <c r="H1158" i="32"/>
  <c r="H1159" i="32"/>
  <c r="H1160" i="32"/>
  <c r="H1161" i="32"/>
  <c r="H1162" i="32"/>
  <c r="H1163" i="32"/>
  <c r="H1164" i="32"/>
  <c r="H1165" i="32"/>
  <c r="H1166" i="32"/>
  <c r="H1167" i="32"/>
  <c r="H1168" i="32"/>
  <c r="H1169" i="32"/>
  <c r="H1170" i="32"/>
  <c r="H1171" i="32"/>
  <c r="H1172" i="32"/>
  <c r="H1173" i="32"/>
  <c r="H1174" i="32"/>
  <c r="H1175" i="32"/>
  <c r="H1176" i="32"/>
  <c r="H1177" i="32"/>
  <c r="H1178" i="32"/>
  <c r="H1179" i="32"/>
  <c r="H1180" i="32"/>
  <c r="H1181" i="32"/>
  <c r="H1182" i="32"/>
  <c r="H1183" i="32"/>
  <c r="H1184" i="32"/>
  <c r="H1185" i="32"/>
  <c r="H1186" i="32"/>
  <c r="H1187" i="32"/>
  <c r="H1188" i="32"/>
  <c r="H1189" i="32"/>
  <c r="H1190" i="32"/>
  <c r="H1191" i="32"/>
  <c r="H1192" i="32"/>
  <c r="H1193" i="32"/>
  <c r="H1194" i="32"/>
  <c r="H1195" i="32"/>
  <c r="H1196" i="32"/>
  <c r="H1197" i="32"/>
  <c r="H1198" i="32"/>
  <c r="H1199" i="32"/>
  <c r="H1200" i="32"/>
  <c r="H1201" i="32"/>
  <c r="H1202" i="32"/>
  <c r="H1203" i="32"/>
  <c r="H1204" i="32"/>
  <c r="H1205" i="32"/>
  <c r="H1206" i="32"/>
  <c r="H1207" i="32"/>
  <c r="H1208" i="32"/>
  <c r="H1209" i="32"/>
  <c r="H1210" i="32"/>
  <c r="H1211" i="32"/>
  <c r="H1212" i="32"/>
  <c r="H1213" i="32"/>
  <c r="H1214" i="32"/>
  <c r="H1215" i="32"/>
  <c r="H1216" i="32"/>
  <c r="H1217" i="32"/>
  <c r="H1218" i="32"/>
  <c r="H1219" i="32"/>
  <c r="H1220" i="32"/>
  <c r="H1221" i="32"/>
  <c r="H1222" i="32"/>
  <c r="H1223" i="32"/>
  <c r="H1224" i="32"/>
  <c r="H1225" i="32"/>
  <c r="H1226" i="32"/>
  <c r="H1227" i="32"/>
  <c r="H1228" i="32"/>
  <c r="H1229" i="32"/>
  <c r="H1230" i="32"/>
  <c r="H1231" i="32"/>
  <c r="H1232" i="32"/>
  <c r="H1233" i="32"/>
  <c r="H1234" i="32"/>
  <c r="H1235" i="32"/>
  <c r="H1236" i="32"/>
  <c r="H1237" i="32"/>
  <c r="H1238" i="32"/>
  <c r="H1239" i="32"/>
  <c r="H1240" i="32"/>
  <c r="H1241" i="32"/>
  <c r="H1242" i="32"/>
  <c r="H1243" i="32"/>
  <c r="H1244" i="32"/>
  <c r="H1245" i="32"/>
  <c r="H1246" i="32"/>
  <c r="H1247" i="32"/>
  <c r="H1248" i="32"/>
  <c r="H1249" i="32"/>
  <c r="H1250" i="32"/>
  <c r="H1251" i="32"/>
  <c r="H1252" i="32"/>
  <c r="H1253" i="32"/>
  <c r="H1254" i="32"/>
  <c r="H1255" i="32"/>
  <c r="H1256" i="32"/>
  <c r="H1257" i="32"/>
  <c r="H1258" i="32"/>
  <c r="H1259" i="32"/>
  <c r="H1260" i="32"/>
  <c r="H1261" i="32"/>
  <c r="H1262" i="32"/>
  <c r="H1263" i="32"/>
  <c r="H1264" i="32"/>
  <c r="H1265" i="32"/>
  <c r="H1266" i="32"/>
  <c r="H1267" i="32"/>
  <c r="H1268" i="32"/>
  <c r="H1269" i="32"/>
  <c r="H1270" i="32"/>
  <c r="H1271" i="32"/>
  <c r="H1272" i="32"/>
  <c r="H1273" i="32"/>
  <c r="H1274" i="32"/>
  <c r="H1275" i="32"/>
  <c r="H1276" i="32"/>
  <c r="H1277" i="32"/>
  <c r="H1278" i="32"/>
  <c r="H1279" i="32"/>
  <c r="H1280" i="32"/>
  <c r="H1281" i="32"/>
  <c r="H1282" i="32"/>
  <c r="H1283" i="32"/>
  <c r="H1284" i="32"/>
  <c r="H1285" i="32"/>
  <c r="H1286" i="32"/>
  <c r="H1287" i="32"/>
  <c r="H1288" i="32"/>
  <c r="H1289" i="32"/>
  <c r="H1290" i="32"/>
  <c r="H1291" i="32"/>
  <c r="H1292" i="32"/>
  <c r="H1293" i="32"/>
  <c r="H1294" i="32"/>
  <c r="H1295" i="32"/>
  <c r="H1296" i="32"/>
  <c r="H1297" i="32"/>
  <c r="H1298" i="32"/>
  <c r="H1299" i="32"/>
  <c r="H1300" i="32"/>
  <c r="H1301" i="32"/>
  <c r="H1302" i="32"/>
  <c r="H1303" i="32"/>
  <c r="H1304" i="32"/>
  <c r="H1305" i="32"/>
  <c r="H1306" i="32"/>
  <c r="H1307" i="32"/>
  <c r="H1308" i="32"/>
  <c r="H1309" i="32"/>
  <c r="H1310" i="32"/>
  <c r="H1311" i="32"/>
  <c r="H1312" i="32"/>
  <c r="H1313" i="32"/>
  <c r="H1314" i="32"/>
  <c r="H1315" i="32"/>
  <c r="H1316" i="32"/>
  <c r="H1317" i="32"/>
  <c r="H1318" i="32"/>
  <c r="H1319" i="32"/>
  <c r="H1320" i="32"/>
  <c r="H1321" i="32"/>
  <c r="H1322" i="32"/>
  <c r="H1323" i="32"/>
  <c r="H1324" i="32"/>
  <c r="H1325" i="32"/>
  <c r="H1326" i="32"/>
  <c r="H1327" i="32"/>
  <c r="H1328" i="32"/>
  <c r="H1329" i="32"/>
  <c r="H1330" i="32"/>
  <c r="H1331" i="32"/>
  <c r="H1332" i="32"/>
  <c r="H1333" i="32"/>
  <c r="H1334" i="32"/>
  <c r="H1335" i="32"/>
  <c r="H1336" i="32"/>
  <c r="H1337" i="32"/>
  <c r="H1338" i="32"/>
  <c r="H1339" i="32"/>
  <c r="H1340" i="32"/>
  <c r="H1341" i="32"/>
  <c r="H1342" i="32"/>
  <c r="H1343" i="32"/>
  <c r="H1344" i="32"/>
  <c r="H1345" i="32"/>
  <c r="H1346" i="32"/>
  <c r="H1347" i="32"/>
  <c r="H1348" i="32"/>
  <c r="H1349" i="32"/>
  <c r="H1350" i="32"/>
  <c r="H1351" i="32"/>
  <c r="H1352" i="32"/>
  <c r="H1353" i="32"/>
  <c r="H1354" i="32"/>
  <c r="H1355" i="32"/>
  <c r="H1356" i="32"/>
  <c r="H1357" i="32"/>
  <c r="H1358" i="32"/>
  <c r="H1359" i="32"/>
  <c r="H1360" i="32"/>
  <c r="H1361" i="32"/>
  <c r="H1362" i="32"/>
  <c r="H1363" i="32"/>
  <c r="H1364" i="32"/>
  <c r="H1365" i="32"/>
  <c r="H1366" i="32"/>
  <c r="H1367" i="32"/>
  <c r="H1368" i="32"/>
  <c r="H1369" i="32"/>
  <c r="H1370" i="32"/>
  <c r="H1371" i="32"/>
  <c r="H1372" i="32"/>
  <c r="H1373" i="32"/>
  <c r="H1374" i="32"/>
  <c r="H1375" i="32"/>
  <c r="H1376" i="32"/>
  <c r="H1377" i="32"/>
  <c r="H1378" i="32"/>
  <c r="H1379" i="32"/>
  <c r="H1380" i="32"/>
  <c r="H1381" i="32"/>
  <c r="H1382" i="32"/>
  <c r="H1383" i="32"/>
  <c r="H1384" i="32"/>
  <c r="H1385" i="32"/>
  <c r="H1386" i="32"/>
  <c r="H1387" i="32"/>
  <c r="H1388" i="32"/>
  <c r="H1389" i="32"/>
  <c r="H1390" i="32"/>
  <c r="H1391" i="32"/>
  <c r="H1392" i="32"/>
  <c r="H1393" i="32"/>
  <c r="H1394" i="32"/>
  <c r="H1395" i="32"/>
  <c r="H1396" i="32"/>
  <c r="H1397" i="32"/>
  <c r="H1398" i="32"/>
  <c r="H1399" i="32"/>
  <c r="H1400" i="32"/>
  <c r="H1401" i="32"/>
  <c r="H1402" i="32"/>
  <c r="H1403" i="32"/>
  <c r="H1404" i="32"/>
  <c r="H1405" i="32"/>
  <c r="H1406" i="32"/>
  <c r="H1407" i="32"/>
  <c r="H1408" i="32"/>
  <c r="H1409" i="32"/>
  <c r="H1410" i="32"/>
  <c r="H1411" i="32"/>
  <c r="H1412" i="32"/>
  <c r="H1413" i="32"/>
  <c r="H1414" i="32"/>
  <c r="H1415" i="32"/>
  <c r="H1416" i="32"/>
  <c r="H1417" i="32"/>
  <c r="H1418" i="32"/>
  <c r="H1419" i="32"/>
  <c r="H1420" i="32"/>
  <c r="H1421" i="32"/>
  <c r="H1422" i="32"/>
  <c r="H1423" i="32"/>
  <c r="H1424" i="32"/>
  <c r="H1425" i="32"/>
  <c r="H1426" i="32"/>
  <c r="H1427" i="32"/>
  <c r="H1428" i="32"/>
  <c r="H1429" i="32"/>
  <c r="H1430" i="32"/>
  <c r="H1431" i="32"/>
  <c r="H1432" i="32"/>
  <c r="H1433" i="32"/>
  <c r="H1434" i="32"/>
  <c r="H1435" i="32"/>
  <c r="H1436" i="32"/>
  <c r="H1437" i="32"/>
  <c r="H1438" i="32"/>
  <c r="H1439" i="32"/>
  <c r="H1440" i="32"/>
  <c r="H1441" i="32"/>
  <c r="H1442" i="32"/>
  <c r="H1443" i="32"/>
  <c r="H1444" i="32"/>
  <c r="H1445" i="32"/>
  <c r="H1446" i="32"/>
  <c r="H1447" i="32"/>
  <c r="H1448" i="32"/>
  <c r="H1449" i="32"/>
  <c r="H1450" i="32"/>
  <c r="H1451" i="32"/>
  <c r="H1452" i="32"/>
  <c r="H1453" i="32"/>
  <c r="H1454" i="32"/>
  <c r="H1455" i="32"/>
  <c r="H1456" i="32"/>
  <c r="H1457" i="32"/>
  <c r="H1458" i="32"/>
  <c r="H1459" i="32"/>
  <c r="H1460" i="32"/>
  <c r="H1461" i="32"/>
  <c r="H1462" i="32"/>
  <c r="H1463" i="32"/>
  <c r="H1464" i="32"/>
  <c r="H1465" i="32"/>
  <c r="H1466" i="32"/>
  <c r="H1467" i="32"/>
  <c r="H1468" i="32"/>
  <c r="H1469" i="32"/>
  <c r="H1470" i="32"/>
  <c r="H1471" i="32"/>
  <c r="H1472" i="32"/>
  <c r="H1473" i="32"/>
  <c r="H1474" i="32"/>
  <c r="H1475" i="32"/>
  <c r="H1476" i="32"/>
  <c r="H1477" i="32"/>
  <c r="H1478" i="32"/>
  <c r="H1479" i="32"/>
  <c r="H1480" i="32"/>
  <c r="H1481" i="32"/>
  <c r="H1482" i="32"/>
  <c r="H1483" i="32"/>
  <c r="H1484" i="32"/>
  <c r="H1485" i="32"/>
  <c r="H1486" i="32"/>
  <c r="H1487" i="32"/>
  <c r="H1488" i="32"/>
  <c r="H1489" i="32"/>
  <c r="H1490" i="32"/>
  <c r="H1491" i="32"/>
  <c r="H1492" i="32"/>
  <c r="H1493" i="32"/>
  <c r="H1494" i="32"/>
  <c r="H1495" i="32"/>
  <c r="H1496" i="32"/>
  <c r="H1497" i="32"/>
  <c r="H1498" i="32"/>
  <c r="H1499" i="32"/>
  <c r="H1500" i="32"/>
  <c r="H1501" i="32"/>
  <c r="H1502" i="32"/>
  <c r="H1503" i="32"/>
  <c r="H1504" i="32"/>
  <c r="H1505" i="32"/>
  <c r="H1506" i="32"/>
  <c r="H1507" i="32"/>
  <c r="H1508" i="32"/>
  <c r="H1509" i="32"/>
  <c r="H1510" i="32"/>
  <c r="H1511" i="32"/>
  <c r="H1512" i="32"/>
  <c r="H1513" i="32"/>
  <c r="H1514" i="32"/>
  <c r="H1515" i="32"/>
  <c r="H1516" i="32"/>
  <c r="H1517" i="32"/>
  <c r="H1518" i="32"/>
  <c r="H1519" i="32"/>
  <c r="H1520" i="32"/>
  <c r="H1521" i="32"/>
  <c r="H1522" i="32"/>
  <c r="H1523" i="32"/>
  <c r="H1524" i="32"/>
  <c r="H1525" i="32"/>
  <c r="H1526" i="32"/>
  <c r="H1527" i="32"/>
  <c r="H1528" i="32"/>
  <c r="H1529" i="32"/>
  <c r="H1530" i="32"/>
  <c r="H1531" i="32"/>
  <c r="H1532" i="32"/>
  <c r="H1533" i="32"/>
  <c r="H1534" i="32"/>
  <c r="H1535" i="32"/>
  <c r="H1536" i="32"/>
  <c r="H1537" i="32"/>
  <c r="H1538" i="32"/>
  <c r="H1539" i="32"/>
  <c r="H1540" i="32"/>
  <c r="H1541" i="32"/>
  <c r="H1542" i="32"/>
  <c r="H1543" i="32"/>
  <c r="H1544" i="32"/>
  <c r="H1545" i="32"/>
  <c r="H1546" i="32"/>
  <c r="H1547" i="32"/>
  <c r="H1548" i="32"/>
  <c r="H1549" i="32"/>
  <c r="H1550" i="32"/>
  <c r="H1551" i="32"/>
  <c r="H1552" i="32"/>
  <c r="H1553" i="32"/>
  <c r="H1554" i="32"/>
  <c r="H1555" i="32"/>
  <c r="H1556" i="32"/>
  <c r="H1557" i="32"/>
  <c r="H1558" i="32"/>
  <c r="H1559" i="32"/>
  <c r="H1560" i="32"/>
  <c r="H1561" i="32"/>
  <c r="H1562" i="32"/>
  <c r="H1563" i="32"/>
  <c r="H1564" i="32"/>
  <c r="H1565" i="32"/>
  <c r="H1566" i="32"/>
  <c r="H1567" i="32"/>
  <c r="H1568" i="32"/>
  <c r="H1569" i="32"/>
  <c r="H1570" i="32"/>
  <c r="H1571" i="32"/>
  <c r="H1572" i="32"/>
  <c r="H1573" i="32"/>
  <c r="H1574" i="32"/>
  <c r="H1575" i="32"/>
  <c r="H1576" i="32"/>
  <c r="H1577" i="32"/>
  <c r="H1578" i="32"/>
  <c r="H1579" i="32"/>
  <c r="H1580" i="32"/>
  <c r="H1581" i="32"/>
  <c r="H1582" i="32"/>
  <c r="H1583" i="32"/>
  <c r="H1584" i="32"/>
  <c r="H1585" i="32"/>
  <c r="H1586" i="32"/>
  <c r="H1587" i="32"/>
  <c r="H1588" i="32"/>
  <c r="H1589" i="32"/>
  <c r="H1590" i="32"/>
  <c r="H1591" i="32"/>
  <c r="H1592" i="32"/>
  <c r="H1593" i="32"/>
  <c r="H1594" i="32"/>
  <c r="H1595" i="32"/>
  <c r="H1596" i="32"/>
  <c r="H1597" i="32"/>
  <c r="H1598" i="32"/>
  <c r="H1599" i="32"/>
  <c r="H1600" i="32"/>
  <c r="H1601" i="32"/>
  <c r="H1602" i="32"/>
  <c r="H1603" i="32"/>
  <c r="H1604" i="32"/>
  <c r="H1605" i="32"/>
  <c r="H1606" i="32"/>
  <c r="H1607" i="32"/>
  <c r="H1608" i="32"/>
  <c r="H1609" i="32"/>
  <c r="H1610" i="32"/>
  <c r="H1611" i="32"/>
  <c r="H1612" i="32"/>
  <c r="H1613" i="32"/>
  <c r="H1614" i="32"/>
  <c r="H1615" i="32"/>
  <c r="H1616" i="32"/>
  <c r="H1617" i="32"/>
  <c r="H1618" i="32"/>
  <c r="H1619" i="32"/>
  <c r="H1620" i="32"/>
  <c r="H1621" i="32"/>
  <c r="H1622" i="32"/>
  <c r="H1623" i="32"/>
  <c r="H1624" i="32"/>
  <c r="H1625" i="32"/>
  <c r="H1626" i="32"/>
  <c r="H1627" i="32"/>
  <c r="H1628" i="32"/>
  <c r="H1629" i="32"/>
  <c r="H1630" i="32"/>
  <c r="H1631" i="32"/>
  <c r="H1632" i="32"/>
  <c r="H1633" i="32"/>
  <c r="H1634" i="32"/>
  <c r="H1635" i="32"/>
  <c r="H1636" i="32"/>
  <c r="H1637" i="32"/>
  <c r="H1638" i="32"/>
  <c r="H1639" i="32"/>
  <c r="H1640" i="32"/>
  <c r="H1641" i="32"/>
  <c r="H1642" i="32"/>
  <c r="H1643" i="32"/>
  <c r="H1644" i="32"/>
  <c r="H1645" i="32"/>
  <c r="H1646" i="32"/>
  <c r="H1647" i="32"/>
  <c r="H1648" i="32"/>
  <c r="H1649" i="32"/>
  <c r="H1650" i="32"/>
  <c r="H1651" i="32"/>
  <c r="H1652" i="32"/>
  <c r="H1653" i="32"/>
  <c r="H1654" i="32"/>
  <c r="H1655" i="32"/>
  <c r="H1656" i="32"/>
  <c r="H1657" i="32"/>
  <c r="H1658" i="32"/>
  <c r="H1659" i="32"/>
  <c r="H1660" i="32"/>
  <c r="H1661" i="32"/>
  <c r="H1662" i="32"/>
  <c r="H1663" i="32"/>
  <c r="H1664" i="32"/>
  <c r="H1665" i="32"/>
  <c r="H1666" i="32"/>
  <c r="H1667" i="32"/>
  <c r="H1668" i="32"/>
  <c r="H1669" i="32"/>
  <c r="H1670" i="32"/>
  <c r="H1671" i="32"/>
  <c r="H1672" i="32"/>
  <c r="H1673" i="32"/>
  <c r="H1674" i="32"/>
  <c r="H1675" i="32"/>
  <c r="H1676" i="32"/>
  <c r="H1677" i="32"/>
  <c r="H1678" i="32"/>
  <c r="H1679" i="32"/>
  <c r="H1680" i="32"/>
  <c r="H1681" i="32"/>
  <c r="H1682" i="32"/>
  <c r="H1683" i="32"/>
  <c r="H1684" i="32"/>
  <c r="H1685" i="32"/>
  <c r="H1686" i="32"/>
  <c r="H1687" i="32"/>
  <c r="H1688" i="32"/>
  <c r="H1689" i="32"/>
  <c r="H1690" i="32"/>
  <c r="H1691" i="32"/>
  <c r="H1692" i="32"/>
  <c r="H1693" i="32"/>
  <c r="H1694" i="32"/>
  <c r="H1695" i="32"/>
  <c r="H1696" i="32"/>
  <c r="H1697" i="32"/>
  <c r="H1698" i="32"/>
  <c r="H1699" i="32"/>
  <c r="H1700" i="32"/>
  <c r="H1701" i="32"/>
  <c r="H1702" i="32"/>
  <c r="H1703" i="32"/>
  <c r="H1704" i="32"/>
  <c r="H1705" i="32"/>
  <c r="H1706" i="32"/>
  <c r="H1707" i="32"/>
  <c r="H1708" i="32"/>
  <c r="H1709" i="32"/>
  <c r="H1710" i="32"/>
  <c r="H1711" i="32"/>
  <c r="H1712" i="32"/>
  <c r="H1713" i="32"/>
  <c r="H1714" i="32"/>
  <c r="H1715" i="32"/>
  <c r="H1716" i="32"/>
  <c r="H1717" i="32"/>
  <c r="H1718" i="32"/>
  <c r="H1719" i="32"/>
  <c r="H1720" i="32"/>
  <c r="H1721" i="32"/>
  <c r="H1722" i="32"/>
  <c r="H1723" i="32"/>
  <c r="H1724" i="32"/>
  <c r="H1725" i="32"/>
  <c r="H1726" i="32"/>
  <c r="H1727" i="32"/>
  <c r="H1728" i="32"/>
  <c r="H1729" i="32"/>
  <c r="H1730" i="32"/>
  <c r="H1731" i="32"/>
  <c r="H1732" i="32"/>
  <c r="H1733" i="32"/>
  <c r="H1734" i="32"/>
  <c r="H1735" i="32"/>
  <c r="H1736" i="32"/>
  <c r="H1737" i="32"/>
  <c r="H1738" i="32"/>
  <c r="H1739" i="32"/>
  <c r="H1740" i="32"/>
  <c r="H1741" i="32"/>
  <c r="H1742" i="32"/>
  <c r="H1743" i="32"/>
  <c r="H1744" i="32"/>
  <c r="H1745" i="32"/>
  <c r="H1746" i="32"/>
  <c r="H1747" i="32"/>
  <c r="H1748" i="32"/>
  <c r="H1749" i="32"/>
  <c r="H1750" i="32"/>
  <c r="H1751" i="32"/>
  <c r="H1752" i="32"/>
  <c r="H1753" i="32"/>
  <c r="H1754" i="32"/>
  <c r="H1755" i="32"/>
  <c r="H1756" i="32"/>
  <c r="H1757" i="32"/>
  <c r="H1758" i="32"/>
  <c r="H1759" i="32"/>
  <c r="H1760" i="32"/>
  <c r="H1761" i="32"/>
  <c r="H1762" i="32"/>
  <c r="H1763" i="32"/>
  <c r="H1764" i="32"/>
  <c r="H1765" i="32"/>
  <c r="H1766" i="32"/>
  <c r="H1767" i="32"/>
  <c r="H1768" i="32"/>
  <c r="H1769" i="32"/>
  <c r="H1770" i="32"/>
  <c r="H1771" i="32"/>
  <c r="H1772" i="32"/>
  <c r="H1773" i="32"/>
  <c r="H1774" i="32"/>
  <c r="H1775" i="32"/>
  <c r="H1776" i="32"/>
  <c r="H1777" i="32"/>
  <c r="H1778" i="32"/>
  <c r="H1779" i="32"/>
  <c r="H1780" i="32"/>
  <c r="H1781" i="32"/>
  <c r="H1782" i="32"/>
  <c r="H1783" i="32"/>
  <c r="H1784" i="32"/>
  <c r="H1785" i="32"/>
  <c r="H1786" i="32"/>
  <c r="H1787" i="32"/>
  <c r="H1788" i="32"/>
  <c r="H1789" i="32"/>
  <c r="H1790" i="32"/>
  <c r="H1791" i="32"/>
  <c r="H1792" i="32"/>
  <c r="H1793" i="32"/>
  <c r="H1794" i="32"/>
  <c r="H1795" i="32"/>
  <c r="H1796" i="32"/>
  <c r="H1797" i="32"/>
  <c r="H1798" i="32"/>
  <c r="H1799" i="32"/>
  <c r="H1800" i="32"/>
  <c r="H1801" i="32"/>
  <c r="H1802" i="32"/>
  <c r="H1803" i="32"/>
  <c r="H1804" i="32"/>
  <c r="H1805" i="32"/>
  <c r="H1806" i="32"/>
  <c r="H1807" i="32"/>
  <c r="H1808" i="32"/>
  <c r="H1809" i="32"/>
  <c r="H1810" i="32"/>
  <c r="H1811" i="32"/>
  <c r="H1812" i="32"/>
  <c r="H1813" i="32"/>
  <c r="H1814" i="32"/>
  <c r="H1815" i="32"/>
  <c r="H1816" i="32"/>
  <c r="H1817" i="32"/>
  <c r="H1818" i="32"/>
  <c r="H1819" i="32"/>
  <c r="H1820" i="32"/>
  <c r="H1821" i="32"/>
  <c r="H1822" i="32"/>
  <c r="H1823" i="32"/>
  <c r="H1824" i="32"/>
  <c r="H1825" i="32"/>
  <c r="H1826" i="32"/>
  <c r="H1827" i="32"/>
  <c r="H1828" i="32"/>
  <c r="H1829" i="32"/>
  <c r="H1830" i="32"/>
  <c r="H1831" i="32"/>
  <c r="H1832" i="32"/>
  <c r="H1833" i="32"/>
  <c r="H1834" i="32"/>
  <c r="H1835" i="32"/>
  <c r="H1836" i="32"/>
  <c r="H1837" i="32"/>
  <c r="H1838" i="32"/>
  <c r="H1839" i="32"/>
  <c r="H1840" i="32"/>
  <c r="H1841" i="32"/>
  <c r="H1842" i="32"/>
  <c r="H1843" i="32"/>
  <c r="H1844" i="32"/>
  <c r="H1845" i="32"/>
  <c r="H1846" i="32"/>
  <c r="H1847" i="32"/>
  <c r="H1848" i="32"/>
  <c r="H1849" i="32"/>
  <c r="H1850" i="32"/>
  <c r="H1851" i="32"/>
  <c r="H1852" i="32"/>
  <c r="H1853" i="32"/>
  <c r="H1854" i="32"/>
  <c r="H1855" i="32"/>
  <c r="H1856" i="32"/>
  <c r="H1857" i="32"/>
  <c r="H1858" i="32"/>
  <c r="H1859" i="32"/>
  <c r="H1860" i="32"/>
  <c r="H1861" i="32"/>
  <c r="H1862" i="32"/>
  <c r="H1863" i="32"/>
  <c r="H1864" i="32"/>
  <c r="H1865" i="32"/>
  <c r="H1866" i="32"/>
  <c r="H1867" i="32"/>
  <c r="H1868" i="32"/>
  <c r="H1869" i="32"/>
  <c r="H1870" i="32"/>
  <c r="H1871" i="32"/>
  <c r="H1872" i="32"/>
  <c r="H1873" i="32"/>
  <c r="H1874" i="32"/>
  <c r="H1875" i="32"/>
  <c r="H1876" i="32"/>
  <c r="H1877" i="32"/>
  <c r="H1878" i="32"/>
  <c r="H1879" i="32"/>
  <c r="H1880" i="32"/>
  <c r="H1881" i="32"/>
  <c r="H1882" i="32"/>
  <c r="H1883" i="32"/>
  <c r="H1884" i="32"/>
  <c r="H1885" i="32"/>
  <c r="H1886" i="32"/>
  <c r="H1887" i="32"/>
  <c r="H1888" i="32"/>
  <c r="H1889" i="32"/>
  <c r="H1890" i="32"/>
  <c r="H1891" i="32"/>
  <c r="H1892" i="32"/>
  <c r="H1893" i="32"/>
  <c r="H1894" i="32"/>
  <c r="H1895" i="32"/>
  <c r="H1896" i="32"/>
  <c r="H1897" i="32"/>
  <c r="H1898" i="32"/>
  <c r="H1899" i="32"/>
  <c r="H1900" i="32"/>
  <c r="H1901" i="32"/>
  <c r="H1902" i="32"/>
  <c r="H1903" i="32"/>
  <c r="H1904" i="32"/>
  <c r="H1905" i="32"/>
  <c r="H1906" i="32"/>
  <c r="H1907" i="32"/>
  <c r="H1908" i="32"/>
  <c r="H1909" i="32"/>
  <c r="H1910" i="32"/>
  <c r="H1911" i="32"/>
  <c r="H1912" i="32"/>
  <c r="H1913" i="32"/>
  <c r="H1914" i="32"/>
  <c r="H1915" i="32"/>
  <c r="H1916" i="32"/>
  <c r="H1917" i="32"/>
  <c r="H1918" i="32"/>
  <c r="H1919" i="32"/>
  <c r="H1920" i="32"/>
  <c r="H1921" i="32"/>
  <c r="H1922" i="32"/>
  <c r="H1923" i="32"/>
  <c r="H1924" i="32"/>
  <c r="H1925" i="32"/>
  <c r="H1926" i="32"/>
  <c r="H1927" i="32"/>
  <c r="H1928" i="32"/>
  <c r="H1929" i="32"/>
  <c r="H1930" i="32"/>
  <c r="H1931" i="32"/>
  <c r="H1932" i="32"/>
  <c r="H1933" i="32"/>
  <c r="H1934" i="32"/>
  <c r="H1935" i="32"/>
  <c r="H1936" i="32"/>
  <c r="H1937" i="32"/>
  <c r="H1938" i="32"/>
  <c r="H1939" i="32"/>
  <c r="H1940" i="32"/>
  <c r="H1941" i="32"/>
  <c r="H1942" i="32"/>
  <c r="H1943" i="32"/>
  <c r="H1944" i="32"/>
  <c r="H1945" i="32"/>
  <c r="H1946" i="32"/>
  <c r="H1947" i="32"/>
  <c r="H1948" i="32"/>
  <c r="H1949" i="32"/>
  <c r="H1950" i="32"/>
  <c r="H1951" i="32"/>
  <c r="H1952" i="32"/>
  <c r="H1953" i="32"/>
  <c r="H1954" i="32"/>
  <c r="H1955" i="32"/>
  <c r="H1956" i="32"/>
  <c r="H1957" i="32"/>
  <c r="H1958" i="32"/>
  <c r="H1959" i="32"/>
  <c r="H1960" i="32"/>
  <c r="H1961" i="32"/>
  <c r="H1962" i="32"/>
  <c r="H1963" i="32"/>
  <c r="H1964" i="32"/>
  <c r="H1965" i="32"/>
  <c r="H1966" i="32"/>
  <c r="H1967" i="32"/>
  <c r="H1968" i="32"/>
  <c r="H1969" i="32"/>
  <c r="H1970" i="32"/>
  <c r="H1971" i="32"/>
  <c r="H1972" i="32"/>
  <c r="H1973" i="32"/>
  <c r="H1974" i="32"/>
  <c r="H1975" i="32"/>
  <c r="H1976" i="32"/>
  <c r="H1977" i="32"/>
  <c r="H1978" i="32"/>
  <c r="H1979" i="32"/>
  <c r="H1980" i="32"/>
  <c r="H1981" i="32"/>
  <c r="H1982" i="32"/>
  <c r="H1983" i="32"/>
  <c r="H1984" i="32"/>
  <c r="H1985" i="32"/>
  <c r="H1986" i="32"/>
  <c r="H1987" i="32"/>
  <c r="H1988" i="32"/>
  <c r="H1989" i="32"/>
  <c r="H1990" i="32"/>
  <c r="H1991" i="32"/>
  <c r="H1992" i="32"/>
  <c r="H1993" i="32"/>
  <c r="H1994" i="32"/>
  <c r="H1995" i="32"/>
  <c r="H1996" i="32"/>
  <c r="H1997" i="32"/>
  <c r="H1998" i="32"/>
  <c r="H1999" i="32"/>
  <c r="H2000" i="32"/>
  <c r="H2001" i="32"/>
  <c r="H2002" i="32"/>
  <c r="H2003" i="32"/>
  <c r="H2004" i="32"/>
  <c r="H2005" i="32"/>
  <c r="H2006" i="32"/>
  <c r="H2007" i="32"/>
  <c r="H2008" i="32"/>
  <c r="H2009" i="32"/>
  <c r="H2010" i="32"/>
  <c r="H2011" i="32"/>
  <c r="H2012" i="32"/>
  <c r="H2013" i="32"/>
  <c r="H2014" i="32"/>
  <c r="H2015" i="32"/>
  <c r="H2016" i="32"/>
  <c r="H2017" i="32"/>
  <c r="H2018" i="32"/>
  <c r="H2019" i="32"/>
  <c r="H2020" i="32"/>
  <c r="H2021" i="32"/>
  <c r="H2022" i="32"/>
  <c r="H2023" i="32"/>
  <c r="H2024" i="32"/>
  <c r="H2025" i="32"/>
  <c r="H2026" i="32"/>
  <c r="H2027" i="32"/>
  <c r="H2028" i="32"/>
  <c r="H2029" i="32"/>
  <c r="H2030" i="32"/>
  <c r="H2031" i="32"/>
  <c r="H2032" i="32"/>
  <c r="H2033" i="32"/>
  <c r="H2034" i="32"/>
  <c r="H2035" i="32"/>
  <c r="H2036" i="32"/>
  <c r="H2037" i="32"/>
  <c r="H2038" i="32"/>
  <c r="H2039" i="32"/>
  <c r="H2040" i="32"/>
  <c r="H2041" i="32"/>
  <c r="H2042" i="32"/>
  <c r="H2043" i="32"/>
  <c r="H2044" i="32"/>
  <c r="H2045" i="32"/>
  <c r="H2046" i="32"/>
  <c r="H2047" i="32"/>
  <c r="H2048" i="32"/>
  <c r="H2049" i="32"/>
  <c r="H2050" i="32"/>
  <c r="H2051" i="32"/>
  <c r="H2052" i="32"/>
  <c r="H2053" i="32"/>
  <c r="H2054" i="32"/>
  <c r="H2055" i="32"/>
  <c r="H2056" i="32"/>
  <c r="H2057" i="32"/>
  <c r="H2058" i="32"/>
  <c r="H2059" i="32"/>
  <c r="H2060" i="32"/>
  <c r="H2061" i="32"/>
  <c r="H2062" i="32"/>
  <c r="H2063" i="32"/>
  <c r="H2064" i="32"/>
  <c r="H2065" i="32"/>
  <c r="H2066" i="32"/>
  <c r="H2067" i="32"/>
  <c r="H2068" i="32"/>
  <c r="H2069" i="32"/>
  <c r="H2070" i="32"/>
  <c r="H2071" i="32"/>
  <c r="H2072" i="32"/>
  <c r="H2073" i="32"/>
  <c r="H2074" i="32"/>
  <c r="H2075" i="32"/>
  <c r="H2076" i="32"/>
  <c r="H2077" i="32"/>
  <c r="H2078" i="32"/>
  <c r="H2079" i="32"/>
  <c r="H2080" i="32"/>
  <c r="H2081" i="32"/>
  <c r="H2082" i="32"/>
  <c r="H2083" i="32"/>
  <c r="H2084" i="32"/>
  <c r="H2085" i="32"/>
  <c r="H2086" i="32"/>
  <c r="H2087" i="32"/>
  <c r="H2088" i="32"/>
  <c r="J2069" i="32"/>
  <c r="G1753" i="32"/>
  <c r="G1754" i="32"/>
  <c r="G1755" i="32"/>
  <c r="G1756" i="32"/>
  <c r="G1757" i="32"/>
  <c r="G1758" i="32"/>
  <c r="G1759" i="32"/>
  <c r="G1760" i="32"/>
  <c r="G1761" i="32"/>
  <c r="G1762" i="32"/>
  <c r="G1763" i="32"/>
  <c r="G1764" i="32"/>
  <c r="G1765" i="32"/>
  <c r="G1766" i="32"/>
  <c r="G1767" i="32"/>
  <c r="G1768" i="32"/>
  <c r="G1769" i="32"/>
  <c r="G1770" i="32"/>
  <c r="G1771" i="32"/>
  <c r="G1772" i="32"/>
  <c r="G1773" i="32"/>
  <c r="G1774" i="32"/>
  <c r="G1775" i="32"/>
  <c r="G1776" i="32"/>
  <c r="G1777" i="32"/>
  <c r="G1778" i="32"/>
  <c r="G1779" i="32"/>
  <c r="G1780" i="32"/>
  <c r="G1781" i="32"/>
  <c r="G1782" i="32"/>
  <c r="G1783" i="32"/>
  <c r="G1784" i="32"/>
  <c r="G1785" i="32"/>
  <c r="G1786" i="32"/>
  <c r="G1787" i="32"/>
  <c r="G1788" i="32"/>
  <c r="G1789" i="32"/>
  <c r="G1790" i="32"/>
  <c r="G1791" i="32"/>
  <c r="G1792" i="32"/>
  <c r="G1793" i="32"/>
  <c r="G1794" i="32"/>
  <c r="G1795" i="32"/>
  <c r="G1796" i="32"/>
  <c r="G1797" i="32"/>
  <c r="G1798" i="32"/>
  <c r="G1799" i="32"/>
  <c r="G1800" i="32"/>
  <c r="G1801" i="32"/>
  <c r="G1802" i="32"/>
  <c r="G1803" i="32"/>
  <c r="G1804" i="32"/>
  <c r="G1805" i="32"/>
  <c r="G1806" i="32"/>
  <c r="G1807" i="32"/>
  <c r="G1808" i="32"/>
  <c r="G1809" i="32"/>
  <c r="G1810" i="32"/>
  <c r="G1811" i="32"/>
  <c r="G1812" i="32"/>
  <c r="G1813" i="32"/>
  <c r="G1814" i="32"/>
  <c r="G1815" i="32"/>
  <c r="G1816" i="32"/>
  <c r="G1817" i="32"/>
  <c r="G1818" i="32"/>
  <c r="G1819" i="32"/>
  <c r="G1820" i="32"/>
  <c r="G1821" i="32"/>
  <c r="G1822" i="32"/>
  <c r="G1823" i="32"/>
  <c r="G1824" i="32"/>
  <c r="G1825" i="32"/>
  <c r="G1826" i="32"/>
  <c r="G1827" i="32"/>
  <c r="G1828" i="32"/>
  <c r="G1829" i="32"/>
  <c r="G1830" i="32"/>
  <c r="G1831" i="32"/>
  <c r="G1832" i="32"/>
  <c r="G1833" i="32"/>
  <c r="G1834" i="32"/>
  <c r="G1835" i="32"/>
  <c r="G1836" i="32"/>
  <c r="G1837" i="32"/>
  <c r="G1838" i="32"/>
  <c r="G1839" i="32"/>
  <c r="G1840" i="32"/>
  <c r="G1841" i="32"/>
  <c r="G1842" i="32"/>
  <c r="G1843" i="32"/>
  <c r="G1844" i="32"/>
  <c r="G1845" i="32"/>
  <c r="G1846" i="32"/>
  <c r="G1847" i="32"/>
  <c r="G1848" i="32"/>
  <c r="G1849" i="32"/>
  <c r="G1850" i="32"/>
  <c r="G1851" i="32"/>
  <c r="G1852" i="32"/>
  <c r="G1853" i="32"/>
  <c r="G1854" i="32"/>
  <c r="G1855" i="32"/>
  <c r="G1856" i="32"/>
  <c r="G1857" i="32"/>
  <c r="G1858" i="32"/>
  <c r="G1859" i="32"/>
  <c r="G1860" i="32"/>
  <c r="G1861" i="32"/>
  <c r="G1862" i="32"/>
  <c r="G1863" i="32"/>
  <c r="G1864" i="32"/>
  <c r="G1865" i="32"/>
  <c r="G1866" i="32"/>
  <c r="G1867" i="32"/>
  <c r="G1868" i="32"/>
  <c r="G1869" i="32"/>
  <c r="G1870" i="32"/>
  <c r="G1871" i="32"/>
  <c r="G1872" i="32"/>
  <c r="G1873" i="32"/>
  <c r="G1874" i="32"/>
  <c r="G1875" i="32"/>
  <c r="G1876" i="32"/>
  <c r="G1877" i="32"/>
  <c r="G1878" i="32"/>
  <c r="G1879" i="32"/>
  <c r="G1880" i="32"/>
  <c r="G1881" i="32"/>
  <c r="G1882" i="32"/>
  <c r="G1883" i="32"/>
  <c r="G1884" i="32"/>
  <c r="G1885" i="32"/>
  <c r="G1886" i="32"/>
  <c r="G1887" i="32"/>
  <c r="G1888" i="32"/>
  <c r="G1889" i="32"/>
  <c r="G1890" i="32"/>
  <c r="G1891" i="32"/>
  <c r="G1892" i="32"/>
  <c r="G1893" i="32"/>
  <c r="G1894" i="32"/>
  <c r="G1895" i="32"/>
  <c r="G1896" i="32"/>
  <c r="G1897" i="32"/>
  <c r="G1898" i="32"/>
  <c r="G1899" i="32"/>
  <c r="G1900" i="32"/>
  <c r="G1901" i="32"/>
  <c r="G1902" i="32"/>
  <c r="G1903" i="32"/>
  <c r="G1904" i="32"/>
  <c r="G1905" i="32"/>
  <c r="G1906" i="32"/>
  <c r="G1907" i="32"/>
  <c r="G1908" i="32"/>
  <c r="G1909" i="32"/>
  <c r="G1910" i="32"/>
  <c r="G1911" i="32"/>
  <c r="G1912" i="32"/>
  <c r="G1913" i="32"/>
  <c r="G1914" i="32"/>
  <c r="G1915" i="32"/>
  <c r="G1916" i="32"/>
  <c r="G1917" i="32"/>
  <c r="G1918" i="32"/>
  <c r="G1919" i="32"/>
  <c r="G1920" i="32"/>
  <c r="G1921" i="32"/>
  <c r="G1922" i="32"/>
  <c r="G1923" i="32"/>
  <c r="G1924" i="32"/>
  <c r="G1925" i="32"/>
  <c r="G1926" i="32"/>
  <c r="G1927" i="32"/>
  <c r="G1928" i="32"/>
  <c r="G1929" i="32"/>
  <c r="G1930" i="32"/>
  <c r="G1931" i="32"/>
  <c r="G1932" i="32"/>
  <c r="G1933" i="32"/>
  <c r="G1934" i="32"/>
  <c r="G1935" i="32"/>
  <c r="G1936" i="32"/>
  <c r="G1937" i="32"/>
  <c r="G1938" i="32"/>
  <c r="G1939" i="32"/>
  <c r="G1940" i="32"/>
  <c r="G1941" i="32"/>
  <c r="G1942" i="32"/>
  <c r="G1943" i="32"/>
  <c r="G1944" i="32"/>
  <c r="G1945" i="32"/>
  <c r="G1946" i="32"/>
  <c r="G1947" i="32"/>
  <c r="G1948" i="32"/>
  <c r="G1949" i="32"/>
  <c r="G1950" i="32"/>
  <c r="G1951" i="32"/>
  <c r="G1952" i="32"/>
  <c r="G1953" i="32"/>
  <c r="G1954" i="32"/>
  <c r="G1955" i="32"/>
  <c r="G1956" i="32"/>
  <c r="G1957" i="32"/>
  <c r="G1958" i="32"/>
  <c r="G1959" i="32"/>
  <c r="G1960" i="32"/>
  <c r="G1961" i="32"/>
  <c r="G1962" i="32"/>
  <c r="G1963" i="32"/>
  <c r="G1964" i="32"/>
  <c r="G1965" i="32"/>
  <c r="G1966" i="32"/>
  <c r="G1967" i="32"/>
  <c r="G1968" i="32"/>
  <c r="G1969" i="32"/>
  <c r="G1970" i="32"/>
  <c r="G1971" i="32"/>
  <c r="G1972" i="32"/>
  <c r="G1973" i="32"/>
  <c r="G1974" i="32"/>
  <c r="G1975" i="32"/>
  <c r="G1976" i="32"/>
  <c r="G1977" i="32"/>
  <c r="G1978" i="32"/>
  <c r="G1979" i="32"/>
  <c r="G1980" i="32"/>
  <c r="G1981" i="32"/>
  <c r="G1982" i="32"/>
  <c r="G1983" i="32"/>
  <c r="G1984" i="32"/>
  <c r="G1985" i="32"/>
  <c r="G1986" i="32"/>
  <c r="G1987" i="32"/>
  <c r="G1988" i="32"/>
  <c r="G1989" i="32"/>
  <c r="G1990" i="32"/>
  <c r="G1991" i="32"/>
  <c r="G1992" i="32"/>
  <c r="G1993" i="32"/>
  <c r="G1994" i="32"/>
  <c r="G1995" i="32"/>
  <c r="G1996" i="32"/>
  <c r="G1997" i="32"/>
  <c r="G1998" i="32"/>
  <c r="G1999" i="32"/>
  <c r="G2000" i="32"/>
  <c r="G2001" i="32"/>
  <c r="G2002" i="32"/>
  <c r="G2003" i="32"/>
  <c r="G2004" i="32"/>
  <c r="G2005" i="32"/>
  <c r="G2006" i="32"/>
  <c r="G2007" i="32"/>
  <c r="G2008" i="32"/>
  <c r="G2009" i="32"/>
  <c r="G2010" i="32"/>
  <c r="G2011" i="32"/>
  <c r="G2012" i="32"/>
  <c r="G2013" i="32"/>
  <c r="G2014" i="32"/>
  <c r="G2015" i="32"/>
  <c r="G2016" i="32"/>
  <c r="G2017" i="32"/>
  <c r="G2018" i="32"/>
  <c r="G2019" i="32"/>
  <c r="G2020" i="32"/>
  <c r="G2021" i="32"/>
  <c r="G2022" i="32"/>
  <c r="G2023" i="32"/>
  <c r="G2024" i="32"/>
  <c r="G2025" i="32"/>
  <c r="G2026" i="32"/>
  <c r="G2027" i="32"/>
  <c r="G2028" i="32"/>
  <c r="G2029" i="32"/>
  <c r="G2030" i="32"/>
  <c r="G2031" i="32"/>
  <c r="G2032" i="32"/>
  <c r="G2033" i="32"/>
  <c r="G2034" i="32"/>
  <c r="G2035" i="32"/>
  <c r="J2035" i="32" s="1"/>
  <c r="G2036" i="32"/>
  <c r="G2037" i="32"/>
  <c r="G2038" i="32"/>
  <c r="G2039" i="32"/>
  <c r="G2040" i="32"/>
  <c r="G2041" i="32"/>
  <c r="G2042" i="32"/>
  <c r="G2043" i="32"/>
  <c r="G2044" i="32"/>
  <c r="G2045" i="32"/>
  <c r="G2046" i="32"/>
  <c r="G2047" i="32"/>
  <c r="G2048" i="32"/>
  <c r="G2049" i="32"/>
  <c r="G2050" i="32"/>
  <c r="G2051" i="32"/>
  <c r="G2052" i="32"/>
  <c r="G2053" i="32"/>
  <c r="G2054" i="32"/>
  <c r="G2055" i="32"/>
  <c r="G2056" i="32"/>
  <c r="G2057" i="32"/>
  <c r="G2058" i="32"/>
  <c r="G2059" i="32"/>
  <c r="G2060" i="32"/>
  <c r="G2061" i="32"/>
  <c r="G2062" i="32"/>
  <c r="G2063" i="32"/>
  <c r="G2064" i="32"/>
  <c r="G2065" i="32"/>
  <c r="G2066" i="32"/>
  <c r="G2067" i="32"/>
  <c r="G2068" i="32"/>
  <c r="G2069" i="32"/>
  <c r="G2070" i="32"/>
  <c r="J2070" i="32" s="1"/>
  <c r="G2071" i="32"/>
  <c r="J2071" i="32" s="1"/>
  <c r="G2072" i="32"/>
  <c r="J2072" i="32" s="1"/>
  <c r="G2073" i="32"/>
  <c r="J2073" i="32" s="1"/>
  <c r="G2074" i="32"/>
  <c r="J2074" i="32" s="1"/>
  <c r="G2075" i="32"/>
  <c r="J2075" i="32" s="1"/>
  <c r="G2076" i="32"/>
  <c r="J2076" i="32" s="1"/>
  <c r="G2077" i="32"/>
  <c r="G2078" i="32"/>
  <c r="G2079" i="32"/>
  <c r="G2080" i="32"/>
  <c r="J2080" i="32" s="1"/>
  <c r="G2081" i="32"/>
  <c r="J2081" i="32" s="1"/>
  <c r="G2082" i="32"/>
  <c r="J2082" i="32" s="1"/>
  <c r="G2083" i="32"/>
  <c r="J2083" i="32" s="1"/>
  <c r="G2084" i="32"/>
  <c r="J2084" i="32" s="1"/>
  <c r="G2085" i="32"/>
  <c r="J2085" i="32" s="1"/>
  <c r="G2086" i="32"/>
  <c r="J2086" i="32" s="1"/>
  <c r="G2087" i="32"/>
  <c r="J2087" i="32" s="1"/>
  <c r="G2088" i="32"/>
  <c r="J2088" i="32" s="1"/>
  <c r="J1753" i="32"/>
  <c r="J1754" i="32"/>
  <c r="J1755" i="32"/>
  <c r="J1756" i="32"/>
  <c r="J1757" i="32"/>
  <c r="J1758" i="32"/>
  <c r="J1759" i="32"/>
  <c r="J1760" i="32"/>
  <c r="J1761" i="32"/>
  <c r="J1762" i="32"/>
  <c r="J1763" i="32"/>
  <c r="J1764" i="32"/>
  <c r="J1765" i="32"/>
  <c r="J1766" i="32"/>
  <c r="J1767" i="32"/>
  <c r="J1768" i="32"/>
  <c r="J1769" i="32"/>
  <c r="J1770" i="32"/>
  <c r="J1771" i="32"/>
  <c r="J1772" i="32"/>
  <c r="J1773" i="32"/>
  <c r="J1774" i="32"/>
  <c r="J1775" i="32"/>
  <c r="J1776" i="32"/>
  <c r="J1777" i="32"/>
  <c r="J1778" i="32"/>
  <c r="J1779" i="32"/>
  <c r="J1780" i="32"/>
  <c r="J1781" i="32"/>
  <c r="J1782" i="32"/>
  <c r="J1783" i="32"/>
  <c r="J1784" i="32"/>
  <c r="J1785" i="32"/>
  <c r="J1786" i="32"/>
  <c r="J1787" i="32"/>
  <c r="J1788" i="32"/>
  <c r="J1789" i="32"/>
  <c r="J1790" i="32"/>
  <c r="J1791" i="32"/>
  <c r="J1792" i="32"/>
  <c r="J1793" i="32"/>
  <c r="J1794" i="32"/>
  <c r="J1795" i="32"/>
  <c r="J1796" i="32"/>
  <c r="J1797" i="32"/>
  <c r="J1798" i="32"/>
  <c r="J1799" i="32"/>
  <c r="J1800" i="32"/>
  <c r="J1801" i="32"/>
  <c r="J1802" i="32"/>
  <c r="J1803" i="32"/>
  <c r="J1804" i="32"/>
  <c r="J1805" i="32"/>
  <c r="J1806" i="32"/>
  <c r="J1807" i="32"/>
  <c r="J1808" i="32"/>
  <c r="J1809" i="32"/>
  <c r="J1810" i="32"/>
  <c r="J1811" i="32"/>
  <c r="J1812" i="32"/>
  <c r="J1813" i="32"/>
  <c r="J1814" i="32"/>
  <c r="J1815" i="32"/>
  <c r="J1816" i="32"/>
  <c r="J1817" i="32"/>
  <c r="J1818" i="32"/>
  <c r="J1819" i="32"/>
  <c r="J1820" i="32"/>
  <c r="J1821" i="32"/>
  <c r="J1822" i="32"/>
  <c r="J1823" i="32"/>
  <c r="J1824" i="32"/>
  <c r="J1825" i="32"/>
  <c r="J1826" i="32"/>
  <c r="J1827" i="32"/>
  <c r="J1828" i="32"/>
  <c r="J1829" i="32"/>
  <c r="J1830" i="32"/>
  <c r="J1831" i="32"/>
  <c r="J1832" i="32"/>
  <c r="J1833" i="32"/>
  <c r="J1834" i="32"/>
  <c r="J1835" i="32"/>
  <c r="J1836" i="32"/>
  <c r="J1837" i="32"/>
  <c r="J1838" i="32"/>
  <c r="J1839" i="32"/>
  <c r="J1840" i="32"/>
  <c r="J1841" i="32"/>
  <c r="J1842" i="32"/>
  <c r="J1843" i="32"/>
  <c r="J1844" i="32"/>
  <c r="J1845" i="32"/>
  <c r="J1846" i="32"/>
  <c r="J1847" i="32"/>
  <c r="J1848" i="32"/>
  <c r="J1849" i="32"/>
  <c r="J1850" i="32"/>
  <c r="J1851" i="32"/>
  <c r="J1852" i="32"/>
  <c r="J1853" i="32"/>
  <c r="J1854" i="32"/>
  <c r="J1855" i="32"/>
  <c r="J1856" i="32"/>
  <c r="J1857" i="32"/>
  <c r="J1858" i="32"/>
  <c r="J1859" i="32"/>
  <c r="J1860" i="32"/>
  <c r="J1861" i="32"/>
  <c r="J1862" i="32"/>
  <c r="J1863" i="32"/>
  <c r="J1864" i="32"/>
  <c r="J1865" i="32"/>
  <c r="J1866" i="32"/>
  <c r="J1867" i="32"/>
  <c r="J1868" i="32"/>
  <c r="J1869" i="32"/>
  <c r="J1870" i="32"/>
  <c r="J1871" i="32"/>
  <c r="J1872" i="32"/>
  <c r="J1873" i="32"/>
  <c r="J1874" i="32"/>
  <c r="J1875" i="32"/>
  <c r="J1876" i="32"/>
  <c r="J1877" i="32"/>
  <c r="J1878" i="32"/>
  <c r="J1879" i="32"/>
  <c r="J1880" i="32"/>
  <c r="J1881" i="32"/>
  <c r="J1882" i="32"/>
  <c r="J1883" i="32"/>
  <c r="J1884" i="32"/>
  <c r="J1885" i="32"/>
  <c r="J1886" i="32"/>
  <c r="J1887" i="32"/>
  <c r="J1888" i="32"/>
  <c r="J1889" i="32"/>
  <c r="J1890" i="32"/>
  <c r="J1891" i="32"/>
  <c r="J1892" i="32"/>
  <c r="J1893" i="32"/>
  <c r="J1894" i="32"/>
  <c r="J1895" i="32"/>
  <c r="J1896" i="32"/>
  <c r="J1897" i="32"/>
  <c r="J1898" i="32"/>
  <c r="J1899" i="32"/>
  <c r="J1900" i="32"/>
  <c r="J1901" i="32"/>
  <c r="J1902" i="32"/>
  <c r="J1903" i="32"/>
  <c r="J1904" i="32"/>
  <c r="J1905" i="32"/>
  <c r="J1906" i="32"/>
  <c r="J1907" i="32"/>
  <c r="J1908" i="32"/>
  <c r="J1909" i="32"/>
  <c r="J1910" i="32"/>
  <c r="J1911" i="32"/>
  <c r="J1912" i="32"/>
  <c r="J1913" i="32"/>
  <c r="J1914" i="32"/>
  <c r="J1915" i="32"/>
  <c r="J1916" i="32"/>
  <c r="J1917" i="32"/>
  <c r="J1918" i="32"/>
  <c r="J1919" i="32"/>
  <c r="J1920" i="32"/>
  <c r="J1921" i="32"/>
  <c r="J1922" i="32"/>
  <c r="J1923" i="32"/>
  <c r="J1924" i="32"/>
  <c r="J1925" i="32"/>
  <c r="J1926" i="32"/>
  <c r="J1927" i="32"/>
  <c r="J1928" i="32"/>
  <c r="J1929" i="32"/>
  <c r="J1930" i="32"/>
  <c r="J1931" i="32"/>
  <c r="J1932" i="32"/>
  <c r="J1933" i="32"/>
  <c r="J1934" i="32"/>
  <c r="J1935" i="32"/>
  <c r="J1936" i="32"/>
  <c r="J1937" i="32"/>
  <c r="J1938" i="32"/>
  <c r="J1939" i="32"/>
  <c r="J1940" i="32"/>
  <c r="J1941" i="32"/>
  <c r="J1942" i="32"/>
  <c r="J1943" i="32"/>
  <c r="J1944" i="32"/>
  <c r="J1945" i="32"/>
  <c r="J1946" i="32"/>
  <c r="J1947" i="32"/>
  <c r="J1948" i="32"/>
  <c r="J1949" i="32"/>
  <c r="J1950" i="32"/>
  <c r="J1951" i="32"/>
  <c r="J1952" i="32"/>
  <c r="J1953" i="32"/>
  <c r="J1954" i="32"/>
  <c r="J1955" i="32"/>
  <c r="J1956" i="32"/>
  <c r="J1957" i="32"/>
  <c r="J1958" i="32"/>
  <c r="J1959" i="32"/>
  <c r="J1960" i="32"/>
  <c r="J1961" i="32"/>
  <c r="J1962" i="32"/>
  <c r="J1963" i="32"/>
  <c r="J1964" i="32"/>
  <c r="J1965" i="32"/>
  <c r="J1966" i="32"/>
  <c r="J1967" i="32"/>
  <c r="J1968" i="32"/>
  <c r="J1969" i="32"/>
  <c r="J1970" i="32"/>
  <c r="J1971" i="32"/>
  <c r="J1972" i="32"/>
  <c r="J1973" i="32"/>
  <c r="J1974" i="32"/>
  <c r="J1975" i="32"/>
  <c r="J1976" i="32"/>
  <c r="J1977" i="32"/>
  <c r="J1978" i="32"/>
  <c r="J1979" i="32"/>
  <c r="J1980" i="32"/>
  <c r="J1981" i="32"/>
  <c r="J1982" i="32"/>
  <c r="J1983" i="32"/>
  <c r="J1984" i="32"/>
  <c r="J1985" i="32"/>
  <c r="J1986" i="32"/>
  <c r="J1987" i="32"/>
  <c r="J1988" i="32"/>
  <c r="J1989" i="32"/>
  <c r="J1990" i="32"/>
  <c r="J1991" i="32"/>
  <c r="J1992" i="32"/>
  <c r="J1993" i="32"/>
  <c r="J1994" i="32"/>
  <c r="J1995" i="32"/>
  <c r="J1996" i="32"/>
  <c r="J1997" i="32"/>
  <c r="J1998" i="32"/>
  <c r="J1999" i="32"/>
  <c r="J2000" i="32"/>
  <c r="J2001" i="32"/>
  <c r="J2002" i="32"/>
  <c r="J2003" i="32"/>
  <c r="J2004" i="32"/>
  <c r="J2005" i="32"/>
  <c r="J2006" i="32"/>
  <c r="J2007" i="32"/>
  <c r="J2008" i="32"/>
  <c r="J2009" i="32"/>
  <c r="J2010" i="32"/>
  <c r="J2011" i="32"/>
  <c r="J2012" i="32"/>
  <c r="J2013" i="32"/>
  <c r="J2014" i="32"/>
  <c r="J2015" i="32"/>
  <c r="J2016" i="32"/>
  <c r="J2017" i="32"/>
  <c r="J2018" i="32"/>
  <c r="J2019" i="32"/>
  <c r="J2020" i="32"/>
  <c r="J2021" i="32"/>
  <c r="J2022" i="32"/>
  <c r="J2023" i="32"/>
  <c r="J2024" i="32"/>
  <c r="J2025" i="32"/>
  <c r="J2026" i="32"/>
  <c r="J2027" i="32"/>
  <c r="J2028" i="32"/>
  <c r="J2029" i="32"/>
  <c r="J2030" i="32"/>
  <c r="J2031" i="32"/>
  <c r="J2032" i="32"/>
  <c r="J2033" i="32"/>
  <c r="J2034" i="32"/>
  <c r="J2036" i="32"/>
  <c r="J2037" i="32"/>
  <c r="J2038" i="32"/>
  <c r="J2039" i="32"/>
  <c r="J2040" i="32"/>
  <c r="J2041" i="32"/>
  <c r="J2042" i="32"/>
  <c r="J2043" i="32"/>
  <c r="J2044" i="32"/>
  <c r="J2045" i="32"/>
  <c r="J2046" i="32"/>
  <c r="J2047" i="32"/>
  <c r="J2048" i="32"/>
  <c r="J2049" i="32"/>
  <c r="J2050" i="32"/>
  <c r="J2051" i="32"/>
  <c r="J2052" i="32"/>
  <c r="J2053" i="32"/>
  <c r="J2054" i="32"/>
  <c r="J2055" i="32"/>
  <c r="J2056" i="32"/>
  <c r="J2057" i="32"/>
  <c r="J2058" i="32"/>
  <c r="J2059" i="32"/>
  <c r="J2060" i="32"/>
  <c r="J2061" i="32"/>
  <c r="J2062" i="32"/>
  <c r="J2063" i="32"/>
  <c r="J2064" i="32"/>
  <c r="J2065" i="32"/>
  <c r="J2066" i="32"/>
  <c r="J2067" i="32"/>
  <c r="J2068" i="32"/>
  <c r="J2077" i="32"/>
  <c r="J2078" i="32"/>
  <c r="J2079" i="32"/>
  <c r="AE151" i="15"/>
  <c r="AD151" i="15"/>
  <c r="AE150" i="15"/>
  <c r="AD150" i="15"/>
  <c r="C151" i="15"/>
  <c r="AH151" i="15" s="1"/>
  <c r="AJ151" i="15" s="1"/>
  <c r="C150" i="15"/>
  <c r="AH150" i="15" s="1"/>
  <c r="AJ150" i="15" s="1"/>
  <c r="D151" i="15"/>
  <c r="D150" i="15"/>
  <c r="D167" i="15"/>
  <c r="D160" i="15"/>
  <c r="D81" i="41"/>
  <c r="O81" i="41"/>
  <c r="N81" i="41"/>
  <c r="M81" i="41"/>
  <c r="L81" i="41"/>
  <c r="K81" i="41"/>
  <c r="J81" i="41"/>
  <c r="I81" i="41"/>
  <c r="H81" i="41"/>
  <c r="G81" i="41"/>
  <c r="F81" i="41"/>
  <c r="E81" i="41"/>
  <c r="O71" i="41"/>
  <c r="N71" i="41"/>
  <c r="M71" i="41"/>
  <c r="L71" i="41"/>
  <c r="K71" i="41"/>
  <c r="J71" i="41"/>
  <c r="I71" i="41"/>
  <c r="H71" i="41"/>
  <c r="G71" i="41"/>
  <c r="F71" i="41"/>
  <c r="E71" i="41"/>
  <c r="D71" i="41"/>
  <c r="H5" i="15" l="1"/>
  <c r="AF151" i="15"/>
  <c r="AG151" i="15" s="1"/>
  <c r="H181" i="15"/>
  <c r="H35" i="15"/>
  <c r="H12" i="15"/>
  <c r="H61" i="15"/>
  <c r="H207" i="15"/>
  <c r="H45" i="15"/>
  <c r="H40" i="15"/>
  <c r="H34" i="15"/>
  <c r="H26" i="15"/>
  <c r="H24" i="15"/>
  <c r="H17" i="15"/>
  <c r="H10" i="15"/>
  <c r="H223" i="15"/>
  <c r="H199" i="15"/>
  <c r="H197" i="15"/>
  <c r="H195" i="15"/>
  <c r="H193" i="15"/>
  <c r="H179" i="15"/>
  <c r="H176" i="15"/>
  <c r="H62" i="15"/>
  <c r="H204" i="15"/>
  <c r="H217" i="15"/>
  <c r="H201" i="15"/>
  <c r="H182" i="15"/>
  <c r="H186" i="15"/>
  <c r="H196" i="15"/>
  <c r="H174" i="15"/>
  <c r="H28" i="15"/>
  <c r="H203" i="15"/>
  <c r="H218" i="15"/>
  <c r="H55" i="15"/>
  <c r="H191" i="15"/>
  <c r="H190" i="15"/>
  <c r="H178" i="15"/>
  <c r="H173" i="15"/>
  <c r="H51" i="15"/>
  <c r="H226" i="15"/>
  <c r="H202" i="15"/>
  <c r="H220" i="15"/>
  <c r="H216" i="15"/>
  <c r="H185" i="15"/>
  <c r="H189" i="15"/>
  <c r="H187" i="15"/>
  <c r="H175" i="15"/>
  <c r="H47" i="15"/>
  <c r="H25" i="15"/>
  <c r="H46" i="15"/>
  <c r="H43" i="15"/>
  <c r="H33" i="15"/>
  <c r="H29" i="15"/>
  <c r="H21" i="15"/>
  <c r="H14" i="15"/>
  <c r="H9" i="15"/>
  <c r="H225" i="15"/>
  <c r="H222" i="15"/>
  <c r="H200" i="15"/>
  <c r="H219" i="15"/>
  <c r="H194" i="15"/>
  <c r="H184" i="15"/>
  <c r="H180" i="15"/>
  <c r="H172" i="15"/>
  <c r="H39" i="15"/>
  <c r="H20" i="15"/>
  <c r="H224" i="15"/>
  <c r="H221" i="15"/>
  <c r="H198" i="15"/>
  <c r="H188" i="15"/>
  <c r="H192" i="15"/>
  <c r="H183" i="15"/>
  <c r="H177" i="15"/>
  <c r="H59" i="15"/>
  <c r="H53" i="15"/>
  <c r="H49" i="15"/>
  <c r="H57" i="15"/>
  <c r="H56" i="15"/>
  <c r="H60" i="15"/>
  <c r="H54" i="15"/>
  <c r="H48" i="15"/>
  <c r="H44" i="15"/>
  <c r="H37" i="15"/>
  <c r="H32" i="15"/>
  <c r="H27" i="15"/>
  <c r="H18" i="15"/>
  <c r="H15" i="15"/>
  <c r="H8" i="15"/>
  <c r="H210" i="15"/>
  <c r="H52" i="15"/>
  <c r="H205" i="15"/>
  <c r="H42" i="15"/>
  <c r="H38" i="15"/>
  <c r="H30" i="15"/>
  <c r="H31" i="15"/>
  <c r="H19" i="15"/>
  <c r="H13" i="15"/>
  <c r="H7" i="15"/>
  <c r="H63" i="15"/>
  <c r="H58" i="15"/>
  <c r="H50" i="15"/>
  <c r="H206" i="15"/>
  <c r="H41" i="15"/>
  <c r="H36" i="15"/>
  <c r="H22" i="15"/>
  <c r="H23" i="15"/>
  <c r="H16" i="15"/>
  <c r="H11" i="15"/>
  <c r="H6" i="15"/>
  <c r="AF150" i="15"/>
  <c r="AG150" i="15" s="1"/>
  <c r="C149" i="15" l="1"/>
  <c r="AH149" i="15" s="1"/>
  <c r="AJ149" i="15" s="1"/>
  <c r="D149" i="15"/>
  <c r="AD148" i="15"/>
  <c r="AE148" i="15"/>
  <c r="AD149" i="15"/>
  <c r="AE149" i="15"/>
  <c r="AF149" i="15" l="1"/>
  <c r="AG149" i="15" s="1"/>
  <c r="AF148" i="15"/>
  <c r="AG148" i="15" s="1"/>
  <c r="D148" i="15" l="1"/>
  <c r="C148" i="15"/>
  <c r="AH148" i="15" s="1"/>
  <c r="AJ148" i="15" s="1"/>
  <c r="Q56" i="41" l="1"/>
  <c r="Q60" i="41"/>
  <c r="H118" i="15" l="1"/>
  <c r="H169" i="15"/>
  <c r="H159" i="15"/>
  <c r="H115" i="15"/>
  <c r="H81" i="15"/>
  <c r="D71" i="15"/>
  <c r="J49" i="50" l="1"/>
  <c r="C124" i="15" l="1"/>
  <c r="AH124" i="15" s="1"/>
  <c r="AJ124" i="15" s="1"/>
  <c r="AD181" i="15"/>
  <c r="AE181" i="15"/>
  <c r="AD124" i="15"/>
  <c r="AE124" i="15"/>
  <c r="D124" i="15"/>
  <c r="Q43" i="41" l="1"/>
  <c r="Q64" i="41"/>
  <c r="Q103" i="41"/>
  <c r="J94" i="50" l="1"/>
  <c r="C77" i="15"/>
  <c r="C181" i="15"/>
  <c r="AH181" i="15" s="1"/>
  <c r="AJ181" i="15" s="1"/>
  <c r="D181" i="15"/>
  <c r="AD5" i="15"/>
  <c r="AE5" i="15"/>
  <c r="AD7" i="15"/>
  <c r="AE7" i="15"/>
  <c r="AD10" i="15"/>
  <c r="AE10" i="15"/>
  <c r="AD8" i="15"/>
  <c r="AE8" i="15"/>
  <c r="AD9" i="15"/>
  <c r="AE9" i="15"/>
  <c r="AD11" i="15"/>
  <c r="AE11" i="15"/>
  <c r="AD14" i="15"/>
  <c r="AE14" i="15"/>
  <c r="AD18" i="15"/>
  <c r="AE18" i="15"/>
  <c r="AD12" i="15"/>
  <c r="AE12" i="15"/>
  <c r="AD13" i="15"/>
  <c r="AE13" i="15"/>
  <c r="AD15" i="15"/>
  <c r="AE15" i="15"/>
  <c r="AD17" i="15"/>
  <c r="AE17" i="15"/>
  <c r="AD21" i="15"/>
  <c r="AE21" i="15"/>
  <c r="AD19" i="15"/>
  <c r="AE19" i="15"/>
  <c r="AD16" i="15"/>
  <c r="AE16" i="15"/>
  <c r="AD20" i="15"/>
  <c r="AE20" i="15"/>
  <c r="AD27" i="15"/>
  <c r="AE27" i="15"/>
  <c r="AD22" i="15"/>
  <c r="AE22" i="15"/>
  <c r="AD28" i="15"/>
  <c r="AE28" i="15"/>
  <c r="AD207" i="15"/>
  <c r="AE207" i="15"/>
  <c r="AD24" i="15"/>
  <c r="AE24" i="15"/>
  <c r="AD30" i="15"/>
  <c r="AE30" i="15"/>
  <c r="AD25" i="15"/>
  <c r="AE25" i="15"/>
  <c r="AD26" i="15"/>
  <c r="AE26" i="15"/>
  <c r="AD33" i="15"/>
  <c r="AE33" i="15"/>
  <c r="AD205" i="15"/>
  <c r="AE205" i="15"/>
  <c r="AD29" i="15"/>
  <c r="AE29" i="15"/>
  <c r="AD31" i="15"/>
  <c r="AE31" i="15"/>
  <c r="AD23" i="15"/>
  <c r="AE23" i="15"/>
  <c r="AD32" i="15"/>
  <c r="AE32" i="15"/>
  <c r="AD34" i="15"/>
  <c r="AE34" i="15"/>
  <c r="AD37" i="15"/>
  <c r="AE37" i="15"/>
  <c r="AD36" i="15"/>
  <c r="AE36" i="15"/>
  <c r="AD39" i="15"/>
  <c r="AE39" i="15"/>
  <c r="AD38" i="15"/>
  <c r="AE38" i="15"/>
  <c r="AD40" i="15"/>
  <c r="AE40" i="15"/>
  <c r="AD35" i="15"/>
  <c r="AE35" i="15"/>
  <c r="AD43" i="15"/>
  <c r="AE43" i="15"/>
  <c r="AD41" i="15"/>
  <c r="AE41" i="15"/>
  <c r="AD44" i="15"/>
  <c r="AE44" i="15"/>
  <c r="AD45" i="15"/>
  <c r="AE45" i="15"/>
  <c r="AD42" i="15"/>
  <c r="AE42" i="15"/>
  <c r="AD47" i="15"/>
  <c r="AE47" i="15"/>
  <c r="AD50" i="15"/>
  <c r="AE50" i="15"/>
  <c r="AD48" i="15"/>
  <c r="AE48" i="15"/>
  <c r="AD49" i="15"/>
  <c r="AE49" i="15"/>
  <c r="AD51" i="15"/>
  <c r="AE51" i="15"/>
  <c r="AD46" i="15"/>
  <c r="AE46" i="15"/>
  <c r="AH46" i="15"/>
  <c r="AJ46" i="15" s="1"/>
  <c r="AD52" i="15"/>
  <c r="AE52" i="15"/>
  <c r="AH52" i="15"/>
  <c r="AJ52" i="15" s="1"/>
  <c r="AD206" i="15"/>
  <c r="AE206" i="15"/>
  <c r="AD53" i="15"/>
  <c r="AE53" i="15"/>
  <c r="AD54" i="15"/>
  <c r="AE54" i="15"/>
  <c r="AD55" i="15"/>
  <c r="AE55" i="15"/>
  <c r="AH55" i="15"/>
  <c r="AJ55" i="15" s="1"/>
  <c r="AD239" i="15"/>
  <c r="AE239" i="15"/>
  <c r="AD56" i="15"/>
  <c r="AE56" i="15"/>
  <c r="AD57" i="15"/>
  <c r="AE57" i="15"/>
  <c r="AD58" i="15"/>
  <c r="AE58" i="15"/>
  <c r="AD210" i="15"/>
  <c r="AE210" i="15"/>
  <c r="AD211" i="15"/>
  <c r="AE211" i="15"/>
  <c r="AD212" i="15"/>
  <c r="AE212" i="15"/>
  <c r="AD59" i="15"/>
  <c r="AE59" i="15"/>
  <c r="AD60" i="15"/>
  <c r="AE60" i="15"/>
  <c r="AD61" i="15"/>
  <c r="AE61" i="15"/>
  <c r="AD62" i="15"/>
  <c r="AE62" i="15"/>
  <c r="AD63" i="15"/>
  <c r="AE63" i="15"/>
  <c r="AD65" i="15"/>
  <c r="AE65" i="15"/>
  <c r="AD154" i="15"/>
  <c r="AE154" i="15"/>
  <c r="AD64" i="15"/>
  <c r="AE64" i="15"/>
  <c r="AD118" i="15"/>
  <c r="AE118" i="15"/>
  <c r="AD115" i="15"/>
  <c r="AE115" i="15"/>
  <c r="AD81" i="15"/>
  <c r="AE81" i="15"/>
  <c r="AD165" i="15"/>
  <c r="AE165" i="15"/>
  <c r="AD67" i="15"/>
  <c r="AE67" i="15"/>
  <c r="AD68" i="15"/>
  <c r="AE68" i="15"/>
  <c r="AD69" i="15"/>
  <c r="AE69" i="15"/>
  <c r="AD72" i="15"/>
  <c r="AE72" i="15"/>
  <c r="AD70" i="15"/>
  <c r="AE70" i="15"/>
  <c r="AD71" i="15"/>
  <c r="AE71" i="15"/>
  <c r="AD73" i="15"/>
  <c r="AE73" i="15"/>
  <c r="AD76" i="15"/>
  <c r="AE76" i="15"/>
  <c r="AD79" i="15"/>
  <c r="AE79" i="15"/>
  <c r="AD74" i="15"/>
  <c r="AE74" i="15"/>
  <c r="AD85" i="15"/>
  <c r="AE85" i="15"/>
  <c r="AD89" i="15"/>
  <c r="AE89" i="15"/>
  <c r="AD84" i="15"/>
  <c r="AE84" i="15"/>
  <c r="AD82" i="15"/>
  <c r="AE82" i="15"/>
  <c r="AD83" i="15"/>
  <c r="AE83" i="15"/>
  <c r="AD77" i="15"/>
  <c r="AE77" i="15"/>
  <c r="AD238" i="15"/>
  <c r="AE238" i="15"/>
  <c r="AD94" i="15"/>
  <c r="AE94" i="15"/>
  <c r="AD95" i="15"/>
  <c r="AE95" i="15"/>
  <c r="AD92" i="15"/>
  <c r="AE92" i="15"/>
  <c r="AD78" i="15"/>
  <c r="AE78" i="15"/>
  <c r="AD80" i="15"/>
  <c r="AE80" i="15"/>
  <c r="AD86" i="15"/>
  <c r="AE86" i="15"/>
  <c r="AD90" i="15"/>
  <c r="AE90" i="15"/>
  <c r="AD87" i="15"/>
  <c r="AE87" i="15"/>
  <c r="AD91" i="15"/>
  <c r="AE91" i="15"/>
  <c r="AD88" i="15"/>
  <c r="AE88" i="15"/>
  <c r="AD134" i="15"/>
  <c r="AE134" i="15"/>
  <c r="AD105" i="15"/>
  <c r="AE105" i="15"/>
  <c r="AD110" i="15"/>
  <c r="AE110" i="15"/>
  <c r="AD97" i="15"/>
  <c r="AE97" i="15"/>
  <c r="AD101" i="15"/>
  <c r="AE101" i="15"/>
  <c r="AD108" i="15"/>
  <c r="AE108" i="15"/>
  <c r="AD103" i="15"/>
  <c r="AE103" i="15"/>
  <c r="AD114" i="15"/>
  <c r="AE114" i="15"/>
  <c r="AD98" i="15"/>
  <c r="AE98" i="15"/>
  <c r="AD106" i="15"/>
  <c r="AE106" i="15"/>
  <c r="AD112" i="15"/>
  <c r="AE112" i="15"/>
  <c r="AD109" i="15"/>
  <c r="AE109" i="15"/>
  <c r="AD100" i="15"/>
  <c r="AE100" i="15"/>
  <c r="AD102" i="15"/>
  <c r="AE102" i="15"/>
  <c r="AD113" i="15"/>
  <c r="AE113" i="15"/>
  <c r="AD107" i="15"/>
  <c r="AE107" i="15"/>
  <c r="AD117" i="15"/>
  <c r="AE117" i="15"/>
  <c r="AD120" i="15"/>
  <c r="AE120" i="15"/>
  <c r="AD116" i="15"/>
  <c r="AE116" i="15"/>
  <c r="AD122" i="15"/>
  <c r="AE122" i="15"/>
  <c r="AD121" i="15"/>
  <c r="AE121" i="15"/>
  <c r="AD215" i="15"/>
  <c r="AE215" i="15"/>
  <c r="AD129" i="15"/>
  <c r="AE129" i="15"/>
  <c r="AD127" i="15"/>
  <c r="AE127" i="15"/>
  <c r="AD126" i="15"/>
  <c r="AE126" i="15"/>
  <c r="AD130" i="15"/>
  <c r="AE130" i="15"/>
  <c r="AD131" i="15"/>
  <c r="AE131" i="15"/>
  <c r="AD132" i="15"/>
  <c r="AE132" i="15"/>
  <c r="AD125" i="15"/>
  <c r="AE125" i="15"/>
  <c r="AD75" i="15"/>
  <c r="AE75" i="15"/>
  <c r="AD119" i="15"/>
  <c r="AE119" i="15"/>
  <c r="AD93" i="15"/>
  <c r="AE93" i="15"/>
  <c r="AD133" i="15"/>
  <c r="AE133" i="15"/>
  <c r="AD135" i="15"/>
  <c r="AE135" i="15"/>
  <c r="AD99" i="15"/>
  <c r="AE99" i="15"/>
  <c r="AD123" i="15"/>
  <c r="AE123" i="15"/>
  <c r="AD128" i="15"/>
  <c r="AE128" i="15"/>
  <c r="AD208" i="15"/>
  <c r="AE208" i="15"/>
  <c r="AD137" i="15"/>
  <c r="AE137" i="15"/>
  <c r="AD136" i="15"/>
  <c r="AE136" i="15"/>
  <c r="AD139" i="15"/>
  <c r="AE139" i="15"/>
  <c r="AD140" i="15"/>
  <c r="AE140" i="15"/>
  <c r="AD147" i="15"/>
  <c r="AE147" i="15"/>
  <c r="AD213" i="15"/>
  <c r="AE213" i="15"/>
  <c r="AD142" i="15"/>
  <c r="AE142" i="15"/>
  <c r="AD144" i="15"/>
  <c r="AE144" i="15"/>
  <c r="AD111" i="15"/>
  <c r="AE111" i="15"/>
  <c r="AD104" i="15"/>
  <c r="AE104" i="15"/>
  <c r="AD96" i="15"/>
  <c r="AE96" i="15"/>
  <c r="AD209" i="15"/>
  <c r="AE209" i="15"/>
  <c r="AD145" i="15"/>
  <c r="AE145" i="15"/>
  <c r="AH145" i="15"/>
  <c r="AJ145" i="15" s="1"/>
  <c r="AD146" i="15"/>
  <c r="AE146" i="15"/>
  <c r="AH146" i="15"/>
  <c r="AJ146" i="15" s="1"/>
  <c r="AD66" i="15"/>
  <c r="AE66" i="15"/>
  <c r="AH66" i="15"/>
  <c r="AJ66" i="15" s="1"/>
  <c r="AD141" i="15"/>
  <c r="AE141" i="15"/>
  <c r="AH141" i="15"/>
  <c r="AJ141" i="15" s="1"/>
  <c r="AD138" i="15"/>
  <c r="AE138" i="15"/>
  <c r="AD143" i="15"/>
  <c r="AE143" i="15"/>
  <c r="AD214" i="15"/>
  <c r="AE214" i="15"/>
  <c r="AD155" i="15"/>
  <c r="AE155" i="15"/>
  <c r="AD157" i="15"/>
  <c r="AE157" i="15"/>
  <c r="AD153" i="15"/>
  <c r="AE153" i="15"/>
  <c r="AD152" i="15"/>
  <c r="AE152" i="15"/>
  <c r="AD169" i="15"/>
  <c r="AE169" i="15"/>
  <c r="AD170" i="15"/>
  <c r="AE170" i="15"/>
  <c r="AD159" i="15"/>
  <c r="AE159" i="15"/>
  <c r="AD162" i="15"/>
  <c r="AE162" i="15"/>
  <c r="AD166" i="15"/>
  <c r="AE166" i="15"/>
  <c r="AD156" i="15"/>
  <c r="AE156" i="15"/>
  <c r="AD160" i="15"/>
  <c r="AE160" i="15"/>
  <c r="AD161" i="15"/>
  <c r="AE161" i="15"/>
  <c r="AD167" i="15"/>
  <c r="AE167" i="15"/>
  <c r="AD163" i="15"/>
  <c r="AE163" i="15"/>
  <c r="AD164" i="15"/>
  <c r="AE164" i="15"/>
  <c r="AD158" i="15"/>
  <c r="AE158" i="15"/>
  <c r="AD171" i="15"/>
  <c r="AE171" i="15"/>
  <c r="AH171" i="15"/>
  <c r="AJ171" i="15" s="1"/>
  <c r="AD168" i="15"/>
  <c r="AE168" i="15"/>
  <c r="AD187" i="15"/>
  <c r="AE187" i="15"/>
  <c r="AD196" i="15"/>
  <c r="AE196" i="15"/>
  <c r="AD216" i="15"/>
  <c r="AE216" i="15"/>
  <c r="AD180" i="15"/>
  <c r="AE180" i="15"/>
  <c r="AD197" i="15"/>
  <c r="AE197" i="15"/>
  <c r="AD177" i="15"/>
  <c r="AE177" i="15"/>
  <c r="AD198" i="15"/>
  <c r="AE198" i="15"/>
  <c r="AD194" i="15"/>
  <c r="AE194" i="15"/>
  <c r="AD184" i="15"/>
  <c r="AE184" i="15"/>
  <c r="AD172" i="15"/>
  <c r="AE172" i="15"/>
  <c r="AD179" i="15"/>
  <c r="AE179" i="15"/>
  <c r="AD176" i="15"/>
  <c r="AE176" i="15"/>
  <c r="AD178" i="15"/>
  <c r="AE178" i="15"/>
  <c r="AD191" i="15"/>
  <c r="AE191" i="15"/>
  <c r="AD192" i="15"/>
  <c r="AE192" i="15"/>
  <c r="AD183" i="15"/>
  <c r="AE183" i="15"/>
  <c r="AD189" i="15"/>
  <c r="AE189" i="15"/>
  <c r="AD195" i="15"/>
  <c r="AE195" i="15"/>
  <c r="AD217" i="15"/>
  <c r="AE217" i="15"/>
  <c r="AD218" i="15"/>
  <c r="AE218" i="15"/>
  <c r="AD174" i="15"/>
  <c r="AE174" i="15"/>
  <c r="AD190" i="15"/>
  <c r="AE190" i="15"/>
  <c r="AD219" i="15"/>
  <c r="AE219" i="15"/>
  <c r="AD182" i="15"/>
  <c r="AE182" i="15"/>
  <c r="AD185" i="15"/>
  <c r="AE185" i="15"/>
  <c r="AD220" i="15"/>
  <c r="AE220" i="15"/>
  <c r="AD199" i="15"/>
  <c r="AE199" i="15"/>
  <c r="AD221" i="15"/>
  <c r="AE221" i="15"/>
  <c r="AD186" i="15"/>
  <c r="AE186" i="15"/>
  <c r="AD188" i="15"/>
  <c r="AE188" i="15"/>
  <c r="AD200" i="15"/>
  <c r="AE200" i="15"/>
  <c r="AH200" i="15"/>
  <c r="AJ200" i="15" s="1"/>
  <c r="AD201" i="15"/>
  <c r="AE201" i="15"/>
  <c r="AH201" i="15"/>
  <c r="AJ201" i="15" s="1"/>
  <c r="AD175" i="15"/>
  <c r="AE175" i="15"/>
  <c r="AD193" i="15"/>
  <c r="AE193" i="15"/>
  <c r="AD173" i="15"/>
  <c r="AE173" i="15"/>
  <c r="AD222" i="15"/>
  <c r="AE222" i="15"/>
  <c r="AD202" i="15"/>
  <c r="AE202" i="15"/>
  <c r="AD203" i="15"/>
  <c r="AE203" i="15"/>
  <c r="AD204" i="15"/>
  <c r="AE204" i="15"/>
  <c r="AD223" i="15"/>
  <c r="AE223" i="15"/>
  <c r="AD224" i="15"/>
  <c r="AE224" i="15"/>
  <c r="AD225" i="15"/>
  <c r="AE225" i="15"/>
  <c r="AD226" i="15"/>
  <c r="AE226" i="15"/>
  <c r="AD227" i="15"/>
  <c r="AE227" i="15"/>
  <c r="AD228" i="15"/>
  <c r="AE228" i="15"/>
  <c r="AD229" i="15"/>
  <c r="AE229" i="15"/>
  <c r="AD230" i="15"/>
  <c r="AE230" i="15"/>
  <c r="AD231" i="15"/>
  <c r="AE231" i="15"/>
  <c r="AD232" i="15"/>
  <c r="AE232" i="15"/>
  <c r="AD233" i="15"/>
  <c r="AE233" i="15"/>
  <c r="AD234" i="15"/>
  <c r="AE234" i="15"/>
  <c r="AD235" i="15"/>
  <c r="AE235" i="15"/>
  <c r="AD236" i="15"/>
  <c r="AE236" i="15"/>
  <c r="AD237" i="15"/>
  <c r="AE237" i="15"/>
  <c r="F213" i="15"/>
  <c r="L213" i="15" s="1"/>
  <c r="C239" i="15"/>
  <c r="AH239" i="15" s="1"/>
  <c r="AJ239" i="15" s="1"/>
  <c r="D239" i="15"/>
  <c r="C56" i="15"/>
  <c r="AH56" i="15" s="1"/>
  <c r="AJ56" i="15" s="1"/>
  <c r="D56" i="15"/>
  <c r="C57" i="15"/>
  <c r="AH57" i="15" s="1"/>
  <c r="AJ57" i="15" s="1"/>
  <c r="D57" i="15"/>
  <c r="C58" i="15"/>
  <c r="AH58" i="15" s="1"/>
  <c r="AJ58" i="15" s="1"/>
  <c r="D58" i="15"/>
  <c r="C210" i="15"/>
  <c r="AH210" i="15" s="1"/>
  <c r="AJ210" i="15" s="1"/>
  <c r="D210" i="15"/>
  <c r="C211" i="15"/>
  <c r="AH211" i="15" s="1"/>
  <c r="AJ211" i="15" s="1"/>
  <c r="D211" i="15"/>
  <c r="C212" i="15"/>
  <c r="AH212" i="15" s="1"/>
  <c r="AJ212" i="15" s="1"/>
  <c r="D212" i="15"/>
  <c r="C59" i="15"/>
  <c r="AH59" i="15" s="1"/>
  <c r="AJ59" i="15" s="1"/>
  <c r="D59" i="15"/>
  <c r="C60" i="15"/>
  <c r="AH60" i="15" s="1"/>
  <c r="AJ60" i="15" s="1"/>
  <c r="D60" i="15"/>
  <c r="C61" i="15"/>
  <c r="AH61" i="15" s="1"/>
  <c r="AJ61" i="15" s="1"/>
  <c r="D61" i="15"/>
  <c r="C62" i="15"/>
  <c r="AH62" i="15" s="1"/>
  <c r="AJ62" i="15" s="1"/>
  <c r="D62" i="15"/>
  <c r="C63" i="15"/>
  <c r="AH63" i="15" s="1"/>
  <c r="AJ63" i="15" s="1"/>
  <c r="D63" i="15"/>
  <c r="C168" i="15"/>
  <c r="AH168" i="15" s="1"/>
  <c r="AJ168" i="15" s="1"/>
  <c r="D168" i="15"/>
  <c r="C138" i="15"/>
  <c r="AH138" i="15" s="1"/>
  <c r="AJ138" i="15" s="1"/>
  <c r="D138" i="15"/>
  <c r="C143" i="15"/>
  <c r="AH143" i="15" s="1"/>
  <c r="AJ143" i="15" s="1"/>
  <c r="D143" i="15"/>
  <c r="C214" i="15"/>
  <c r="AH214" i="15" s="1"/>
  <c r="AJ214" i="15" s="1"/>
  <c r="D214" i="15"/>
  <c r="C173" i="15"/>
  <c r="AH173" i="15" s="1"/>
  <c r="AJ173" i="15" s="1"/>
  <c r="D173" i="15"/>
  <c r="C222" i="15"/>
  <c r="AH222" i="15" s="1"/>
  <c r="AJ222" i="15" s="1"/>
  <c r="D222" i="15"/>
  <c r="C202" i="15"/>
  <c r="AH202" i="15" s="1"/>
  <c r="AJ202" i="15" s="1"/>
  <c r="D202" i="15"/>
  <c r="C203" i="15"/>
  <c r="AH203" i="15" s="1"/>
  <c r="AJ203" i="15" s="1"/>
  <c r="D203" i="15"/>
  <c r="C204" i="15"/>
  <c r="AH204" i="15" s="1"/>
  <c r="AJ204" i="15" s="1"/>
  <c r="D204" i="15"/>
  <c r="C223" i="15"/>
  <c r="AH223" i="15" s="1"/>
  <c r="AJ223" i="15" s="1"/>
  <c r="D223" i="15"/>
  <c r="C224" i="15"/>
  <c r="AH224" i="15" s="1"/>
  <c r="AJ224" i="15" s="1"/>
  <c r="D224" i="15"/>
  <c r="C225" i="15"/>
  <c r="AH225" i="15" s="1"/>
  <c r="AJ225" i="15" s="1"/>
  <c r="D225" i="15"/>
  <c r="C226" i="15"/>
  <c r="AH226" i="15" s="1"/>
  <c r="AJ226" i="15" s="1"/>
  <c r="D226" i="15"/>
  <c r="C227" i="15"/>
  <c r="AH227" i="15" s="1"/>
  <c r="AJ227" i="15" s="1"/>
  <c r="D227" i="15"/>
  <c r="C228" i="15"/>
  <c r="AH228" i="15" s="1"/>
  <c r="AJ228" i="15" s="1"/>
  <c r="D228" i="15"/>
  <c r="C229" i="15"/>
  <c r="AH229" i="15" s="1"/>
  <c r="AJ229" i="15" s="1"/>
  <c r="D229" i="15"/>
  <c r="C230" i="15"/>
  <c r="AH230" i="15" s="1"/>
  <c r="AJ230" i="15" s="1"/>
  <c r="D230" i="15"/>
  <c r="C231" i="15"/>
  <c r="AH231" i="15" s="1"/>
  <c r="AJ231" i="15" s="1"/>
  <c r="D231" i="15"/>
  <c r="C232" i="15"/>
  <c r="AH232" i="15" s="1"/>
  <c r="AJ232" i="15" s="1"/>
  <c r="D232" i="15"/>
  <c r="C233" i="15"/>
  <c r="AH233" i="15" s="1"/>
  <c r="AJ233" i="15" s="1"/>
  <c r="D233" i="15"/>
  <c r="C234" i="15"/>
  <c r="AH234" i="15" s="1"/>
  <c r="AJ234" i="15" s="1"/>
  <c r="D234" i="15"/>
  <c r="C235" i="15"/>
  <c r="AH235" i="15" s="1"/>
  <c r="AJ235" i="15" s="1"/>
  <c r="D235" i="15"/>
  <c r="C236" i="15"/>
  <c r="AH236" i="15" s="1"/>
  <c r="AJ236" i="15" s="1"/>
  <c r="D236" i="15"/>
  <c r="C237" i="15"/>
  <c r="AH237" i="15" s="1"/>
  <c r="AJ237" i="15" s="1"/>
  <c r="D237" i="15"/>
  <c r="D5" i="15"/>
  <c r="D7" i="15"/>
  <c r="D10" i="15"/>
  <c r="D8" i="15"/>
  <c r="D9" i="15"/>
  <c r="D11" i="15"/>
  <c r="D14" i="15"/>
  <c r="D18" i="15"/>
  <c r="D12" i="15"/>
  <c r="D13" i="15"/>
  <c r="D15" i="15"/>
  <c r="D17" i="15"/>
  <c r="D21" i="15"/>
  <c r="D19" i="15"/>
  <c r="D16" i="15"/>
  <c r="D20" i="15"/>
  <c r="D27" i="15"/>
  <c r="D22" i="15"/>
  <c r="D28" i="15"/>
  <c r="D207" i="15"/>
  <c r="D24" i="15"/>
  <c r="D30" i="15"/>
  <c r="D25" i="15"/>
  <c r="D26" i="15"/>
  <c r="D33" i="15"/>
  <c r="D205" i="15"/>
  <c r="D29" i="15"/>
  <c r="D31" i="15"/>
  <c r="D23" i="15"/>
  <c r="D32" i="15"/>
  <c r="D34" i="15"/>
  <c r="D37" i="15"/>
  <c r="D36" i="15"/>
  <c r="D39" i="15"/>
  <c r="D38" i="15"/>
  <c r="D40" i="15"/>
  <c r="D35" i="15"/>
  <c r="D43" i="15"/>
  <c r="D41" i="15"/>
  <c r="D44" i="15"/>
  <c r="D45" i="15"/>
  <c r="D42" i="15"/>
  <c r="D47" i="15"/>
  <c r="D50" i="15"/>
  <c r="D48" i="15"/>
  <c r="D49" i="15"/>
  <c r="D51" i="15"/>
  <c r="D46" i="15"/>
  <c r="D52" i="15"/>
  <c r="D206" i="15"/>
  <c r="D53" i="15"/>
  <c r="D54" i="15"/>
  <c r="D55" i="15"/>
  <c r="D6" i="15"/>
  <c r="J230" i="15" l="1"/>
  <c r="J228" i="15"/>
  <c r="J236" i="15"/>
  <c r="J234" i="15"/>
  <c r="J232" i="15"/>
  <c r="J237" i="15"/>
  <c r="J235" i="15"/>
  <c r="J233" i="15"/>
  <c r="J231" i="15"/>
  <c r="J229" i="15"/>
  <c r="J227" i="15"/>
  <c r="J212" i="15"/>
  <c r="J239" i="15"/>
  <c r="J211" i="15"/>
  <c r="AF168" i="15"/>
  <c r="AG168" i="15" s="1"/>
  <c r="AF215" i="15"/>
  <c r="AG215" i="15" s="1"/>
  <c r="AF38" i="15"/>
  <c r="AG38" i="15" s="1"/>
  <c r="AF73" i="15"/>
  <c r="AG73" i="15" s="1"/>
  <c r="AF234" i="15"/>
  <c r="AG234" i="15" s="1"/>
  <c r="AF237" i="15"/>
  <c r="AG237" i="15" s="1"/>
  <c r="AF236" i="15"/>
  <c r="AG236" i="15" s="1"/>
  <c r="AF145" i="15"/>
  <c r="AG145" i="15" s="1"/>
  <c r="AF231" i="15"/>
  <c r="AG231" i="15" s="1"/>
  <c r="AF201" i="15"/>
  <c r="AG201" i="15" s="1"/>
  <c r="AF62" i="15"/>
  <c r="AG62" i="15" s="1"/>
  <c r="AF226" i="15"/>
  <c r="AG226" i="15" s="1"/>
  <c r="AF220" i="15"/>
  <c r="AG220" i="15" s="1"/>
  <c r="AF203" i="15"/>
  <c r="AG203" i="15" s="1"/>
  <c r="AF221" i="15"/>
  <c r="AG221" i="15" s="1"/>
  <c r="AF61" i="15"/>
  <c r="AG61" i="15" s="1"/>
  <c r="AF41" i="15"/>
  <c r="AG41" i="15" s="1"/>
  <c r="AF229" i="15"/>
  <c r="AG229" i="15" s="1"/>
  <c r="AF225" i="15"/>
  <c r="AG225" i="15" s="1"/>
  <c r="AF138" i="15"/>
  <c r="AG138" i="15" s="1"/>
  <c r="AF228" i="15"/>
  <c r="AG228" i="15" s="1"/>
  <c r="AF218" i="15"/>
  <c r="AG218" i="15" s="1"/>
  <c r="AF223" i="15"/>
  <c r="AG223" i="15" s="1"/>
  <c r="AF180" i="15"/>
  <c r="AG180" i="15" s="1"/>
  <c r="AF40" i="15"/>
  <c r="AG40" i="15" s="1"/>
  <c r="AF120" i="15"/>
  <c r="AG120" i="15" s="1"/>
  <c r="AF232" i="15"/>
  <c r="AG232" i="15" s="1"/>
  <c r="AF141" i="15"/>
  <c r="AG141" i="15" s="1"/>
  <c r="AF217" i="15"/>
  <c r="AG217" i="15" s="1"/>
  <c r="AF227" i="15"/>
  <c r="AG227" i="15" s="1"/>
  <c r="AF213" i="15"/>
  <c r="AG213" i="15" s="1"/>
  <c r="AF204" i="15"/>
  <c r="AG204" i="15" s="1"/>
  <c r="AF127" i="15"/>
  <c r="AG127" i="15" s="1"/>
  <c r="AF222" i="15"/>
  <c r="AG222" i="15" s="1"/>
  <c r="AF206" i="15"/>
  <c r="AG206" i="15" s="1"/>
  <c r="AF235" i="15"/>
  <c r="AG235" i="15" s="1"/>
  <c r="AF230" i="15"/>
  <c r="AG230" i="15" s="1"/>
  <c r="AF192" i="15"/>
  <c r="AG192" i="15" s="1"/>
  <c r="AF142" i="15"/>
  <c r="AG142" i="15" s="1"/>
  <c r="AF66" i="15"/>
  <c r="AG66" i="15" s="1"/>
  <c r="AF144" i="15"/>
  <c r="AG144" i="15" s="1"/>
  <c r="AF52" i="15"/>
  <c r="AG52" i="15" s="1"/>
  <c r="AF212" i="15"/>
  <c r="AG212" i="15" s="1"/>
  <c r="AF211" i="15"/>
  <c r="AG211" i="15" s="1"/>
  <c r="AF43" i="15"/>
  <c r="AG43" i="15" s="1"/>
  <c r="AF39" i="15"/>
  <c r="AG39" i="15" s="1"/>
  <c r="AF60" i="15"/>
  <c r="AG60" i="15" s="1"/>
  <c r="AF59" i="15"/>
  <c r="AG59" i="15" s="1"/>
  <c r="AF51" i="15"/>
  <c r="AG51" i="15" s="1"/>
  <c r="AF197" i="15"/>
  <c r="AG197" i="15" s="1"/>
  <c r="AF199" i="15"/>
  <c r="AG199" i="15" s="1"/>
  <c r="AF200" i="15"/>
  <c r="AG200" i="15" s="1"/>
  <c r="AF177" i="15"/>
  <c r="AG177" i="15" s="1"/>
  <c r="M213" i="15"/>
  <c r="AF233" i="15"/>
  <c r="AG233" i="15" s="1"/>
  <c r="AF214" i="15"/>
  <c r="AG214" i="15" s="1"/>
  <c r="AF146" i="15"/>
  <c r="AG146" i="15" s="1"/>
  <c r="AF179" i="15"/>
  <c r="AG179" i="15" s="1"/>
  <c r="AF224" i="15"/>
  <c r="AG224" i="15" s="1"/>
  <c r="AF219" i="15"/>
  <c r="AG219" i="15" s="1"/>
  <c r="AF189" i="15"/>
  <c r="AG189" i="15" s="1"/>
  <c r="AF47" i="15"/>
  <c r="AG47" i="15" s="1"/>
  <c r="AF63" i="15"/>
  <c r="AG63" i="15" s="1"/>
  <c r="AF42" i="15"/>
  <c r="AG42" i="15" s="1"/>
  <c r="AF210" i="15"/>
  <c r="AG210" i="15" s="1"/>
  <c r="AF45" i="15"/>
  <c r="AG45" i="15" s="1"/>
  <c r="I239" i="15" l="1"/>
  <c r="I232" i="15"/>
  <c r="AK232" i="15" s="1"/>
  <c r="AL232" i="15" s="1"/>
  <c r="AI232" i="15" s="1"/>
  <c r="AO232" i="15" s="1"/>
  <c r="I212" i="15"/>
  <c r="AK212" i="15" s="1"/>
  <c r="AL212" i="15" s="1"/>
  <c r="AI212" i="15" s="1"/>
  <c r="AO212" i="15" s="1"/>
  <c r="I228" i="15"/>
  <c r="AK228" i="15" s="1"/>
  <c r="I236" i="15"/>
  <c r="AK236" i="15" s="1"/>
  <c r="AL236" i="15" s="1"/>
  <c r="AI236" i="15" s="1"/>
  <c r="AO236" i="15" s="1"/>
  <c r="I237" i="15"/>
  <c r="AK237" i="15" s="1"/>
  <c r="AL237" i="15" s="1"/>
  <c r="AI237" i="15" s="1"/>
  <c r="AO237" i="15" s="1"/>
  <c r="I227" i="15"/>
  <c r="AK227" i="15" s="1"/>
  <c r="I230" i="15"/>
  <c r="AK230" i="15" s="1"/>
  <c r="AL230" i="15" s="1"/>
  <c r="AI230" i="15" s="1"/>
  <c r="AO230" i="15" s="1"/>
  <c r="I235" i="15"/>
  <c r="AK235" i="15" s="1"/>
  <c r="AL235" i="15" s="1"/>
  <c r="AI235" i="15" s="1"/>
  <c r="AO235" i="15" s="1"/>
  <c r="I229" i="15"/>
  <c r="AK229" i="15" s="1"/>
  <c r="AL229" i="15" s="1"/>
  <c r="AI229" i="15" s="1"/>
  <c r="AO229" i="15" s="1"/>
  <c r="I231" i="15"/>
  <c r="AK231" i="15" s="1"/>
  <c r="I211" i="15"/>
  <c r="AK211" i="15" s="1"/>
  <c r="I233" i="15"/>
  <c r="AK233" i="15" s="1"/>
  <c r="AL233" i="15" s="1"/>
  <c r="AI233" i="15" s="1"/>
  <c r="AO233" i="15" s="1"/>
  <c r="I234" i="15"/>
  <c r="AK234" i="15" s="1"/>
  <c r="AL234" i="15" s="1"/>
  <c r="AI234" i="15" s="1"/>
  <c r="AO234" i="15" s="1"/>
  <c r="AM228" i="15" l="1"/>
  <c r="AN228" i="15" s="1"/>
  <c r="G233" i="15"/>
  <c r="G232" i="15"/>
  <c r="G212" i="15"/>
  <c r="G231" i="15"/>
  <c r="G229" i="15"/>
  <c r="G237" i="15"/>
  <c r="G235" i="15"/>
  <c r="G230" i="15"/>
  <c r="G228" i="15"/>
  <c r="G239" i="15"/>
  <c r="G236" i="15"/>
  <c r="G234" i="15"/>
  <c r="G227" i="15"/>
  <c r="G211" i="15"/>
  <c r="AM212" i="15"/>
  <c r="AN212" i="15" s="1"/>
  <c r="AL228" i="15"/>
  <c r="AI228" i="15" s="1"/>
  <c r="AO228" i="15" s="1"/>
  <c r="AQ228" i="15" s="1"/>
  <c r="AR228" i="15" s="1"/>
  <c r="AM236" i="15"/>
  <c r="AN236" i="15" s="1"/>
  <c r="AV234" i="15"/>
  <c r="AP234" i="15"/>
  <c r="AM230" i="15"/>
  <c r="AN230" i="15" s="1"/>
  <c r="AM211" i="15"/>
  <c r="AN211" i="15" s="1"/>
  <c r="AM231" i="15"/>
  <c r="AN231" i="15" s="1"/>
  <c r="AM235" i="15"/>
  <c r="AN235" i="15" s="1"/>
  <c r="AM227" i="15"/>
  <c r="AN227" i="15" s="1"/>
  <c r="AL227" i="15"/>
  <c r="AI227" i="15" s="1"/>
  <c r="AO227" i="15" s="1"/>
  <c r="AL231" i="15"/>
  <c r="AI231" i="15" s="1"/>
  <c r="AO231" i="15" s="1"/>
  <c r="AV231" i="15" s="1"/>
  <c r="AL211" i="15"/>
  <c r="AI211" i="15" s="1"/>
  <c r="AO211" i="15" s="1"/>
  <c r="AQ234" i="15"/>
  <c r="AR234" i="15" s="1"/>
  <c r="AQ229" i="15"/>
  <c r="AR229" i="15" s="1"/>
  <c r="AP229" i="15"/>
  <c r="AM237" i="15"/>
  <c r="AN237" i="15" s="1"/>
  <c r="X211" i="15"/>
  <c r="AB211" i="15"/>
  <c r="X228" i="15"/>
  <c r="AB228" i="15"/>
  <c r="AM232" i="15"/>
  <c r="AN232" i="15" s="1"/>
  <c r="AB230" i="15"/>
  <c r="X230" i="15"/>
  <c r="AM233" i="15"/>
  <c r="AN233" i="15" s="1"/>
  <c r="AB231" i="15"/>
  <c r="X231" i="15"/>
  <c r="X212" i="15"/>
  <c r="AB212" i="15"/>
  <c r="AM229" i="15"/>
  <c r="AN229" i="15" s="1"/>
  <c r="AB234" i="15"/>
  <c r="X234" i="15"/>
  <c r="X232" i="15"/>
  <c r="AB232" i="15"/>
  <c r="AM234" i="15"/>
  <c r="AN234" i="15" s="1"/>
  <c r="X235" i="15"/>
  <c r="AB235" i="15"/>
  <c r="X227" i="15"/>
  <c r="AB227" i="15"/>
  <c r="AB239" i="15"/>
  <c r="X239" i="15"/>
  <c r="AB233" i="15"/>
  <c r="X233" i="15"/>
  <c r="X229" i="15"/>
  <c r="AB229" i="15"/>
  <c r="X237" i="15"/>
  <c r="AB237" i="15"/>
  <c r="AB236" i="15"/>
  <c r="X236" i="15"/>
  <c r="AV229" i="15"/>
  <c r="AV232" i="15"/>
  <c r="AP232" i="15"/>
  <c r="AQ232" i="15"/>
  <c r="AR232" i="15" s="1"/>
  <c r="AP237" i="15"/>
  <c r="AV237" i="15"/>
  <c r="AQ237" i="15"/>
  <c r="AR237" i="15" s="1"/>
  <c r="AP236" i="15"/>
  <c r="AQ236" i="15"/>
  <c r="AR236" i="15" s="1"/>
  <c r="AV236" i="15"/>
  <c r="AV233" i="15"/>
  <c r="AP233" i="15"/>
  <c r="AQ233" i="15"/>
  <c r="AR233" i="15" s="1"/>
  <c r="AV230" i="15"/>
  <c r="AP230" i="15"/>
  <c r="AQ230" i="15"/>
  <c r="AR230" i="15" s="1"/>
  <c r="AQ235" i="15"/>
  <c r="AR235" i="15" s="1"/>
  <c r="AV235" i="15"/>
  <c r="AP235" i="15"/>
  <c r="AQ212" i="15"/>
  <c r="AR212" i="15" s="1"/>
  <c r="AV212" i="15"/>
  <c r="AP212" i="15"/>
  <c r="AV228" i="15" l="1"/>
  <c r="AP228" i="15"/>
  <c r="AQ211" i="15"/>
  <c r="AR211" i="15" s="1"/>
  <c r="AP227" i="15"/>
  <c r="AP231" i="15"/>
  <c r="AV211" i="15"/>
  <c r="AV227" i="15"/>
  <c r="AP211" i="15"/>
  <c r="AQ227" i="15"/>
  <c r="AR227" i="15" s="1"/>
  <c r="AQ231" i="15"/>
  <c r="AR231" i="15" s="1"/>
  <c r="C134" i="15" l="1"/>
  <c r="AH134" i="15" s="1"/>
  <c r="AJ134" i="15" s="1"/>
  <c r="C164" i="15"/>
  <c r="AH164" i="15" s="1"/>
  <c r="AJ164" i="15" s="1"/>
  <c r="C166" i="15"/>
  <c r="AH166" i="15" s="1"/>
  <c r="AJ166" i="15" s="1"/>
  <c r="C169" i="15"/>
  <c r="AH169" i="15" s="1"/>
  <c r="AJ169" i="15" s="1"/>
  <c r="C170" i="15"/>
  <c r="AH170" i="15" s="1"/>
  <c r="AJ170" i="15" s="1"/>
  <c r="C158" i="15"/>
  <c r="AH158" i="15" s="1"/>
  <c r="AJ158" i="15" s="1"/>
  <c r="C187" i="15"/>
  <c r="AH187" i="15" s="1"/>
  <c r="AJ187" i="15" s="1"/>
  <c r="C196" i="15"/>
  <c r="AH196" i="15" s="1"/>
  <c r="AJ196" i="15" s="1"/>
  <c r="C216" i="15"/>
  <c r="AH216" i="15" s="1"/>
  <c r="AJ216" i="15" s="1"/>
  <c r="C180" i="15"/>
  <c r="AH180" i="15" s="1"/>
  <c r="AJ180" i="15" s="1"/>
  <c r="C197" i="15"/>
  <c r="AH197" i="15" s="1"/>
  <c r="AJ197" i="15" s="1"/>
  <c r="C177" i="15"/>
  <c r="AH177" i="15" s="1"/>
  <c r="AJ177" i="15" s="1"/>
  <c r="C198" i="15"/>
  <c r="AH198" i="15" s="1"/>
  <c r="AJ198" i="15" s="1"/>
  <c r="C194" i="15"/>
  <c r="AH194" i="15" s="1"/>
  <c r="AJ194" i="15" s="1"/>
  <c r="C184" i="15"/>
  <c r="AH184" i="15" s="1"/>
  <c r="AJ184" i="15" s="1"/>
  <c r="C172" i="15"/>
  <c r="AH172" i="15" s="1"/>
  <c r="AJ172" i="15" s="1"/>
  <c r="C179" i="15"/>
  <c r="AH179" i="15" s="1"/>
  <c r="AJ179" i="15" s="1"/>
  <c r="C176" i="15"/>
  <c r="AH176" i="15" s="1"/>
  <c r="AJ176" i="15" s="1"/>
  <c r="C178" i="15"/>
  <c r="AH178" i="15" s="1"/>
  <c r="AJ178" i="15" s="1"/>
  <c r="C191" i="15"/>
  <c r="AH191" i="15" s="1"/>
  <c r="AJ191" i="15" s="1"/>
  <c r="C192" i="15"/>
  <c r="AH192" i="15" s="1"/>
  <c r="AJ192" i="15" s="1"/>
  <c r="C183" i="15"/>
  <c r="AH183" i="15" s="1"/>
  <c r="AJ183" i="15" s="1"/>
  <c r="C189" i="15"/>
  <c r="AH189" i="15" s="1"/>
  <c r="AJ189" i="15" s="1"/>
  <c r="C195" i="15"/>
  <c r="AH195" i="15" s="1"/>
  <c r="AJ195" i="15" s="1"/>
  <c r="C217" i="15"/>
  <c r="AH217" i="15" s="1"/>
  <c r="AJ217" i="15" s="1"/>
  <c r="C218" i="15"/>
  <c r="AH218" i="15" s="1"/>
  <c r="AJ218" i="15" s="1"/>
  <c r="C174" i="15"/>
  <c r="AH174" i="15" s="1"/>
  <c r="AJ174" i="15" s="1"/>
  <c r="C190" i="15"/>
  <c r="AH190" i="15" s="1"/>
  <c r="AJ190" i="15" s="1"/>
  <c r="C219" i="15"/>
  <c r="AH219" i="15" s="1"/>
  <c r="AJ219" i="15" s="1"/>
  <c r="C182" i="15"/>
  <c r="AH182" i="15" s="1"/>
  <c r="AJ182" i="15" s="1"/>
  <c r="C185" i="15"/>
  <c r="AH185" i="15" s="1"/>
  <c r="AJ185" i="15" s="1"/>
  <c r="C220" i="15"/>
  <c r="AH220" i="15" s="1"/>
  <c r="AJ220" i="15" s="1"/>
  <c r="C199" i="15"/>
  <c r="AH199" i="15" s="1"/>
  <c r="AJ199" i="15" s="1"/>
  <c r="C221" i="15"/>
  <c r="AH221" i="15" s="1"/>
  <c r="AJ221" i="15" s="1"/>
  <c r="C186" i="15"/>
  <c r="AH186" i="15" s="1"/>
  <c r="AJ186" i="15" s="1"/>
  <c r="C188" i="15"/>
  <c r="AH188" i="15" s="1"/>
  <c r="AJ188" i="15" s="1"/>
  <c r="C209" i="15"/>
  <c r="AH209" i="15" s="1"/>
  <c r="AJ209" i="15" s="1"/>
  <c r="C206" i="15"/>
  <c r="AH206" i="15" s="1"/>
  <c r="AJ206" i="15" s="1"/>
  <c r="C53" i="15"/>
  <c r="AH53" i="15" s="1"/>
  <c r="AJ53" i="15" s="1"/>
  <c r="C54" i="15"/>
  <c r="AH54" i="15" s="1"/>
  <c r="AJ54" i="15" s="1"/>
  <c r="C175" i="15"/>
  <c r="AH175" i="15" s="1"/>
  <c r="AJ175" i="15" s="1"/>
  <c r="C193" i="15"/>
  <c r="AH193" i="15" s="1"/>
  <c r="AJ193" i="15" s="1"/>
  <c r="D175" i="15"/>
  <c r="D193" i="15"/>
  <c r="F13" i="25"/>
  <c r="G13" i="25" s="1"/>
  <c r="D13" i="25"/>
  <c r="C13" i="25"/>
  <c r="B13" i="25"/>
  <c r="D165" i="15"/>
  <c r="D67" i="15"/>
  <c r="D68" i="15"/>
  <c r="D69" i="15"/>
  <c r="D72" i="15"/>
  <c r="D70" i="15"/>
  <c r="D73" i="15"/>
  <c r="D76" i="15"/>
  <c r="D79" i="15"/>
  <c r="D74" i="15"/>
  <c r="D85" i="15"/>
  <c r="D89" i="15"/>
  <c r="D84" i="15"/>
  <c r="D82" i="15"/>
  <c r="D83" i="15"/>
  <c r="D77" i="15"/>
  <c r="D238" i="15"/>
  <c r="D94" i="15"/>
  <c r="D95" i="15"/>
  <c r="D92" i="15"/>
  <c r="D78" i="15"/>
  <c r="D80" i="15"/>
  <c r="D86" i="15"/>
  <c r="D90" i="15"/>
  <c r="D87" i="15"/>
  <c r="D91" i="15"/>
  <c r="D88" i="15"/>
  <c r="D134" i="15"/>
  <c r="D105" i="15"/>
  <c r="D110" i="15"/>
  <c r="D97" i="15"/>
  <c r="D101" i="15"/>
  <c r="D108" i="15"/>
  <c r="D103" i="15"/>
  <c r="D114" i="15"/>
  <c r="D98" i="15"/>
  <c r="D106" i="15"/>
  <c r="D112" i="15"/>
  <c r="D109" i="15"/>
  <c r="D100" i="15"/>
  <c r="D102" i="15"/>
  <c r="D113" i="15"/>
  <c r="D107" i="15"/>
  <c r="D117" i="15"/>
  <c r="D120" i="15"/>
  <c r="D116" i="15"/>
  <c r="D122" i="15"/>
  <c r="D121" i="15"/>
  <c r="D215" i="15"/>
  <c r="D129" i="15"/>
  <c r="D127" i="15"/>
  <c r="D126" i="15"/>
  <c r="D130" i="15"/>
  <c r="D131" i="15"/>
  <c r="D132" i="15"/>
  <c r="D125" i="15"/>
  <c r="D75" i="15"/>
  <c r="D119" i="15"/>
  <c r="D93" i="15"/>
  <c r="D133" i="15"/>
  <c r="D135" i="15"/>
  <c r="D99" i="15"/>
  <c r="D128" i="15"/>
  <c r="D208" i="15"/>
  <c r="D137" i="15"/>
  <c r="D136" i="15"/>
  <c r="D139" i="15"/>
  <c r="D140" i="15"/>
  <c r="D147" i="15"/>
  <c r="D213" i="15"/>
  <c r="D142" i="15"/>
  <c r="D144" i="15"/>
  <c r="D111" i="15"/>
  <c r="D104" i="15"/>
  <c r="D96" i="15"/>
  <c r="D155" i="15"/>
  <c r="D152" i="15"/>
  <c r="D157" i="15"/>
  <c r="D156" i="15"/>
  <c r="D159" i="15"/>
  <c r="D161" i="15"/>
  <c r="D153" i="15"/>
  <c r="D163" i="15"/>
  <c r="D162" i="15"/>
  <c r="D164" i="15"/>
  <c r="D166" i="15"/>
  <c r="D169" i="15"/>
  <c r="D170" i="15"/>
  <c r="D158" i="15"/>
  <c r="D187" i="15"/>
  <c r="D196" i="15"/>
  <c r="D216" i="15"/>
  <c r="D180" i="15"/>
  <c r="D197" i="15"/>
  <c r="D177" i="15"/>
  <c r="D198" i="15"/>
  <c r="D194" i="15"/>
  <c r="D184" i="15"/>
  <c r="D172" i="15"/>
  <c r="D179" i="15"/>
  <c r="D176" i="15"/>
  <c r="D178" i="15"/>
  <c r="D191" i="15"/>
  <c r="D192" i="15"/>
  <c r="D183" i="15"/>
  <c r="D189" i="15"/>
  <c r="D195" i="15"/>
  <c r="D217" i="15"/>
  <c r="D218" i="15"/>
  <c r="D174" i="15"/>
  <c r="D190" i="15"/>
  <c r="D219" i="15"/>
  <c r="D182" i="15"/>
  <c r="D185" i="15"/>
  <c r="D220" i="15"/>
  <c r="D199" i="15"/>
  <c r="D221" i="15"/>
  <c r="D186" i="15"/>
  <c r="D188" i="15"/>
  <c r="D209" i="15"/>
  <c r="D145" i="15"/>
  <c r="D146" i="15"/>
  <c r="D66" i="15"/>
  <c r="D171" i="15"/>
  <c r="D200" i="15"/>
  <c r="D201" i="15"/>
  <c r="D141" i="15"/>
  <c r="C5" i="15"/>
  <c r="AH5" i="15" s="1"/>
  <c r="AJ5" i="15" s="1"/>
  <c r="C7" i="15"/>
  <c r="AH7" i="15" s="1"/>
  <c r="AJ7" i="15" s="1"/>
  <c r="C10" i="15"/>
  <c r="AH10" i="15" s="1"/>
  <c r="AJ10" i="15" s="1"/>
  <c r="C8" i="15"/>
  <c r="AH8" i="15" s="1"/>
  <c r="AJ8" i="15" s="1"/>
  <c r="C9" i="15"/>
  <c r="AH9" i="15" s="1"/>
  <c r="AJ9" i="15" s="1"/>
  <c r="C11" i="15"/>
  <c r="AH11" i="15" s="1"/>
  <c r="AJ11" i="15" s="1"/>
  <c r="C14" i="15"/>
  <c r="AH14" i="15" s="1"/>
  <c r="AJ14" i="15" s="1"/>
  <c r="C18" i="15"/>
  <c r="AH18" i="15" s="1"/>
  <c r="AJ18" i="15" s="1"/>
  <c r="C12" i="15"/>
  <c r="AH12" i="15" s="1"/>
  <c r="AJ12" i="15" s="1"/>
  <c r="C13" i="15"/>
  <c r="AH13" i="15" s="1"/>
  <c r="AJ13" i="15" s="1"/>
  <c r="C15" i="15"/>
  <c r="AH15" i="15" s="1"/>
  <c r="AJ15" i="15" s="1"/>
  <c r="C17" i="15"/>
  <c r="AH17" i="15" s="1"/>
  <c r="AJ17" i="15" s="1"/>
  <c r="C21" i="15"/>
  <c r="AH21" i="15" s="1"/>
  <c r="AJ21" i="15" s="1"/>
  <c r="C19" i="15"/>
  <c r="AH19" i="15" s="1"/>
  <c r="AJ19" i="15" s="1"/>
  <c r="C16" i="15"/>
  <c r="AH16" i="15" s="1"/>
  <c r="AJ16" i="15" s="1"/>
  <c r="C20" i="15"/>
  <c r="AH20" i="15" s="1"/>
  <c r="AJ20" i="15" s="1"/>
  <c r="C27" i="15"/>
  <c r="AH27" i="15" s="1"/>
  <c r="AJ27" i="15" s="1"/>
  <c r="C22" i="15"/>
  <c r="AH22" i="15" s="1"/>
  <c r="AJ22" i="15" s="1"/>
  <c r="C28" i="15"/>
  <c r="AH28" i="15" s="1"/>
  <c r="AJ28" i="15" s="1"/>
  <c r="C207" i="15"/>
  <c r="AH207" i="15" s="1"/>
  <c r="AJ207" i="15" s="1"/>
  <c r="C24" i="15"/>
  <c r="AH24" i="15" s="1"/>
  <c r="AJ24" i="15" s="1"/>
  <c r="C30" i="15"/>
  <c r="AH30" i="15" s="1"/>
  <c r="AJ30" i="15" s="1"/>
  <c r="C25" i="15"/>
  <c r="AH25" i="15" s="1"/>
  <c r="AJ25" i="15" s="1"/>
  <c r="C26" i="15"/>
  <c r="AH26" i="15" s="1"/>
  <c r="AJ26" i="15" s="1"/>
  <c r="C33" i="15"/>
  <c r="AH33" i="15" s="1"/>
  <c r="AJ33" i="15" s="1"/>
  <c r="C205" i="15"/>
  <c r="AH205" i="15" s="1"/>
  <c r="AJ205" i="15" s="1"/>
  <c r="C29" i="15"/>
  <c r="AH29" i="15" s="1"/>
  <c r="AJ29" i="15" s="1"/>
  <c r="C31" i="15"/>
  <c r="AH31" i="15" s="1"/>
  <c r="AJ31" i="15" s="1"/>
  <c r="C23" i="15"/>
  <c r="AH23" i="15" s="1"/>
  <c r="AJ23" i="15" s="1"/>
  <c r="C32" i="15"/>
  <c r="AH32" i="15" s="1"/>
  <c r="AJ32" i="15" s="1"/>
  <c r="C34" i="15"/>
  <c r="AH34" i="15" s="1"/>
  <c r="AJ34" i="15" s="1"/>
  <c r="C37" i="15"/>
  <c r="AH37" i="15" s="1"/>
  <c r="AJ37" i="15" s="1"/>
  <c r="C36" i="15"/>
  <c r="AH36" i="15" s="1"/>
  <c r="AJ36" i="15" s="1"/>
  <c r="C39" i="15"/>
  <c r="AH39" i="15" s="1"/>
  <c r="AJ39" i="15" s="1"/>
  <c r="C38" i="15"/>
  <c r="AH38" i="15" s="1"/>
  <c r="AJ38" i="15" s="1"/>
  <c r="C40" i="15"/>
  <c r="AH40" i="15" s="1"/>
  <c r="AJ40" i="15" s="1"/>
  <c r="C35" i="15"/>
  <c r="AH35" i="15" s="1"/>
  <c r="AJ35" i="15" s="1"/>
  <c r="C43" i="15"/>
  <c r="AH43" i="15" s="1"/>
  <c r="AJ43" i="15" s="1"/>
  <c r="C41" i="15"/>
  <c r="AH41" i="15" s="1"/>
  <c r="AJ41" i="15" s="1"/>
  <c r="C44" i="15"/>
  <c r="AH44" i="15" s="1"/>
  <c r="AJ44" i="15" s="1"/>
  <c r="C45" i="15"/>
  <c r="AH45" i="15" s="1"/>
  <c r="AJ45" i="15" s="1"/>
  <c r="C42" i="15"/>
  <c r="AH42" i="15" s="1"/>
  <c r="AJ42" i="15" s="1"/>
  <c r="C47" i="15"/>
  <c r="AH47" i="15" s="1"/>
  <c r="AJ47" i="15" s="1"/>
  <c r="C50" i="15"/>
  <c r="AH50" i="15" s="1"/>
  <c r="AJ50" i="15" s="1"/>
  <c r="C48" i="15"/>
  <c r="AH48" i="15" s="1"/>
  <c r="AJ48" i="15" s="1"/>
  <c r="C49" i="15"/>
  <c r="AH49" i="15" s="1"/>
  <c r="AJ49" i="15" s="1"/>
  <c r="C51" i="15"/>
  <c r="AH51" i="15" s="1"/>
  <c r="AJ51" i="15" s="1"/>
  <c r="C65" i="15"/>
  <c r="AH65" i="15" s="1"/>
  <c r="AJ65" i="15" s="1"/>
  <c r="C154" i="15"/>
  <c r="AH154" i="15" s="1"/>
  <c r="AJ154" i="15" s="1"/>
  <c r="C118" i="15"/>
  <c r="AH118" i="15" s="1"/>
  <c r="AJ118" i="15" s="1"/>
  <c r="C115" i="15"/>
  <c r="AH115" i="15" s="1"/>
  <c r="AJ115" i="15" s="1"/>
  <c r="C81" i="15"/>
  <c r="AH81" i="15" s="1"/>
  <c r="AJ81" i="15" s="1"/>
  <c r="C165" i="15"/>
  <c r="AH165" i="15" s="1"/>
  <c r="AJ165" i="15" s="1"/>
  <c r="C64" i="15"/>
  <c r="AH64" i="15" s="1"/>
  <c r="AJ64" i="15" s="1"/>
  <c r="C67" i="15"/>
  <c r="AH67" i="15" s="1"/>
  <c r="AJ67" i="15" s="1"/>
  <c r="C68" i="15"/>
  <c r="AH68" i="15" s="1"/>
  <c r="AJ68" i="15" s="1"/>
  <c r="C69" i="15"/>
  <c r="AH69" i="15" s="1"/>
  <c r="AJ69" i="15" s="1"/>
  <c r="C72" i="15"/>
  <c r="AH72" i="15" s="1"/>
  <c r="AJ72" i="15" s="1"/>
  <c r="C70" i="15"/>
  <c r="AH70" i="15" s="1"/>
  <c r="AJ70" i="15" s="1"/>
  <c r="C71" i="15"/>
  <c r="AH71" i="15" s="1"/>
  <c r="AJ71" i="15" s="1"/>
  <c r="C73" i="15"/>
  <c r="AH73" i="15" s="1"/>
  <c r="AJ73" i="15" s="1"/>
  <c r="C76" i="15"/>
  <c r="AH76" i="15" s="1"/>
  <c r="AJ76" i="15" s="1"/>
  <c r="C79" i="15"/>
  <c r="AH79" i="15" s="1"/>
  <c r="AJ79" i="15" s="1"/>
  <c r="C74" i="15"/>
  <c r="AH74" i="15" s="1"/>
  <c r="AJ74" i="15" s="1"/>
  <c r="C85" i="15"/>
  <c r="AH85" i="15" s="1"/>
  <c r="AJ85" i="15" s="1"/>
  <c r="C89" i="15"/>
  <c r="AH89" i="15" s="1"/>
  <c r="AJ89" i="15" s="1"/>
  <c r="C84" i="15"/>
  <c r="AH84" i="15" s="1"/>
  <c r="AJ84" i="15" s="1"/>
  <c r="C82" i="15"/>
  <c r="AH82" i="15" s="1"/>
  <c r="AJ82" i="15" s="1"/>
  <c r="C83" i="15"/>
  <c r="AH83" i="15" s="1"/>
  <c r="AJ83" i="15" s="1"/>
  <c r="AH77" i="15"/>
  <c r="AJ77" i="15" s="1"/>
  <c r="C238" i="15"/>
  <c r="AH238" i="15" s="1"/>
  <c r="AJ238" i="15" s="1"/>
  <c r="C94" i="15"/>
  <c r="AH94" i="15" s="1"/>
  <c r="AJ94" i="15" s="1"/>
  <c r="C95" i="15"/>
  <c r="AH95" i="15" s="1"/>
  <c r="AJ95" i="15" s="1"/>
  <c r="C92" i="15"/>
  <c r="AH92" i="15" s="1"/>
  <c r="AJ92" i="15" s="1"/>
  <c r="C78" i="15"/>
  <c r="AH78" i="15" s="1"/>
  <c r="AJ78" i="15" s="1"/>
  <c r="C80" i="15"/>
  <c r="AH80" i="15" s="1"/>
  <c r="AJ80" i="15" s="1"/>
  <c r="C86" i="15"/>
  <c r="AH86" i="15" s="1"/>
  <c r="AJ86" i="15" s="1"/>
  <c r="C90" i="15"/>
  <c r="AH90" i="15" s="1"/>
  <c r="AJ90" i="15" s="1"/>
  <c r="C87" i="15"/>
  <c r="AH87" i="15" s="1"/>
  <c r="AJ87" i="15" s="1"/>
  <c r="C91" i="15"/>
  <c r="AH91" i="15" s="1"/>
  <c r="AJ91" i="15" s="1"/>
  <c r="C88" i="15"/>
  <c r="AH88" i="15" s="1"/>
  <c r="AJ88" i="15" s="1"/>
  <c r="C105" i="15"/>
  <c r="AH105" i="15" s="1"/>
  <c r="AJ105" i="15" s="1"/>
  <c r="C110" i="15"/>
  <c r="AH110" i="15" s="1"/>
  <c r="AJ110" i="15" s="1"/>
  <c r="C97" i="15"/>
  <c r="AH97" i="15" s="1"/>
  <c r="AJ97" i="15" s="1"/>
  <c r="C101" i="15"/>
  <c r="AH101" i="15" s="1"/>
  <c r="AJ101" i="15" s="1"/>
  <c r="C108" i="15"/>
  <c r="AH108" i="15" s="1"/>
  <c r="AJ108" i="15" s="1"/>
  <c r="C103" i="15"/>
  <c r="AH103" i="15" s="1"/>
  <c r="AJ103" i="15" s="1"/>
  <c r="C114" i="15"/>
  <c r="AH114" i="15" s="1"/>
  <c r="AJ114" i="15" s="1"/>
  <c r="C98" i="15"/>
  <c r="AH98" i="15" s="1"/>
  <c r="AJ98" i="15" s="1"/>
  <c r="C106" i="15"/>
  <c r="AH106" i="15" s="1"/>
  <c r="AJ106" i="15" s="1"/>
  <c r="C112" i="15"/>
  <c r="AH112" i="15" s="1"/>
  <c r="AJ112" i="15" s="1"/>
  <c r="C109" i="15"/>
  <c r="AH109" i="15" s="1"/>
  <c r="AJ109" i="15" s="1"/>
  <c r="C100" i="15"/>
  <c r="AH100" i="15" s="1"/>
  <c r="AJ100" i="15" s="1"/>
  <c r="C102" i="15"/>
  <c r="AH102" i="15" s="1"/>
  <c r="AJ102" i="15" s="1"/>
  <c r="C113" i="15"/>
  <c r="AH113" i="15" s="1"/>
  <c r="AJ113" i="15" s="1"/>
  <c r="C107" i="15"/>
  <c r="AH107" i="15" s="1"/>
  <c r="AJ107" i="15" s="1"/>
  <c r="C117" i="15"/>
  <c r="AH117" i="15" s="1"/>
  <c r="AJ117" i="15" s="1"/>
  <c r="C120" i="15"/>
  <c r="AH120" i="15" s="1"/>
  <c r="AJ120" i="15" s="1"/>
  <c r="C116" i="15"/>
  <c r="AH116" i="15" s="1"/>
  <c r="AJ116" i="15" s="1"/>
  <c r="C122" i="15"/>
  <c r="AH122" i="15" s="1"/>
  <c r="AJ122" i="15" s="1"/>
  <c r="C121" i="15"/>
  <c r="AH121" i="15" s="1"/>
  <c r="AJ121" i="15" s="1"/>
  <c r="C215" i="15"/>
  <c r="AH215" i="15" s="1"/>
  <c r="AJ215" i="15" s="1"/>
  <c r="C129" i="15"/>
  <c r="AH129" i="15" s="1"/>
  <c r="AJ129" i="15" s="1"/>
  <c r="C127" i="15"/>
  <c r="AH127" i="15" s="1"/>
  <c r="AJ127" i="15" s="1"/>
  <c r="C126" i="15"/>
  <c r="AH126" i="15" s="1"/>
  <c r="AJ126" i="15" s="1"/>
  <c r="C130" i="15"/>
  <c r="AH130" i="15" s="1"/>
  <c r="AJ130" i="15" s="1"/>
  <c r="C131" i="15"/>
  <c r="AH131" i="15" s="1"/>
  <c r="AJ131" i="15" s="1"/>
  <c r="C132" i="15"/>
  <c r="AH132" i="15" s="1"/>
  <c r="AJ132" i="15" s="1"/>
  <c r="C125" i="15"/>
  <c r="AH125" i="15" s="1"/>
  <c r="AJ125" i="15" s="1"/>
  <c r="C75" i="15"/>
  <c r="AH75" i="15" s="1"/>
  <c r="AJ75" i="15" s="1"/>
  <c r="C119" i="15"/>
  <c r="AH119" i="15" s="1"/>
  <c r="AJ119" i="15" s="1"/>
  <c r="C93" i="15"/>
  <c r="AH93" i="15" s="1"/>
  <c r="AJ93" i="15" s="1"/>
  <c r="C133" i="15"/>
  <c r="AH133" i="15" s="1"/>
  <c r="AJ133" i="15" s="1"/>
  <c r="C135" i="15"/>
  <c r="AH135" i="15" s="1"/>
  <c r="AJ135" i="15" s="1"/>
  <c r="C99" i="15"/>
  <c r="AH99" i="15" s="1"/>
  <c r="AJ99" i="15" s="1"/>
  <c r="C123" i="15"/>
  <c r="AH123" i="15" s="1"/>
  <c r="AJ123" i="15" s="1"/>
  <c r="C128" i="15"/>
  <c r="AH128" i="15" s="1"/>
  <c r="AJ128" i="15" s="1"/>
  <c r="C208" i="15"/>
  <c r="AH208" i="15" s="1"/>
  <c r="AJ208" i="15" s="1"/>
  <c r="C137" i="15"/>
  <c r="AH137" i="15" s="1"/>
  <c r="AJ137" i="15" s="1"/>
  <c r="C136" i="15"/>
  <c r="AH136" i="15" s="1"/>
  <c r="AJ136" i="15" s="1"/>
  <c r="C139" i="15"/>
  <c r="AH139" i="15" s="1"/>
  <c r="AJ139" i="15" s="1"/>
  <c r="C140" i="15"/>
  <c r="AH140" i="15" s="1"/>
  <c r="AJ140" i="15" s="1"/>
  <c r="C147" i="15"/>
  <c r="AH147" i="15" s="1"/>
  <c r="AJ147" i="15" s="1"/>
  <c r="C213" i="15"/>
  <c r="AH213" i="15" s="1"/>
  <c r="AJ213" i="15" s="1"/>
  <c r="C142" i="15"/>
  <c r="AH142" i="15" s="1"/>
  <c r="AJ142" i="15" s="1"/>
  <c r="C144" i="15"/>
  <c r="AH144" i="15" s="1"/>
  <c r="AJ144" i="15" s="1"/>
  <c r="C111" i="15"/>
  <c r="AH111" i="15" s="1"/>
  <c r="AJ111" i="15" s="1"/>
  <c r="C155" i="15"/>
  <c r="AH155" i="15" s="1"/>
  <c r="AJ155" i="15" s="1"/>
  <c r="C157" i="15"/>
  <c r="AH157" i="15" s="1"/>
  <c r="AJ157" i="15" s="1"/>
  <c r="C156" i="15"/>
  <c r="AH156" i="15" s="1"/>
  <c r="AJ156" i="15" s="1"/>
  <c r="C152" i="15"/>
  <c r="AH152" i="15" s="1"/>
  <c r="AJ152" i="15" s="1"/>
  <c r="C160" i="15"/>
  <c r="AH160" i="15" s="1"/>
  <c r="AJ160" i="15" s="1"/>
  <c r="C159" i="15"/>
  <c r="AH159" i="15" s="1"/>
  <c r="AJ159" i="15" s="1"/>
  <c r="C161" i="15"/>
  <c r="AH161" i="15" s="1"/>
  <c r="AJ161" i="15" s="1"/>
  <c r="C167" i="15"/>
  <c r="AH167" i="15" s="1"/>
  <c r="AJ167" i="15" s="1"/>
  <c r="C153" i="15"/>
  <c r="AH153" i="15" s="1"/>
  <c r="AJ153" i="15" s="1"/>
  <c r="C163" i="15"/>
  <c r="AH163" i="15" s="1"/>
  <c r="AJ163" i="15" s="1"/>
  <c r="C162" i="15"/>
  <c r="AH162" i="15" s="1"/>
  <c r="AJ162" i="15" s="1"/>
  <c r="C104" i="15"/>
  <c r="AH104" i="15" s="1"/>
  <c r="AJ104" i="15" s="1"/>
  <c r="C96" i="15"/>
  <c r="AH96" i="15" s="1"/>
  <c r="AJ96" i="15" s="1"/>
  <c r="C6" i="15"/>
  <c r="AH6" i="15" s="1"/>
  <c r="J101" i="50"/>
  <c r="J100" i="50"/>
  <c r="J99" i="50"/>
  <c r="J98" i="50"/>
  <c r="J97" i="50"/>
  <c r="J95" i="50"/>
  <c r="J93" i="50"/>
  <c r="J92" i="50"/>
  <c r="J91" i="50"/>
  <c r="J90" i="50"/>
  <c r="J89" i="50"/>
  <c r="J87" i="50"/>
  <c r="J88" i="50"/>
  <c r="J86" i="50"/>
  <c r="J85" i="50"/>
  <c r="J84" i="50"/>
  <c r="J83" i="50"/>
  <c r="J82" i="50"/>
  <c r="J81" i="50"/>
  <c r="J80" i="50"/>
  <c r="J79" i="50"/>
  <c r="J78" i="50"/>
  <c r="J77" i="50"/>
  <c r="J75" i="50"/>
  <c r="J76" i="50"/>
  <c r="J74" i="50"/>
  <c r="J73" i="50"/>
  <c r="J72" i="50"/>
  <c r="J71" i="50"/>
  <c r="J70" i="50"/>
  <c r="J69" i="50"/>
  <c r="J68" i="50"/>
  <c r="J67" i="50"/>
  <c r="J66" i="50"/>
  <c r="J65" i="50"/>
  <c r="J64" i="50"/>
  <c r="J63" i="50"/>
  <c r="J62" i="50"/>
  <c r="J61" i="50"/>
  <c r="J60" i="50"/>
  <c r="J13" i="50"/>
  <c r="J59" i="50"/>
  <c r="J58" i="50"/>
  <c r="J56" i="50"/>
  <c r="J55" i="50"/>
  <c r="J54" i="50"/>
  <c r="J53" i="50"/>
  <c r="J52" i="50"/>
  <c r="J51" i="50"/>
  <c r="J50" i="50"/>
  <c r="J48" i="50"/>
  <c r="J47" i="50"/>
  <c r="J46" i="50"/>
  <c r="J45" i="50"/>
  <c r="J44" i="50"/>
  <c r="J43" i="50"/>
  <c r="J42" i="50"/>
  <c r="J41" i="50"/>
  <c r="J40" i="50"/>
  <c r="J39" i="50"/>
  <c r="J38" i="50"/>
  <c r="J37" i="50"/>
  <c r="J36" i="50"/>
  <c r="J35" i="50"/>
  <c r="J34" i="50"/>
  <c r="J33" i="50"/>
  <c r="J32" i="50"/>
  <c r="J31" i="50"/>
  <c r="J30" i="50"/>
  <c r="J29" i="50"/>
  <c r="J28" i="50"/>
  <c r="J27" i="50"/>
  <c r="J26" i="50"/>
  <c r="J25" i="50"/>
  <c r="J24" i="50"/>
  <c r="J23" i="50"/>
  <c r="J22" i="50"/>
  <c r="J21" i="50"/>
  <c r="J20" i="50"/>
  <c r="J19" i="50"/>
  <c r="J18" i="50"/>
  <c r="J17" i="50"/>
  <c r="J16" i="50"/>
  <c r="J15" i="50"/>
  <c r="J14" i="50"/>
  <c r="J12" i="50"/>
  <c r="J11" i="50"/>
  <c r="J10" i="50"/>
  <c r="J9" i="50"/>
  <c r="J8" i="50"/>
  <c r="J7" i="50"/>
  <c r="J6" i="50"/>
  <c r="J5" i="50"/>
  <c r="J4" i="50"/>
  <c r="J3" i="50"/>
  <c r="J2" i="50"/>
  <c r="J57" i="50"/>
  <c r="J102" i="50"/>
  <c r="A101" i="50"/>
  <c r="A100" i="50"/>
  <c r="A99" i="50"/>
  <c r="A98" i="50"/>
  <c r="A97" i="50"/>
  <c r="A96" i="50"/>
  <c r="A94" i="50"/>
  <c r="A93" i="50"/>
  <c r="A92" i="50"/>
  <c r="A91" i="50"/>
  <c r="A90" i="50"/>
  <c r="A89" i="50"/>
  <c r="A87" i="50"/>
  <c r="A88" i="50"/>
  <c r="A86" i="50"/>
  <c r="A85" i="50"/>
  <c r="A84" i="50"/>
  <c r="A83" i="50"/>
  <c r="A82" i="50"/>
  <c r="A81" i="50"/>
  <c r="A80" i="50"/>
  <c r="A79" i="50"/>
  <c r="A78" i="50"/>
  <c r="A77" i="50"/>
  <c r="A75" i="50"/>
  <c r="A76" i="50"/>
  <c r="A74" i="50"/>
  <c r="A73" i="50"/>
  <c r="A72" i="50"/>
  <c r="A71" i="50"/>
  <c r="A70" i="50"/>
  <c r="A69" i="50"/>
  <c r="A68" i="50"/>
  <c r="A67" i="50"/>
  <c r="A66" i="50"/>
  <c r="A65" i="50"/>
  <c r="A64" i="50"/>
  <c r="A63" i="50"/>
  <c r="A62" i="50"/>
  <c r="A61" i="50"/>
  <c r="A60" i="50"/>
  <c r="A13" i="50"/>
  <c r="A59" i="50"/>
  <c r="A58" i="50"/>
  <c r="A56" i="50"/>
  <c r="A55" i="50"/>
  <c r="A54" i="50"/>
  <c r="A53" i="50"/>
  <c r="A52" i="50"/>
  <c r="A51" i="50"/>
  <c r="A50" i="50"/>
  <c r="A49" i="50"/>
  <c r="A48" i="50"/>
  <c r="A47" i="50"/>
  <c r="A46" i="50"/>
  <c r="A45" i="50"/>
  <c r="A44" i="50"/>
  <c r="A43" i="50"/>
  <c r="A42" i="50"/>
  <c r="A41" i="50"/>
  <c r="A40" i="50"/>
  <c r="A39" i="50"/>
  <c r="A38" i="50"/>
  <c r="A37" i="50"/>
  <c r="A36" i="50"/>
  <c r="A35" i="50"/>
  <c r="A34" i="50"/>
  <c r="A33" i="50"/>
  <c r="A32" i="50"/>
  <c r="A31" i="50"/>
  <c r="A29" i="50"/>
  <c r="A28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2" i="50"/>
  <c r="A11" i="50"/>
  <c r="A10" i="50"/>
  <c r="A9" i="50"/>
  <c r="A8" i="50"/>
  <c r="A7" i="50"/>
  <c r="A6" i="50"/>
  <c r="A5" i="50"/>
  <c r="A4" i="50"/>
  <c r="A3" i="50"/>
  <c r="A2" i="50"/>
  <c r="A57" i="50"/>
  <c r="A102" i="50"/>
  <c r="F102" i="50"/>
  <c r="G102" i="50"/>
  <c r="F101" i="50"/>
  <c r="G101" i="50"/>
  <c r="F100" i="50"/>
  <c r="G100" i="50"/>
  <c r="F99" i="50"/>
  <c r="G99" i="50"/>
  <c r="F98" i="50"/>
  <c r="G98" i="50"/>
  <c r="F97" i="50"/>
  <c r="G97" i="50"/>
  <c r="F92" i="50"/>
  <c r="G92" i="50"/>
  <c r="F91" i="50"/>
  <c r="F89" i="50"/>
  <c r="G89" i="50"/>
  <c r="F88" i="50"/>
  <c r="G88" i="50"/>
  <c r="F86" i="50"/>
  <c r="G86" i="50"/>
  <c r="F85" i="50"/>
  <c r="G85" i="50"/>
  <c r="F84" i="50"/>
  <c r="F83" i="50"/>
  <c r="G83" i="50"/>
  <c r="F82" i="50"/>
  <c r="G82" i="50"/>
  <c r="F81" i="50"/>
  <c r="G81" i="50"/>
  <c r="F80" i="50"/>
  <c r="G80" i="50"/>
  <c r="F79" i="50"/>
  <c r="G79" i="50"/>
  <c r="F78" i="50"/>
  <c r="G78" i="50"/>
  <c r="F77" i="50"/>
  <c r="G77" i="50"/>
  <c r="F75" i="50"/>
  <c r="G75" i="50"/>
  <c r="F76" i="50"/>
  <c r="G76" i="50"/>
  <c r="F74" i="50"/>
  <c r="G74" i="50" s="1"/>
  <c r="F73" i="50"/>
  <c r="G73" i="50"/>
  <c r="F72" i="50"/>
  <c r="G72" i="50"/>
  <c r="F70" i="50"/>
  <c r="G70" i="50"/>
  <c r="F69" i="50"/>
  <c r="G69" i="50" s="1"/>
  <c r="F68" i="50"/>
  <c r="G68" i="50"/>
  <c r="F67" i="50"/>
  <c r="G67" i="50"/>
  <c r="F66" i="50"/>
  <c r="G66" i="50"/>
  <c r="F65" i="50"/>
  <c r="G65" i="50"/>
  <c r="F64" i="50"/>
  <c r="G64" i="50"/>
  <c r="F63" i="50"/>
  <c r="G63" i="50"/>
  <c r="F62" i="50"/>
  <c r="G62" i="50"/>
  <c r="F61" i="50"/>
  <c r="G61" i="50"/>
  <c r="F60" i="50"/>
  <c r="G60" i="50"/>
  <c r="F13" i="50"/>
  <c r="G13" i="50"/>
  <c r="F59" i="50"/>
  <c r="G59" i="50"/>
  <c r="F58" i="50"/>
  <c r="G58" i="50"/>
  <c r="F56" i="50"/>
  <c r="G56" i="50"/>
  <c r="F55" i="50"/>
  <c r="G55" i="50"/>
  <c r="F54" i="50"/>
  <c r="G54" i="50"/>
  <c r="F53" i="50"/>
  <c r="G53" i="50"/>
  <c r="F52" i="50"/>
  <c r="G52" i="50"/>
  <c r="F51" i="50"/>
  <c r="G51" i="50"/>
  <c r="F45" i="50"/>
  <c r="G45" i="50"/>
  <c r="F44" i="50"/>
  <c r="G44" i="50"/>
  <c r="F43" i="50"/>
  <c r="G43" i="50"/>
  <c r="F42" i="50"/>
  <c r="G42" i="50"/>
  <c r="F41" i="50"/>
  <c r="G41" i="50"/>
  <c r="F40" i="50"/>
  <c r="F39" i="50"/>
  <c r="F37" i="50"/>
  <c r="G37" i="50"/>
  <c r="F35" i="50"/>
  <c r="G35" i="50"/>
  <c r="F34" i="50"/>
  <c r="G34" i="50"/>
  <c r="F33" i="50"/>
  <c r="G33" i="50"/>
  <c r="F32" i="50"/>
  <c r="G32" i="50"/>
  <c r="F30" i="50"/>
  <c r="G30" i="50"/>
  <c r="F29" i="50"/>
  <c r="G29" i="50"/>
  <c r="F28" i="50"/>
  <c r="G28" i="50"/>
  <c r="F27" i="50"/>
  <c r="G27" i="50"/>
  <c r="F26" i="50"/>
  <c r="G26" i="50"/>
  <c r="F24" i="50"/>
  <c r="G24" i="50"/>
  <c r="F23" i="50"/>
  <c r="G23" i="50"/>
  <c r="F21" i="50"/>
  <c r="G21" i="50"/>
  <c r="F20" i="50"/>
  <c r="G20" i="50"/>
  <c r="F19" i="50"/>
  <c r="G19" i="50"/>
  <c r="F17" i="50"/>
  <c r="G17" i="50"/>
  <c r="F16" i="50"/>
  <c r="G16" i="50" s="1"/>
  <c r="F15" i="50"/>
  <c r="G15" i="50"/>
  <c r="F14" i="50"/>
  <c r="G14" i="50"/>
  <c r="F12" i="50"/>
  <c r="G12" i="50"/>
  <c r="F11" i="50"/>
  <c r="G11" i="50"/>
  <c r="F10" i="50"/>
  <c r="G10" i="50"/>
  <c r="F8" i="50"/>
  <c r="G8" i="50"/>
  <c r="F7" i="50"/>
  <c r="F6" i="50"/>
  <c r="F5" i="50"/>
  <c r="G5" i="50"/>
  <c r="F4" i="50"/>
  <c r="G4" i="50"/>
  <c r="F57" i="50"/>
  <c r="G57" i="50"/>
  <c r="M2" i="50" l="1"/>
  <c r="O151" i="15"/>
  <c r="S151" i="15" s="1"/>
  <c r="U151" i="15" s="1"/>
  <c r="O150" i="15"/>
  <c r="S150" i="15" s="1"/>
  <c r="U150" i="15" s="1"/>
  <c r="O149" i="15"/>
  <c r="S149" i="15" s="1"/>
  <c r="O148" i="15"/>
  <c r="S148" i="15" s="1"/>
  <c r="U148" i="15" s="1"/>
  <c r="O181" i="15"/>
  <c r="S181" i="15" s="1"/>
  <c r="U181" i="15" s="1"/>
  <c r="O124" i="15"/>
  <c r="S124" i="15" s="1"/>
  <c r="U124" i="15" s="1"/>
  <c r="O158" i="15"/>
  <c r="S158" i="15" s="1"/>
  <c r="U158" i="15" s="1"/>
  <c r="O167" i="15"/>
  <c r="S167" i="15" s="1"/>
  <c r="U167" i="15" s="1"/>
  <c r="O84" i="15"/>
  <c r="S84" i="15" s="1"/>
  <c r="U84" i="15" s="1"/>
  <c r="O192" i="15"/>
  <c r="S192" i="15" s="1"/>
  <c r="U192" i="15" s="1"/>
  <c r="O98" i="15"/>
  <c r="S98" i="15" s="1"/>
  <c r="U98" i="15" s="1"/>
  <c r="O90" i="15"/>
  <c r="S90" i="15" s="1"/>
  <c r="U90" i="15" s="1"/>
  <c r="O191" i="15"/>
  <c r="S191" i="15" s="1"/>
  <c r="U191" i="15" s="1"/>
  <c r="O122" i="15"/>
  <c r="S122" i="15" s="1"/>
  <c r="U122" i="15" s="1"/>
  <c r="O120" i="15"/>
  <c r="S120" i="15" s="1"/>
  <c r="U120" i="15" s="1"/>
  <c r="O180" i="15"/>
  <c r="S180" i="15" s="1"/>
  <c r="U180" i="15" s="1"/>
  <c r="O135" i="15"/>
  <c r="S135" i="15" s="1"/>
  <c r="U135" i="15" s="1"/>
  <c r="O106" i="15"/>
  <c r="S106" i="15" s="1"/>
  <c r="U106" i="15" s="1"/>
  <c r="O67" i="15"/>
  <c r="S67" i="15" s="1"/>
  <c r="U67" i="15" s="1"/>
  <c r="O121" i="15"/>
  <c r="S121" i="15" s="1"/>
  <c r="U121" i="15" s="1"/>
  <c r="O201" i="15"/>
  <c r="S201" i="15" s="1"/>
  <c r="U201" i="15" s="1"/>
  <c r="O114" i="15"/>
  <c r="S114" i="15" s="1"/>
  <c r="U114" i="15" s="1"/>
  <c r="O200" i="15"/>
  <c r="S200" i="15" s="1"/>
  <c r="U200" i="15" s="1"/>
  <c r="O187" i="15"/>
  <c r="S187" i="15" s="1"/>
  <c r="U187" i="15" s="1"/>
  <c r="O160" i="15"/>
  <c r="S160" i="15" s="1"/>
  <c r="U160" i="15" s="1"/>
  <c r="O116" i="15"/>
  <c r="S116" i="15" s="1"/>
  <c r="U116" i="15" s="1"/>
  <c r="O80" i="15"/>
  <c r="S80" i="15" s="1"/>
  <c r="U80" i="15" s="1"/>
  <c r="O182" i="15"/>
  <c r="S182" i="15" s="1"/>
  <c r="U182" i="15" s="1"/>
  <c r="O176" i="15"/>
  <c r="S176" i="15" s="1"/>
  <c r="U176" i="15" s="1"/>
  <c r="O75" i="15"/>
  <c r="S75" i="15" s="1"/>
  <c r="U75" i="15" s="1"/>
  <c r="O108" i="15"/>
  <c r="S108" i="15" s="1"/>
  <c r="U108" i="15" s="1"/>
  <c r="O79" i="15"/>
  <c r="S79" i="15" s="1"/>
  <c r="U79" i="15" s="1"/>
  <c r="O66" i="15"/>
  <c r="S66" i="15" s="1"/>
  <c r="U66" i="15" s="1"/>
  <c r="O219" i="15"/>
  <c r="S219" i="15" s="1"/>
  <c r="U219" i="15" s="1"/>
  <c r="O179" i="15"/>
  <c r="S179" i="15" s="1"/>
  <c r="U179" i="15" s="1"/>
  <c r="O170" i="15"/>
  <c r="S170" i="15" s="1"/>
  <c r="U170" i="15" s="1"/>
  <c r="O157" i="15"/>
  <c r="S157" i="15" s="1"/>
  <c r="U157" i="15" s="1"/>
  <c r="O139" i="15"/>
  <c r="S139" i="15" s="1"/>
  <c r="U139" i="15" s="1"/>
  <c r="O125" i="15"/>
  <c r="S125" i="15" s="1"/>
  <c r="U125" i="15" s="1"/>
  <c r="O117" i="15"/>
  <c r="S117" i="15" s="1"/>
  <c r="U117" i="15" s="1"/>
  <c r="O101" i="15"/>
  <c r="S101" i="15" s="1"/>
  <c r="U101" i="15" s="1"/>
  <c r="O92" i="15"/>
  <c r="S92" i="15" s="1"/>
  <c r="U92" i="15" s="1"/>
  <c r="O76" i="15"/>
  <c r="S76" i="15" s="1"/>
  <c r="U76" i="15" s="1"/>
  <c r="O193" i="15"/>
  <c r="S193" i="15" s="1"/>
  <c r="U193" i="15" s="1"/>
  <c r="O190" i="15"/>
  <c r="S190" i="15" s="1"/>
  <c r="U190" i="15" s="1"/>
  <c r="O172" i="15"/>
  <c r="S172" i="15" s="1"/>
  <c r="U172" i="15" s="1"/>
  <c r="O169" i="15"/>
  <c r="S169" i="15" s="1"/>
  <c r="U169" i="15" s="1"/>
  <c r="O152" i="15"/>
  <c r="S152" i="15" s="1"/>
  <c r="U152" i="15" s="1"/>
  <c r="O136" i="15"/>
  <c r="S136" i="15" s="1"/>
  <c r="U136" i="15" s="1"/>
  <c r="O132" i="15"/>
  <c r="S132" i="15" s="1"/>
  <c r="U132" i="15" s="1"/>
  <c r="O107" i="15"/>
  <c r="S107" i="15" s="1"/>
  <c r="U107" i="15" s="1"/>
  <c r="O97" i="15"/>
  <c r="S97" i="15" s="1"/>
  <c r="U97" i="15" s="1"/>
  <c r="O95" i="15"/>
  <c r="S95" i="15" s="1"/>
  <c r="U95" i="15" s="1"/>
  <c r="O73" i="15"/>
  <c r="S73" i="15" s="1"/>
  <c r="U73" i="15" s="1"/>
  <c r="O175" i="15"/>
  <c r="S175" i="15" s="1"/>
  <c r="U175" i="15" s="1"/>
  <c r="O144" i="15"/>
  <c r="S144" i="15" s="1"/>
  <c r="U144" i="15" s="1"/>
  <c r="O215" i="15"/>
  <c r="S215" i="15" s="1"/>
  <c r="U215" i="15" s="1"/>
  <c r="O220" i="15"/>
  <c r="S220" i="15" s="1"/>
  <c r="U220" i="15" s="1"/>
  <c r="O196" i="15"/>
  <c r="S196" i="15" s="1"/>
  <c r="U196" i="15" s="1"/>
  <c r="O93" i="15"/>
  <c r="S93" i="15" s="1"/>
  <c r="U93" i="15" s="1"/>
  <c r="O85" i="15"/>
  <c r="S85" i="15" s="1"/>
  <c r="U85" i="15" s="1"/>
  <c r="O185" i="15"/>
  <c r="S185" i="15" s="1"/>
  <c r="U185" i="15" s="1"/>
  <c r="O147" i="15"/>
  <c r="S147" i="15" s="1"/>
  <c r="U147" i="15" s="1"/>
  <c r="O74" i="15"/>
  <c r="S74" i="15" s="1"/>
  <c r="U74" i="15" s="1"/>
  <c r="O140" i="15"/>
  <c r="S140" i="15" s="1"/>
  <c r="U140" i="15" s="1"/>
  <c r="O184" i="15"/>
  <c r="S184" i="15" s="1"/>
  <c r="U184" i="15" s="1"/>
  <c r="O155" i="15"/>
  <c r="S155" i="15" s="1"/>
  <c r="U155" i="15" s="1"/>
  <c r="O137" i="15"/>
  <c r="S137" i="15" s="1"/>
  <c r="U137" i="15" s="1"/>
  <c r="O113" i="15"/>
  <c r="S113" i="15" s="1"/>
  <c r="U113" i="15" s="1"/>
  <c r="O71" i="15"/>
  <c r="S71" i="15" s="1"/>
  <c r="U71" i="15" s="1"/>
  <c r="O145" i="15"/>
  <c r="S145" i="15" s="1"/>
  <c r="U145" i="15" s="1"/>
  <c r="O218" i="15"/>
  <c r="S218" i="15" s="1"/>
  <c r="U218" i="15" s="1"/>
  <c r="O194" i="15"/>
  <c r="S194" i="15" s="1"/>
  <c r="U194" i="15" s="1"/>
  <c r="O164" i="15"/>
  <c r="S164" i="15" s="1"/>
  <c r="U164" i="15" s="1"/>
  <c r="O208" i="15"/>
  <c r="S208" i="15" s="1"/>
  <c r="U208" i="15" s="1"/>
  <c r="O130" i="15"/>
  <c r="S130" i="15" s="1"/>
  <c r="U130" i="15" s="1"/>
  <c r="O102" i="15"/>
  <c r="S102" i="15" s="1"/>
  <c r="U102" i="15" s="1"/>
  <c r="O105" i="15"/>
  <c r="S105" i="15" s="1"/>
  <c r="U105" i="15" s="1"/>
  <c r="O238" i="15"/>
  <c r="S238" i="15" s="1"/>
  <c r="U238" i="15" s="1"/>
  <c r="O70" i="15"/>
  <c r="S70" i="15" s="1"/>
  <c r="U70" i="15" s="1"/>
  <c r="O209" i="15"/>
  <c r="S209" i="15" s="1"/>
  <c r="U209" i="15" s="1"/>
  <c r="O217" i="15"/>
  <c r="S217" i="15" s="1"/>
  <c r="U217" i="15" s="1"/>
  <c r="O198" i="15"/>
  <c r="S198" i="15" s="1"/>
  <c r="U198" i="15" s="1"/>
  <c r="O162" i="15"/>
  <c r="S162" i="15" s="1"/>
  <c r="U162" i="15" s="1"/>
  <c r="O96" i="15"/>
  <c r="S96" i="15" s="1"/>
  <c r="U96" i="15" s="1"/>
  <c r="O128" i="15"/>
  <c r="S128" i="15" s="1"/>
  <c r="U128" i="15" s="1"/>
  <c r="O126" i="15"/>
  <c r="S126" i="15" s="1"/>
  <c r="U126" i="15" s="1"/>
  <c r="O100" i="15"/>
  <c r="S100" i="15" s="1"/>
  <c r="U100" i="15" s="1"/>
  <c r="O134" i="15"/>
  <c r="S134" i="15" s="1"/>
  <c r="U134" i="15" s="1"/>
  <c r="O77" i="15"/>
  <c r="S77" i="15" s="1"/>
  <c r="U77" i="15" s="1"/>
  <c r="O72" i="15"/>
  <c r="S72" i="15" s="1"/>
  <c r="U72" i="15" s="1"/>
  <c r="O183" i="15"/>
  <c r="S183" i="15" s="1"/>
  <c r="U183" i="15" s="1"/>
  <c r="O141" i="15"/>
  <c r="S141" i="15" s="1"/>
  <c r="U141" i="15" s="1"/>
  <c r="O216" i="15"/>
  <c r="S216" i="15" s="1"/>
  <c r="U216" i="15" s="1"/>
  <c r="O133" i="15"/>
  <c r="S133" i="15" s="1"/>
  <c r="U133" i="15" s="1"/>
  <c r="O165" i="15"/>
  <c r="S165" i="15" s="1"/>
  <c r="U165" i="15" s="1"/>
  <c r="O159" i="15"/>
  <c r="S159" i="15" s="1"/>
  <c r="U159" i="15" s="1"/>
  <c r="O213" i="15"/>
  <c r="S213" i="15" s="1"/>
  <c r="U213" i="15" s="1"/>
  <c r="O86" i="15"/>
  <c r="S86" i="15" s="1"/>
  <c r="U86" i="15" s="1"/>
  <c r="O178" i="15"/>
  <c r="S178" i="15" s="1"/>
  <c r="U178" i="15" s="1"/>
  <c r="O103" i="15"/>
  <c r="S103" i="15" s="1"/>
  <c r="U103" i="15" s="1"/>
  <c r="S156" i="15"/>
  <c r="U156" i="15" s="1"/>
  <c r="O174" i="15"/>
  <c r="S174" i="15" s="1"/>
  <c r="U174" i="15" s="1"/>
  <c r="O166" i="15"/>
  <c r="S166" i="15" s="1"/>
  <c r="U166" i="15" s="1"/>
  <c r="O131" i="15"/>
  <c r="S131" i="15" s="1"/>
  <c r="U131" i="15" s="1"/>
  <c r="O94" i="15"/>
  <c r="S94" i="15" s="1"/>
  <c r="U94" i="15" s="1"/>
  <c r="O188" i="15"/>
  <c r="S188" i="15" s="1"/>
  <c r="U188" i="15" s="1"/>
  <c r="O195" i="15"/>
  <c r="S195" i="15" s="1"/>
  <c r="U195" i="15" s="1"/>
  <c r="O177" i="15"/>
  <c r="S177" i="15" s="1"/>
  <c r="U177" i="15" s="1"/>
  <c r="O163" i="15"/>
  <c r="S163" i="15" s="1"/>
  <c r="U163" i="15" s="1"/>
  <c r="O104" i="15"/>
  <c r="S104" i="15" s="1"/>
  <c r="U104" i="15" s="1"/>
  <c r="O123" i="15"/>
  <c r="S123" i="15" s="1"/>
  <c r="U123" i="15" s="1"/>
  <c r="O127" i="15"/>
  <c r="S127" i="15" s="1"/>
  <c r="U127" i="15" s="1"/>
  <c r="O109" i="15"/>
  <c r="S109" i="15" s="1"/>
  <c r="U109" i="15" s="1"/>
  <c r="O88" i="15"/>
  <c r="S88" i="15" s="1"/>
  <c r="U88" i="15" s="1"/>
  <c r="O83" i="15"/>
  <c r="S83" i="15" s="1"/>
  <c r="U83" i="15" s="1"/>
  <c r="O69" i="15"/>
  <c r="S69" i="15" s="1"/>
  <c r="U69" i="15" s="1"/>
  <c r="O221" i="15"/>
  <c r="S221" i="15" s="1"/>
  <c r="U221" i="15" s="1"/>
  <c r="O87" i="15"/>
  <c r="S87" i="15" s="1"/>
  <c r="U87" i="15" s="1"/>
  <c r="O199" i="15"/>
  <c r="S199" i="15" s="1"/>
  <c r="U199" i="15" s="1"/>
  <c r="O161" i="15"/>
  <c r="S161" i="15" s="1"/>
  <c r="U161" i="15" s="1"/>
  <c r="O142" i="15"/>
  <c r="S142" i="15" s="1"/>
  <c r="U142" i="15" s="1"/>
  <c r="O89" i="15"/>
  <c r="S89" i="15" s="1"/>
  <c r="U89" i="15" s="1"/>
  <c r="O119" i="15"/>
  <c r="S119" i="15" s="1"/>
  <c r="U119" i="15" s="1"/>
  <c r="O171" i="15"/>
  <c r="S171" i="15" s="1"/>
  <c r="U171" i="15" s="1"/>
  <c r="O78" i="15"/>
  <c r="S78" i="15" s="1"/>
  <c r="U78" i="15" s="1"/>
  <c r="O57" i="15"/>
  <c r="S57" i="15" s="1"/>
  <c r="U57" i="15" s="1"/>
  <c r="O224" i="15"/>
  <c r="S224" i="15" s="1"/>
  <c r="O37" i="15"/>
  <c r="S37" i="15" s="1"/>
  <c r="U37" i="15" s="1"/>
  <c r="O48" i="15"/>
  <c r="S48" i="15" s="1"/>
  <c r="U48" i="15" s="1"/>
  <c r="O11" i="15"/>
  <c r="S11" i="15" s="1"/>
  <c r="U11" i="15" s="1"/>
  <c r="O32" i="15"/>
  <c r="S32" i="15" s="1"/>
  <c r="U32" i="15" s="1"/>
  <c r="O5" i="15"/>
  <c r="S5" i="15" s="1"/>
  <c r="U5" i="15" s="1"/>
  <c r="O234" i="15"/>
  <c r="S234" i="15" s="1"/>
  <c r="O138" i="15"/>
  <c r="S138" i="15" s="1"/>
  <c r="U138" i="15" s="1"/>
  <c r="O8" i="15"/>
  <c r="S8" i="15" s="1"/>
  <c r="U8" i="15" s="1"/>
  <c r="O52" i="15"/>
  <c r="S52" i="15" s="1"/>
  <c r="U52" i="15" s="1"/>
  <c r="O25" i="15"/>
  <c r="S25" i="15" s="1"/>
  <c r="U25" i="15" s="1"/>
  <c r="O35" i="15"/>
  <c r="S35" i="15" s="1"/>
  <c r="U35" i="15" s="1"/>
  <c r="O223" i="15"/>
  <c r="S223" i="15" s="1"/>
  <c r="O50" i="15"/>
  <c r="S50" i="15" s="1"/>
  <c r="U50" i="15" s="1"/>
  <c r="O214" i="15"/>
  <c r="S214" i="15" s="1"/>
  <c r="U214" i="15" s="1"/>
  <c r="O173" i="15"/>
  <c r="S173" i="15" s="1"/>
  <c r="O207" i="15"/>
  <c r="S207" i="15" s="1"/>
  <c r="U207" i="15" s="1"/>
  <c r="O24" i="15"/>
  <c r="S24" i="15" s="1"/>
  <c r="U24" i="15" s="1"/>
  <c r="O60" i="15"/>
  <c r="S60" i="15" s="1"/>
  <c r="O42" i="15"/>
  <c r="S42" i="15" s="1"/>
  <c r="U42" i="15" s="1"/>
  <c r="O237" i="15"/>
  <c r="S237" i="15" s="1"/>
  <c r="O16" i="15"/>
  <c r="S16" i="15" s="1"/>
  <c r="U16" i="15" s="1"/>
  <c r="O51" i="15"/>
  <c r="S51" i="15" s="1"/>
  <c r="U51" i="15" s="1"/>
  <c r="O232" i="15"/>
  <c r="S232" i="15" s="1"/>
  <c r="O58" i="15"/>
  <c r="S58" i="15" s="1"/>
  <c r="U58" i="15" s="1"/>
  <c r="O46" i="15"/>
  <c r="S46" i="15" s="1"/>
  <c r="U46" i="15" s="1"/>
  <c r="O49" i="15"/>
  <c r="S49" i="15" s="1"/>
  <c r="U49" i="15" s="1"/>
  <c r="O18" i="15"/>
  <c r="S18" i="15" s="1"/>
  <c r="U18" i="15" s="1"/>
  <c r="O229" i="15"/>
  <c r="S229" i="15" s="1"/>
  <c r="O45" i="15"/>
  <c r="S45" i="15" s="1"/>
  <c r="U45" i="15" s="1"/>
  <c r="O27" i="15"/>
  <c r="S27" i="15" s="1"/>
  <c r="U27" i="15" s="1"/>
  <c r="O210" i="15"/>
  <c r="S210" i="15" s="1"/>
  <c r="U210" i="15" s="1"/>
  <c r="O231" i="15"/>
  <c r="S231" i="15" s="1"/>
  <c r="O43" i="15"/>
  <c r="S43" i="15" s="1"/>
  <c r="U43" i="15" s="1"/>
  <c r="O228" i="15"/>
  <c r="S228" i="15" s="1"/>
  <c r="O59" i="15"/>
  <c r="S59" i="15" s="1"/>
  <c r="O143" i="15"/>
  <c r="S143" i="15" s="1"/>
  <c r="U143" i="15" s="1"/>
  <c r="O202" i="15"/>
  <c r="S202" i="15" s="1"/>
  <c r="O40" i="15"/>
  <c r="S40" i="15" s="1"/>
  <c r="U40" i="15" s="1"/>
  <c r="O39" i="15"/>
  <c r="S39" i="15" s="1"/>
  <c r="U39" i="15" s="1"/>
  <c r="O61" i="15"/>
  <c r="S61" i="15" s="1"/>
  <c r="O47" i="15"/>
  <c r="S47" i="15" s="1"/>
  <c r="U47" i="15" s="1"/>
  <c r="O227" i="15"/>
  <c r="S227" i="15" s="1"/>
  <c r="O233" i="15"/>
  <c r="S233" i="15" s="1"/>
  <c r="O55" i="15"/>
  <c r="S55" i="15" s="1"/>
  <c r="U55" i="15" s="1"/>
  <c r="O225" i="15"/>
  <c r="S225" i="15" s="1"/>
  <c r="O20" i="15"/>
  <c r="S20" i="15" s="1"/>
  <c r="U20" i="15" s="1"/>
  <c r="O12" i="15"/>
  <c r="S12" i="15" s="1"/>
  <c r="U12" i="15" s="1"/>
  <c r="O204" i="15"/>
  <c r="S204" i="15" s="1"/>
  <c r="O30" i="15"/>
  <c r="S30" i="15" s="1"/>
  <c r="U30" i="15" s="1"/>
  <c r="O62" i="15"/>
  <c r="S62" i="15" s="1"/>
  <c r="O17" i="15"/>
  <c r="S17" i="15" s="1"/>
  <c r="U17" i="15" s="1"/>
  <c r="O13" i="15"/>
  <c r="S13" i="15" s="1"/>
  <c r="U13" i="15" s="1"/>
  <c r="O34" i="15"/>
  <c r="S34" i="15" s="1"/>
  <c r="U34" i="15" s="1"/>
  <c r="O54" i="15"/>
  <c r="S54" i="15" s="1"/>
  <c r="U54" i="15" s="1"/>
  <c r="O53" i="15"/>
  <c r="S53" i="15" s="1"/>
  <c r="U53" i="15" s="1"/>
  <c r="O23" i="15"/>
  <c r="S23" i="15" s="1"/>
  <c r="U23" i="15" s="1"/>
  <c r="O22" i="15"/>
  <c r="S22" i="15" s="1"/>
  <c r="U22" i="15" s="1"/>
  <c r="O222" i="15"/>
  <c r="S222" i="15" s="1"/>
  <c r="O26" i="15"/>
  <c r="S26" i="15" s="1"/>
  <c r="U26" i="15" s="1"/>
  <c r="O38" i="15"/>
  <c r="S38" i="15" s="1"/>
  <c r="U38" i="15" s="1"/>
  <c r="O235" i="15"/>
  <c r="S235" i="15" s="1"/>
  <c r="O226" i="15"/>
  <c r="S226" i="15" s="1"/>
  <c r="O63" i="15"/>
  <c r="S63" i="15" s="1"/>
  <c r="O212" i="15"/>
  <c r="S212" i="15" s="1"/>
  <c r="O28" i="15"/>
  <c r="S28" i="15" s="1"/>
  <c r="U28" i="15" s="1"/>
  <c r="O44" i="15"/>
  <c r="S44" i="15" s="1"/>
  <c r="U44" i="15" s="1"/>
  <c r="O41" i="15"/>
  <c r="S41" i="15" s="1"/>
  <c r="U41" i="15" s="1"/>
  <c r="O203" i="15"/>
  <c r="S203" i="15" s="1"/>
  <c r="O239" i="15"/>
  <c r="S239" i="15" s="1"/>
  <c r="O36" i="15"/>
  <c r="S36" i="15" s="1"/>
  <c r="U36" i="15" s="1"/>
  <c r="O10" i="15"/>
  <c r="S10" i="15" s="1"/>
  <c r="U10" i="15" s="1"/>
  <c r="O236" i="15"/>
  <c r="S236" i="15" s="1"/>
  <c r="O7" i="15"/>
  <c r="S7" i="15" s="1"/>
  <c r="U7" i="15" s="1"/>
  <c r="O168" i="15"/>
  <c r="S168" i="15" s="1"/>
  <c r="U168" i="15" s="1"/>
  <c r="O56" i="15"/>
  <c r="S56" i="15" s="1"/>
  <c r="U56" i="15" s="1"/>
  <c r="O14" i="15"/>
  <c r="S14" i="15" s="1"/>
  <c r="U14" i="15" s="1"/>
  <c r="O31" i="15"/>
  <c r="S31" i="15" s="1"/>
  <c r="U31" i="15" s="1"/>
  <c r="O29" i="15"/>
  <c r="S29" i="15" s="1"/>
  <c r="U29" i="15" s="1"/>
  <c r="O206" i="15"/>
  <c r="S206" i="15" s="1"/>
  <c r="U206" i="15" s="1"/>
  <c r="O9" i="15"/>
  <c r="S9" i="15" s="1"/>
  <c r="U9" i="15" s="1"/>
  <c r="O211" i="15"/>
  <c r="S211" i="15" s="1"/>
  <c r="O205" i="15"/>
  <c r="S205" i="15" s="1"/>
  <c r="U205" i="15" s="1"/>
  <c r="O19" i="15"/>
  <c r="S19" i="15" s="1"/>
  <c r="U19" i="15" s="1"/>
  <c r="O15" i="15"/>
  <c r="S15" i="15" s="1"/>
  <c r="U15" i="15" s="1"/>
  <c r="O33" i="15"/>
  <c r="S33" i="15" s="1"/>
  <c r="U33" i="15" s="1"/>
  <c r="O230" i="15"/>
  <c r="S230" i="15" s="1"/>
  <c r="O21" i="15"/>
  <c r="S21" i="15" s="1"/>
  <c r="U21" i="15" s="1"/>
  <c r="O146" i="15"/>
  <c r="S146" i="15" s="1"/>
  <c r="U146" i="15" s="1"/>
  <c r="O110" i="15"/>
  <c r="S110" i="15" s="1"/>
  <c r="U110" i="15" s="1"/>
  <c r="O186" i="15"/>
  <c r="S186" i="15" s="1"/>
  <c r="U186" i="15" s="1"/>
  <c r="O189" i="15"/>
  <c r="S189" i="15" s="1"/>
  <c r="U189" i="15" s="1"/>
  <c r="O197" i="15"/>
  <c r="S197" i="15" s="1"/>
  <c r="U197" i="15" s="1"/>
  <c r="O153" i="15"/>
  <c r="S153" i="15" s="1"/>
  <c r="U153" i="15" s="1"/>
  <c r="O111" i="15"/>
  <c r="S111" i="15" s="1"/>
  <c r="U111" i="15" s="1"/>
  <c r="O99" i="15"/>
  <c r="S99" i="15" s="1"/>
  <c r="U99" i="15" s="1"/>
  <c r="O129" i="15"/>
  <c r="S129" i="15" s="1"/>
  <c r="U129" i="15" s="1"/>
  <c r="O112" i="15"/>
  <c r="S112" i="15" s="1"/>
  <c r="U112" i="15" s="1"/>
  <c r="O91" i="15"/>
  <c r="S91" i="15" s="1"/>
  <c r="U91" i="15" s="1"/>
  <c r="O82" i="15"/>
  <c r="S82" i="15" s="1"/>
  <c r="U82" i="15" s="1"/>
  <c r="O68" i="15"/>
  <c r="S68" i="15" s="1"/>
  <c r="U68" i="15" s="1"/>
  <c r="AF169" i="15"/>
  <c r="AG169" i="15" s="1"/>
  <c r="AF170" i="15"/>
  <c r="AG170" i="15" s="1"/>
  <c r="AF160" i="15"/>
  <c r="AG160" i="15" s="1"/>
  <c r="AF163" i="15"/>
  <c r="AG163" i="15" s="1"/>
  <c r="AF152" i="15"/>
  <c r="AG152" i="15" s="1"/>
  <c r="AF161" i="15"/>
  <c r="AG161" i="15" s="1"/>
  <c r="AF153" i="15"/>
  <c r="AG153" i="15" s="1"/>
  <c r="AF162" i="15"/>
  <c r="AG162" i="15" s="1"/>
  <c r="AF171" i="15"/>
  <c r="AG171" i="15" s="1"/>
  <c r="AF167" i="15"/>
  <c r="AG167" i="15" s="1"/>
  <c r="AF157" i="15"/>
  <c r="AG157" i="15" s="1"/>
  <c r="AF166" i="15"/>
  <c r="AG166" i="15" s="1"/>
  <c r="AF164" i="15"/>
  <c r="AG164" i="15" s="1"/>
  <c r="AF155" i="15"/>
  <c r="AG155" i="15" s="1"/>
  <c r="AF156" i="15"/>
  <c r="AG156" i="15" s="1"/>
  <c r="AF14" i="15"/>
  <c r="AG14" i="15" s="1"/>
  <c r="AF5" i="15"/>
  <c r="AG5" i="15" s="1"/>
  <c r="AF207" i="15"/>
  <c r="AG207" i="15" s="1"/>
  <c r="AF28" i="15"/>
  <c r="AG28" i="15" s="1"/>
  <c r="AF49" i="15"/>
  <c r="AG49" i="15" s="1"/>
  <c r="AF48" i="15"/>
  <c r="AG48" i="15" s="1"/>
  <c r="AF11" i="15"/>
  <c r="AG11" i="15" s="1"/>
  <c r="AF10" i="15"/>
  <c r="AG10" i="15" s="1"/>
  <c r="AF12" i="15"/>
  <c r="AG12" i="15" s="1"/>
  <c r="AF239" i="15"/>
  <c r="AG239" i="15" s="1"/>
  <c r="AK239" i="15" s="1"/>
  <c r="AF37" i="15"/>
  <c r="AG37" i="15" s="1"/>
  <c r="AF15" i="15"/>
  <c r="AG15" i="15" s="1"/>
  <c r="AF44" i="15"/>
  <c r="AG44" i="15" s="1"/>
  <c r="AF20" i="15"/>
  <c r="AG20" i="15" s="1"/>
  <c r="AF21" i="15"/>
  <c r="AG21" i="15" s="1"/>
  <c r="AF27" i="15"/>
  <c r="AG27" i="15" s="1"/>
  <c r="AF19" i="15"/>
  <c r="AG19" i="15" s="1"/>
  <c r="AF24" i="15"/>
  <c r="AG24" i="15" s="1"/>
  <c r="AF16" i="15"/>
  <c r="AG16" i="15" s="1"/>
  <c r="AF7" i="15"/>
  <c r="AG7" i="15" s="1"/>
  <c r="AF22" i="15"/>
  <c r="AG22" i="15" s="1"/>
  <c r="AF32" i="15"/>
  <c r="AG32" i="15" s="1"/>
  <c r="AF9" i="15"/>
  <c r="AG9" i="15" s="1"/>
  <c r="AF25" i="15"/>
  <c r="AG25" i="15" s="1"/>
  <c r="AF13" i="15"/>
  <c r="AG13" i="15" s="1"/>
  <c r="AF31" i="15"/>
  <c r="AG31" i="15" s="1"/>
  <c r="AF17" i="15"/>
  <c r="AG17" i="15" s="1"/>
  <c r="AF8" i="15"/>
  <c r="AG8" i="15" s="1"/>
  <c r="AF65" i="15"/>
  <c r="AG65" i="15" s="1"/>
  <c r="AF81" i="15"/>
  <c r="AG81" i="15" s="1"/>
  <c r="AF115" i="15"/>
  <c r="AG115" i="15" s="1"/>
  <c r="AF118" i="15"/>
  <c r="AG118" i="15" s="1"/>
  <c r="AF116" i="15"/>
  <c r="AG116" i="15" s="1"/>
  <c r="AF93" i="15"/>
  <c r="AG93" i="15" s="1"/>
  <c r="AF126" i="15"/>
  <c r="AG126" i="15" s="1"/>
  <c r="AF133" i="15"/>
  <c r="AG133" i="15" s="1"/>
  <c r="AF84" i="15"/>
  <c r="AG84" i="15" s="1"/>
  <c r="AF117" i="15"/>
  <c r="AG117" i="15" s="1"/>
  <c r="AF128" i="15"/>
  <c r="AG128" i="15" s="1"/>
  <c r="AF79" i="15"/>
  <c r="AG79" i="15" s="1"/>
  <c r="AF107" i="15"/>
  <c r="AG107" i="15" s="1"/>
  <c r="AF75" i="15"/>
  <c r="AG75" i="15" s="1"/>
  <c r="AF209" i="15"/>
  <c r="AG209" i="15" s="1"/>
  <c r="AF67" i="15"/>
  <c r="AG67" i="15" s="1"/>
  <c r="AF108" i="15"/>
  <c r="AG108" i="15" s="1"/>
  <c r="AF71" i="15"/>
  <c r="AG71" i="15" s="1"/>
  <c r="AF131" i="15"/>
  <c r="AG131" i="15" s="1"/>
  <c r="AF105" i="15"/>
  <c r="AG105" i="15" s="1"/>
  <c r="AF130" i="15"/>
  <c r="AG130" i="15" s="1"/>
  <c r="AF132" i="15"/>
  <c r="AG132" i="15" s="1"/>
  <c r="AF124" i="15"/>
  <c r="AG124" i="15" s="1"/>
  <c r="AF106" i="15"/>
  <c r="AG106" i="15" s="1"/>
  <c r="AF102" i="15"/>
  <c r="AG102" i="15" s="1"/>
  <c r="AF238" i="15"/>
  <c r="AG238" i="15" s="1"/>
  <c r="AF94" i="15"/>
  <c r="AG94" i="15" s="1"/>
  <c r="AF90" i="15"/>
  <c r="AG90" i="15" s="1"/>
  <c r="AF91" i="15"/>
  <c r="AG91" i="15" s="1"/>
  <c r="AF87" i="15"/>
  <c r="AG87" i="15" s="1"/>
  <c r="AF125" i="15"/>
  <c r="AG125" i="15" s="1"/>
  <c r="AF165" i="15"/>
  <c r="AG165" i="15" s="1"/>
  <c r="AF76" i="15"/>
  <c r="AG76" i="15" s="1"/>
  <c r="AF83" i="15"/>
  <c r="AG83" i="15" s="1"/>
  <c r="AF80" i="15"/>
  <c r="AG80" i="15" s="1"/>
  <c r="AF72" i="15"/>
  <c r="AG72" i="15" s="1"/>
  <c r="AF85" i="15"/>
  <c r="AG85" i="15" s="1"/>
  <c r="AF123" i="15"/>
  <c r="AG123" i="15" s="1"/>
  <c r="AF119" i="15"/>
  <c r="AG119" i="15" s="1"/>
  <c r="AF140" i="15"/>
  <c r="AG140" i="15" s="1"/>
  <c r="AF134" i="15"/>
  <c r="AG134" i="15" s="1"/>
  <c r="AF137" i="15"/>
  <c r="AG137" i="15" s="1"/>
  <c r="AF129" i="15"/>
  <c r="AG129" i="15" s="1"/>
  <c r="AF112" i="15"/>
  <c r="AG112" i="15" s="1"/>
  <c r="AF113" i="15"/>
  <c r="AG113" i="15" s="1"/>
  <c r="AF110" i="15"/>
  <c r="AG110" i="15" s="1"/>
  <c r="AF77" i="15"/>
  <c r="AG77" i="15" s="1"/>
  <c r="AF89" i="15"/>
  <c r="AG89" i="15" s="1"/>
  <c r="AF74" i="15"/>
  <c r="AG74" i="15" s="1"/>
  <c r="AF114" i="15"/>
  <c r="AG114" i="15" s="1"/>
  <c r="AF99" i="15"/>
  <c r="AG99" i="15" s="1"/>
  <c r="AF103" i="15"/>
  <c r="AG103" i="15" s="1"/>
  <c r="AF97" i="15"/>
  <c r="AG97" i="15" s="1"/>
  <c r="AF122" i="15"/>
  <c r="AG122" i="15" s="1"/>
  <c r="AF69" i="15"/>
  <c r="AG69" i="15" s="1"/>
  <c r="AF135" i="15"/>
  <c r="AG135" i="15" s="1"/>
  <c r="AF88" i="15"/>
  <c r="AG88" i="15" s="1"/>
  <c r="AF68" i="15"/>
  <c r="AG68" i="15" s="1"/>
  <c r="AF136" i="15"/>
  <c r="AG136" i="15" s="1"/>
  <c r="AF109" i="15"/>
  <c r="AG109" i="15" s="1"/>
  <c r="AF70" i="15"/>
  <c r="AG70" i="15" s="1"/>
  <c r="AF86" i="15"/>
  <c r="AG86" i="15" s="1"/>
  <c r="AF100" i="15"/>
  <c r="AG100" i="15" s="1"/>
  <c r="AF78" i="15"/>
  <c r="AG78" i="15" s="1"/>
  <c r="AF82" i="15"/>
  <c r="AG82" i="15" s="1"/>
  <c r="AF92" i="15"/>
  <c r="AG92" i="15" s="1"/>
  <c r="AF95" i="15"/>
  <c r="AG95" i="15" s="1"/>
  <c r="AF64" i="15"/>
  <c r="AG64" i="15" s="1"/>
  <c r="AF36" i="15"/>
  <c r="AG36" i="15" s="1"/>
  <c r="AF30" i="15"/>
  <c r="AG30" i="15" s="1"/>
  <c r="AF18" i="15"/>
  <c r="AG18" i="15" s="1"/>
  <c r="AF46" i="15"/>
  <c r="AG46" i="15" s="1"/>
  <c r="AF34" i="15"/>
  <c r="AG34" i="15" s="1"/>
  <c r="AF35" i="15"/>
  <c r="AG35" i="15" s="1"/>
  <c r="AF33" i="15"/>
  <c r="AG33" i="15" s="1"/>
  <c r="AF205" i="15"/>
  <c r="AG205" i="15" s="1"/>
  <c r="AF23" i="15"/>
  <c r="AG23" i="15" s="1"/>
  <c r="AF29" i="15"/>
  <c r="AG29" i="15" s="1"/>
  <c r="AF26" i="15"/>
  <c r="AG26" i="15" s="1"/>
  <c r="AF154" i="15"/>
  <c r="AG154" i="15" s="1"/>
  <c r="AF208" i="15"/>
  <c r="AG208" i="15" s="1"/>
  <c r="AF121" i="15"/>
  <c r="AG121" i="15" s="1"/>
  <c r="AF147" i="15"/>
  <c r="AG147" i="15" s="1"/>
  <c r="AF139" i="15"/>
  <c r="AG139" i="15" s="1"/>
  <c r="AF101" i="15"/>
  <c r="AG101" i="15" s="1"/>
  <c r="AF98" i="15"/>
  <c r="AG98" i="15" s="1"/>
  <c r="AF104" i="15"/>
  <c r="AG104" i="15" s="1"/>
  <c r="AF111" i="15"/>
  <c r="AG111" i="15" s="1"/>
  <c r="AF50" i="15"/>
  <c r="AG50" i="15" s="1"/>
  <c r="AF53" i="15"/>
  <c r="AG53" i="15" s="1"/>
  <c r="AF54" i="15"/>
  <c r="AG54" i="15" s="1"/>
  <c r="AF216" i="15"/>
  <c r="AG216" i="15" s="1"/>
  <c r="AF198" i="15"/>
  <c r="AG198" i="15" s="1"/>
  <c r="AF194" i="15"/>
  <c r="AG194" i="15" s="1"/>
  <c r="AF193" i="15"/>
  <c r="AG193" i="15" s="1"/>
  <c r="AF190" i="15"/>
  <c r="AG190" i="15" s="1"/>
  <c r="AF55" i="15"/>
  <c r="AG55" i="15" s="1"/>
  <c r="AF183" i="15"/>
  <c r="AG183" i="15" s="1"/>
  <c r="AF186" i="15"/>
  <c r="AG186" i="15" s="1"/>
  <c r="AF176" i="15"/>
  <c r="AG176" i="15" s="1"/>
  <c r="AF172" i="15"/>
  <c r="AG172" i="15" s="1"/>
  <c r="AF188" i="15"/>
  <c r="AG188" i="15" s="1"/>
  <c r="AF187" i="15"/>
  <c r="AG187" i="15" s="1"/>
  <c r="AF195" i="15"/>
  <c r="AG195" i="15" s="1"/>
  <c r="AF196" i="15"/>
  <c r="AG196" i="15" s="1"/>
  <c r="AF181" i="15"/>
  <c r="AG181" i="15" s="1"/>
  <c r="AF175" i="15"/>
  <c r="AG175" i="15" s="1"/>
  <c r="AF174" i="15"/>
  <c r="AG174" i="15" s="1"/>
  <c r="AF184" i="15"/>
  <c r="AG184" i="15" s="1"/>
  <c r="AF185" i="15"/>
  <c r="AG185" i="15" s="1"/>
  <c r="AF191" i="15"/>
  <c r="AG191" i="15" s="1"/>
  <c r="AF178" i="15"/>
  <c r="AG178" i="15" s="1"/>
  <c r="AF182" i="15"/>
  <c r="AG182" i="15" s="1"/>
  <c r="AF96" i="15"/>
  <c r="AG96" i="15" s="1"/>
  <c r="AF173" i="15"/>
  <c r="AG173" i="15" s="1"/>
  <c r="AF56" i="15"/>
  <c r="AG56" i="15" s="1"/>
  <c r="AF57" i="15"/>
  <c r="AG57" i="15" s="1"/>
  <c r="AF58" i="15"/>
  <c r="AG58" i="15" s="1"/>
  <c r="AF143" i="15"/>
  <c r="AG143" i="15" s="1"/>
  <c r="AF202" i="15"/>
  <c r="AG202" i="15" s="1"/>
  <c r="AF158" i="15"/>
  <c r="AG158" i="15" s="1"/>
  <c r="AF159" i="15"/>
  <c r="AG159" i="15" s="1"/>
  <c r="AD6" i="15"/>
  <c r="D60" i="34"/>
  <c r="D33" i="34"/>
  <c r="D32" i="34"/>
  <c r="G1477" i="32"/>
  <c r="J1477" i="32" s="1"/>
  <c r="G1478" i="32"/>
  <c r="J1478" i="32" s="1"/>
  <c r="G1479" i="32"/>
  <c r="J1479" i="32" s="1"/>
  <c r="G1480" i="32"/>
  <c r="J1480" i="32" s="1"/>
  <c r="G1481" i="32"/>
  <c r="J1481" i="32" s="1"/>
  <c r="G1482" i="32"/>
  <c r="J1482" i="32" s="1"/>
  <c r="G1483" i="32"/>
  <c r="J1483" i="32" s="1"/>
  <c r="G1484" i="32"/>
  <c r="J1484" i="32" s="1"/>
  <c r="G1485" i="32"/>
  <c r="J1485" i="32" s="1"/>
  <c r="G1486" i="32"/>
  <c r="J1486" i="32" s="1"/>
  <c r="G1487" i="32"/>
  <c r="J1487" i="32" s="1"/>
  <c r="G1488" i="32"/>
  <c r="J1488" i="32" s="1"/>
  <c r="G1489" i="32"/>
  <c r="J1489" i="32" s="1"/>
  <c r="G1490" i="32"/>
  <c r="J1490" i="32" s="1"/>
  <c r="G1491" i="32"/>
  <c r="J1491" i="32" s="1"/>
  <c r="G1492" i="32"/>
  <c r="J1492" i="32" s="1"/>
  <c r="G1493" i="32"/>
  <c r="J1493" i="32" s="1"/>
  <c r="G1494" i="32"/>
  <c r="J1494" i="32" s="1"/>
  <c r="G1495" i="32"/>
  <c r="J1495" i="32" s="1"/>
  <c r="G1496" i="32"/>
  <c r="J1496" i="32" s="1"/>
  <c r="G1497" i="32"/>
  <c r="J1497" i="32" s="1"/>
  <c r="G1498" i="32"/>
  <c r="J1498" i="32" s="1"/>
  <c r="G1499" i="32"/>
  <c r="J1499" i="32" s="1"/>
  <c r="G1500" i="32"/>
  <c r="J1500" i="32" s="1"/>
  <c r="G1501" i="32"/>
  <c r="J1501" i="32" s="1"/>
  <c r="G1502" i="32"/>
  <c r="J1502" i="32" s="1"/>
  <c r="G1503" i="32"/>
  <c r="J1503" i="32" s="1"/>
  <c r="G1504" i="32"/>
  <c r="J1504" i="32" s="1"/>
  <c r="G1505" i="32"/>
  <c r="J1505" i="32" s="1"/>
  <c r="G1506" i="32"/>
  <c r="J1506" i="32" s="1"/>
  <c r="G1507" i="32"/>
  <c r="J1507" i="32" s="1"/>
  <c r="G1508" i="32"/>
  <c r="J1508" i="32" s="1"/>
  <c r="G1509" i="32"/>
  <c r="J1509" i="32" s="1"/>
  <c r="G1510" i="32"/>
  <c r="J1510" i="32" s="1"/>
  <c r="G1511" i="32"/>
  <c r="J1511" i="32" s="1"/>
  <c r="G1512" i="32"/>
  <c r="J1512" i="32" s="1"/>
  <c r="G1513" i="32"/>
  <c r="J1513" i="32" s="1"/>
  <c r="G1514" i="32"/>
  <c r="J1514" i="32" s="1"/>
  <c r="G1515" i="32"/>
  <c r="J1515" i="32" s="1"/>
  <c r="G1516" i="32"/>
  <c r="J1516" i="32" s="1"/>
  <c r="G1517" i="32"/>
  <c r="J1517" i="32" s="1"/>
  <c r="G1518" i="32"/>
  <c r="J1518" i="32" s="1"/>
  <c r="G1519" i="32"/>
  <c r="J1519" i="32" s="1"/>
  <c r="G1520" i="32"/>
  <c r="J1520" i="32" s="1"/>
  <c r="G1521" i="32"/>
  <c r="J1521" i="32" s="1"/>
  <c r="G1522" i="32"/>
  <c r="J1522" i="32" s="1"/>
  <c r="G1523" i="32"/>
  <c r="J1523" i="32" s="1"/>
  <c r="G1524" i="32"/>
  <c r="J1524" i="32" s="1"/>
  <c r="G1525" i="32"/>
  <c r="J1525" i="32" s="1"/>
  <c r="G1526" i="32"/>
  <c r="J1526" i="32" s="1"/>
  <c r="G1527" i="32"/>
  <c r="J1527" i="32" s="1"/>
  <c r="G1528" i="32"/>
  <c r="J1528" i="32" s="1"/>
  <c r="G1529" i="32"/>
  <c r="J1529" i="32" s="1"/>
  <c r="G1530" i="32"/>
  <c r="J1530" i="32" s="1"/>
  <c r="G1531" i="32"/>
  <c r="J1531" i="32" s="1"/>
  <c r="G1532" i="32"/>
  <c r="J1532" i="32" s="1"/>
  <c r="G1533" i="32"/>
  <c r="J1533" i="32" s="1"/>
  <c r="G1534" i="32"/>
  <c r="J1534" i="32" s="1"/>
  <c r="G1535" i="32"/>
  <c r="J1535" i="32" s="1"/>
  <c r="G1536" i="32"/>
  <c r="J1536" i="32" s="1"/>
  <c r="G1537" i="32"/>
  <c r="J1537" i="32" s="1"/>
  <c r="G1538" i="32"/>
  <c r="J1538" i="32" s="1"/>
  <c r="G1539" i="32"/>
  <c r="J1539" i="32" s="1"/>
  <c r="G1540" i="32"/>
  <c r="J1540" i="32" s="1"/>
  <c r="G1541" i="32"/>
  <c r="J1541" i="32" s="1"/>
  <c r="G1542" i="32"/>
  <c r="J1542" i="32" s="1"/>
  <c r="G1543" i="32"/>
  <c r="J1543" i="32" s="1"/>
  <c r="G1544" i="32"/>
  <c r="J1544" i="32" s="1"/>
  <c r="G1545" i="32"/>
  <c r="J1545" i="32" s="1"/>
  <c r="G1546" i="32"/>
  <c r="J1546" i="32" s="1"/>
  <c r="G1547" i="32"/>
  <c r="J1547" i="32" s="1"/>
  <c r="G1548" i="32"/>
  <c r="J1548" i="32" s="1"/>
  <c r="G1549" i="32"/>
  <c r="J1549" i="32" s="1"/>
  <c r="G1550" i="32"/>
  <c r="J1550" i="32" s="1"/>
  <c r="G1551" i="32"/>
  <c r="J1551" i="32" s="1"/>
  <c r="G1552" i="32"/>
  <c r="J1552" i="32" s="1"/>
  <c r="G1553" i="32"/>
  <c r="J1553" i="32" s="1"/>
  <c r="G1554" i="32"/>
  <c r="J1554" i="32" s="1"/>
  <c r="G1555" i="32"/>
  <c r="J1555" i="32" s="1"/>
  <c r="G1556" i="32"/>
  <c r="J1556" i="32" s="1"/>
  <c r="G1557" i="32"/>
  <c r="J1557" i="32" s="1"/>
  <c r="G1558" i="32"/>
  <c r="J1558" i="32" s="1"/>
  <c r="G1559" i="32"/>
  <c r="J1559" i="32" s="1"/>
  <c r="G1560" i="32"/>
  <c r="J1560" i="32" s="1"/>
  <c r="G1561" i="32"/>
  <c r="J1561" i="32" s="1"/>
  <c r="G1562" i="32"/>
  <c r="J1562" i="32" s="1"/>
  <c r="G1563" i="32"/>
  <c r="J1563" i="32" s="1"/>
  <c r="G1564" i="32"/>
  <c r="J1564" i="32" s="1"/>
  <c r="G1565" i="32"/>
  <c r="J1565" i="32" s="1"/>
  <c r="G1566" i="32"/>
  <c r="J1566" i="32" s="1"/>
  <c r="G1567" i="32"/>
  <c r="J1567" i="32" s="1"/>
  <c r="G1568" i="32"/>
  <c r="J1568" i="32" s="1"/>
  <c r="G1569" i="32"/>
  <c r="J1569" i="32" s="1"/>
  <c r="G1570" i="32"/>
  <c r="J1570" i="32" s="1"/>
  <c r="G1351" i="32"/>
  <c r="J1351" i="32" s="1"/>
  <c r="G1453" i="32"/>
  <c r="J1453" i="32" s="1"/>
  <c r="G1646" i="32"/>
  <c r="J1646" i="32" s="1"/>
  <c r="G1454" i="32"/>
  <c r="J1454" i="32" s="1"/>
  <c r="G1455" i="32"/>
  <c r="J1455" i="32" s="1"/>
  <c r="G1647" i="32"/>
  <c r="J1647" i="32" s="1"/>
  <c r="G1257" i="32"/>
  <c r="J1257" i="32" s="1"/>
  <c r="G1745" i="32"/>
  <c r="J1745" i="32" s="1"/>
  <c r="G1352" i="32"/>
  <c r="J1352" i="32" s="1"/>
  <c r="G1456" i="32"/>
  <c r="J1456" i="32" s="1"/>
  <c r="G1648" i="32"/>
  <c r="J1648" i="32" s="1"/>
  <c r="G1649" i="32"/>
  <c r="J1649" i="32" s="1"/>
  <c r="G1457" i="32"/>
  <c r="J1457" i="32" s="1"/>
  <c r="G1258" i="32"/>
  <c r="J1258" i="32" s="1"/>
  <c r="G1746" i="32"/>
  <c r="J1746" i="32" s="1"/>
  <c r="G1747" i="32"/>
  <c r="J1747" i="32" s="1"/>
  <c r="G1748" i="32"/>
  <c r="J1748" i="32" s="1"/>
  <c r="G1458" i="32"/>
  <c r="J1458" i="32" s="1"/>
  <c r="G1459" i="32"/>
  <c r="J1459" i="32" s="1"/>
  <c r="G1259" i="32"/>
  <c r="J1259" i="32" s="1"/>
  <c r="G1749" i="32"/>
  <c r="J1749" i="32" s="1"/>
  <c r="G1353" i="32"/>
  <c r="J1353" i="32" s="1"/>
  <c r="G1460" i="32"/>
  <c r="J1460" i="32" s="1"/>
  <c r="G1260" i="32"/>
  <c r="J1260" i="32" s="1"/>
  <c r="G1750" i="32"/>
  <c r="J1750" i="32" s="1"/>
  <c r="G1261" i="32"/>
  <c r="J1261" i="32" s="1"/>
  <c r="G1262" i="32"/>
  <c r="J1262" i="32" s="1"/>
  <c r="G1354" i="32"/>
  <c r="J1354" i="32" s="1"/>
  <c r="G1461" i="32"/>
  <c r="J1461" i="32" s="1"/>
  <c r="G1650" i="32"/>
  <c r="J1650" i="32" s="1"/>
  <c r="G1651" i="32"/>
  <c r="J1651" i="32" s="1"/>
  <c r="G1355" i="32"/>
  <c r="J1355" i="32" s="1"/>
  <c r="G1462" i="32"/>
  <c r="J1462" i="32" s="1"/>
  <c r="G1356" i="32"/>
  <c r="J1356" i="32" s="1"/>
  <c r="G1463" i="32"/>
  <c r="J1463" i="32" s="1"/>
  <c r="G1652" i="32"/>
  <c r="J1652" i="32" s="1"/>
  <c r="G1263" i="32"/>
  <c r="J1263" i="32" s="1"/>
  <c r="G1751" i="32"/>
  <c r="J1751" i="32" s="1"/>
  <c r="G1357" i="32"/>
  <c r="J1357" i="32" s="1"/>
  <c r="G1464" i="32"/>
  <c r="J1464" i="32" s="1"/>
  <c r="G1358" i="32"/>
  <c r="J1358" i="32" s="1"/>
  <c r="G1465" i="32"/>
  <c r="J1465" i="32" s="1"/>
  <c r="G1653" i="32"/>
  <c r="J1653" i="32" s="1"/>
  <c r="G1654" i="32"/>
  <c r="J1654" i="32" s="1"/>
  <c r="G1655" i="32"/>
  <c r="J1655" i="32" s="1"/>
  <c r="G1359" i="32"/>
  <c r="J1359" i="32" s="1"/>
  <c r="G1466" i="32"/>
  <c r="J1466" i="32" s="1"/>
  <c r="G1360" i="32"/>
  <c r="J1360" i="32" s="1"/>
  <c r="G1467" i="32"/>
  <c r="J1467" i="32" s="1"/>
  <c r="G1656" i="32"/>
  <c r="J1656" i="32" s="1"/>
  <c r="G1657" i="32"/>
  <c r="J1657" i="32" s="1"/>
  <c r="G1658" i="32"/>
  <c r="J1658" i="32" s="1"/>
  <c r="G1468" i="32"/>
  <c r="J1468" i="32" s="1"/>
  <c r="G1659" i="32"/>
  <c r="J1659" i="32" s="1"/>
  <c r="G1264" i="32"/>
  <c r="J1264" i="32" s="1"/>
  <c r="G1361" i="32"/>
  <c r="J1361" i="32" s="1"/>
  <c r="G1469" i="32"/>
  <c r="J1469" i="32" s="1"/>
  <c r="G1660" i="32"/>
  <c r="J1660" i="32" s="1"/>
  <c r="G1752" i="32"/>
  <c r="J1752" i="32" s="1"/>
  <c r="G1470" i="32"/>
  <c r="J1470" i="32" s="1"/>
  <c r="G1471" i="32"/>
  <c r="J1471" i="32" s="1"/>
  <c r="G1661" i="32"/>
  <c r="J1661" i="32" s="1"/>
  <c r="G1362" i="32"/>
  <c r="J1362" i="32" s="1"/>
  <c r="G1472" i="32"/>
  <c r="J1472" i="32" s="1"/>
  <c r="G1662" i="32"/>
  <c r="J1662" i="32" s="1"/>
  <c r="G1473" i="32"/>
  <c r="J1473" i="32" s="1"/>
  <c r="G1663" i="32"/>
  <c r="J1663" i="32" s="1"/>
  <c r="G1265" i="32"/>
  <c r="J1265" i="32" s="1"/>
  <c r="G1664" i="32"/>
  <c r="J1664" i="32" s="1"/>
  <c r="G1266" i="32"/>
  <c r="J1266" i="32" s="1"/>
  <c r="G1363" i="32"/>
  <c r="J1363" i="32" s="1"/>
  <c r="G1474" i="32"/>
  <c r="J1474" i="32" s="1"/>
  <c r="G1665" i="32"/>
  <c r="J1665" i="32" s="1"/>
  <c r="G1666" i="32"/>
  <c r="J1666" i="32" s="1"/>
  <c r="G1667" i="32"/>
  <c r="J1667" i="32" s="1"/>
  <c r="G1668" i="32"/>
  <c r="J1668" i="32" s="1"/>
  <c r="G1669" i="32"/>
  <c r="J1669" i="32" s="1"/>
  <c r="G1364" i="32"/>
  <c r="J1364" i="32" s="1"/>
  <c r="G1475" i="32"/>
  <c r="J1475" i="32" s="1"/>
  <c r="G1365" i="32"/>
  <c r="J1365" i="32" s="1"/>
  <c r="G1476" i="32"/>
  <c r="J1476" i="32" s="1"/>
  <c r="AM239" i="15" l="1"/>
  <c r="AN239" i="15" s="1"/>
  <c r="AL239" i="15"/>
  <c r="AI239" i="15" s="1"/>
  <c r="AO239" i="15" s="1"/>
  <c r="U149" i="15"/>
  <c r="U228" i="15"/>
  <c r="W228" i="15"/>
  <c r="AX228" i="15"/>
  <c r="AA228" i="15"/>
  <c r="U233" i="15"/>
  <c r="AA233" i="15"/>
  <c r="W233" i="15"/>
  <c r="AX233" i="15"/>
  <c r="U63" i="15"/>
  <c r="U227" i="15"/>
  <c r="AA227" i="15"/>
  <c r="AX227" i="15"/>
  <c r="W227" i="15"/>
  <c r="U237" i="15"/>
  <c r="W237" i="15"/>
  <c r="AX237" i="15"/>
  <c r="AA237" i="15"/>
  <c r="U224" i="15"/>
  <c r="U61" i="15"/>
  <c r="U235" i="15"/>
  <c r="AX235" i="15"/>
  <c r="W235" i="15"/>
  <c r="AA235" i="15"/>
  <c r="U62" i="15"/>
  <c r="U229" i="15"/>
  <c r="W229" i="15"/>
  <c r="AX229" i="15"/>
  <c r="AA229" i="15"/>
  <c r="U60" i="15"/>
  <c r="U234" i="15"/>
  <c r="AA234" i="15"/>
  <c r="AX234" i="15"/>
  <c r="W234" i="15"/>
  <c r="U239" i="15"/>
  <c r="AX239" i="15"/>
  <c r="AA239" i="15"/>
  <c r="W239" i="15"/>
  <c r="U204" i="15"/>
  <c r="U202" i="15"/>
  <c r="U225" i="15"/>
  <c r="U232" i="15"/>
  <c r="W232" i="15"/>
  <c r="AA232" i="15"/>
  <c r="AX232" i="15"/>
  <c r="U230" i="15"/>
  <c r="AX230" i="15"/>
  <c r="AA230" i="15"/>
  <c r="W230" i="15"/>
  <c r="U231" i="15"/>
  <c r="W231" i="15"/>
  <c r="AX231" i="15"/>
  <c r="AA231" i="15"/>
  <c r="U223" i="15"/>
  <c r="U212" i="15"/>
  <c r="W212" i="15"/>
  <c r="AX212" i="15"/>
  <c r="AA212" i="15"/>
  <c r="U236" i="15"/>
  <c r="W236" i="15"/>
  <c r="AX236" i="15"/>
  <c r="AA236" i="15"/>
  <c r="U226" i="15"/>
  <c r="U211" i="15"/>
  <c r="W211" i="15"/>
  <c r="AA211" i="15"/>
  <c r="AX211" i="15"/>
  <c r="U203" i="15"/>
  <c r="U222" i="15"/>
  <c r="U59" i="15"/>
  <c r="U173" i="15"/>
  <c r="AP239" i="15" l="1"/>
  <c r="AV239" i="15"/>
  <c r="AQ239" i="15"/>
  <c r="AR239" i="15" s="1"/>
  <c r="Q8" i="41" l="1"/>
  <c r="Q78" i="41"/>
  <c r="Q109" i="41"/>
  <c r="Q95" i="41"/>
  <c r="Q41" i="41"/>
  <c r="Q90" i="41"/>
  <c r="Q49" i="41"/>
  <c r="Q111" i="41"/>
  <c r="Q107" i="41"/>
  <c r="Q5" i="41"/>
  <c r="Q101" i="41"/>
  <c r="Q75" i="41"/>
  <c r="Q92" i="41"/>
  <c r="Q104" i="41"/>
  <c r="Q106" i="41"/>
  <c r="Q14" i="41"/>
  <c r="Q19" i="41"/>
  <c r="Q21" i="41"/>
  <c r="Q110" i="41"/>
  <c r="Q37" i="41"/>
  <c r="Q22" i="41"/>
  <c r="Q105" i="41"/>
  <c r="Q87" i="41"/>
  <c r="Q80" i="41"/>
  <c r="Q62" i="41"/>
  <c r="Q34" i="41"/>
  <c r="Q18" i="41"/>
  <c r="Q57" i="41"/>
  <c r="Q94" i="41"/>
  <c r="Q12" i="41"/>
  <c r="Q28" i="41"/>
  <c r="Q79" i="41"/>
  <c r="Q59" i="41"/>
  <c r="Q97" i="41"/>
  <c r="Q98" i="41"/>
  <c r="Q17" i="41"/>
  <c r="Q48" i="41"/>
  <c r="Q15" i="41"/>
  <c r="Q108" i="41"/>
  <c r="Q100" i="41"/>
  <c r="Q50" i="41"/>
  <c r="Q55" i="41"/>
  <c r="Q20" i="41"/>
  <c r="Q52" i="41"/>
  <c r="Q72" i="41"/>
  <c r="Q36" i="41"/>
  <c r="Q74" i="41"/>
  <c r="Q29" i="41"/>
  <c r="Q24" i="41"/>
  <c r="Q102" i="41"/>
  <c r="Q66" i="41"/>
  <c r="Q84" i="41"/>
  <c r="Q40" i="41"/>
  <c r="Q23" i="41"/>
  <c r="Q16" i="41"/>
  <c r="Q26" i="41"/>
  <c r="Q45" i="41"/>
  <c r="Q68" i="41"/>
  <c r="Q42" i="41"/>
  <c r="Q76" i="41"/>
  <c r="Q73" i="41"/>
  <c r="Q9" i="41"/>
  <c r="Q47" i="41"/>
  <c r="Q61" i="41"/>
  <c r="Q27" i="41"/>
  <c r="Q54" i="41"/>
  <c r="Q6" i="41"/>
  <c r="Q65" i="41"/>
  <c r="Q99" i="41"/>
  <c r="Q13" i="41"/>
  <c r="Q69" i="41"/>
  <c r="Q77" i="41"/>
  <c r="Q89" i="41"/>
  <c r="Q53" i="41"/>
  <c r="Q7" i="41"/>
  <c r="Q11" i="41"/>
  <c r="Q93" i="41"/>
  <c r="Q82" i="41"/>
  <c r="Q44" i="41"/>
  <c r="Q32" i="41"/>
  <c r="Q46" i="41"/>
  <c r="Q25" i="41"/>
  <c r="Q83" i="41"/>
  <c r="Q86" i="41"/>
  <c r="Q58" i="41"/>
  <c r="Q96" i="41"/>
  <c r="Q39" i="41"/>
  <c r="Q33" i="41"/>
  <c r="Q51" i="41"/>
  <c r="Q31" i="41"/>
  <c r="Q67" i="41" l="1"/>
  <c r="Q30" i="41"/>
  <c r="D186" i="34"/>
  <c r="D187" i="34"/>
  <c r="D188" i="34"/>
  <c r="D189" i="34"/>
  <c r="D190" i="34"/>
  <c r="D191" i="34"/>
  <c r="D192" i="34"/>
  <c r="B170" i="34"/>
  <c r="B171" i="34"/>
  <c r="B172" i="34"/>
  <c r="B173" i="34"/>
  <c r="B174" i="34"/>
  <c r="B175" i="34"/>
  <c r="B176" i="34"/>
  <c r="B177" i="34"/>
  <c r="B178" i="34"/>
  <c r="B179" i="34"/>
  <c r="B180" i="34"/>
  <c r="B181" i="34"/>
  <c r="B182" i="34"/>
  <c r="B183" i="34"/>
  <c r="B184" i="34"/>
  <c r="B185" i="34"/>
  <c r="B186" i="34"/>
  <c r="B187" i="34"/>
  <c r="B188" i="34"/>
  <c r="B189" i="34"/>
  <c r="B190" i="34"/>
  <c r="B191" i="34"/>
  <c r="B192" i="34"/>
  <c r="B169" i="34"/>
  <c r="D148" i="34"/>
  <c r="D118" i="15" l="1"/>
  <c r="O118" i="15" s="1"/>
  <c r="S118" i="15" s="1"/>
  <c r="D154" i="15"/>
  <c r="O154" i="15" s="1"/>
  <c r="S154" i="15" s="1"/>
  <c r="D115" i="15"/>
  <c r="D81" i="15"/>
  <c r="O81" i="15" s="1"/>
  <c r="S81" i="15" s="1"/>
  <c r="O115" i="15" l="1"/>
  <c r="S115" i="15" s="1"/>
  <c r="U115" i="15" s="1"/>
  <c r="U81" i="15"/>
  <c r="U154" i="15"/>
  <c r="U118" i="15"/>
  <c r="AC3" i="15" l="1"/>
  <c r="G1418" i="32"/>
  <c r="J1418" i="32" s="1"/>
  <c r="G1615" i="32"/>
  <c r="J1615" i="32" s="1"/>
  <c r="G1419" i="32"/>
  <c r="J1419" i="32" s="1"/>
  <c r="G1229" i="32"/>
  <c r="J1229" i="32" s="1"/>
  <c r="G1318" i="32"/>
  <c r="J1318" i="32" s="1"/>
  <c r="G1420" i="32"/>
  <c r="J1420" i="32" s="1"/>
  <c r="G1230" i="32"/>
  <c r="J1230" i="32" s="1"/>
  <c r="G1723" i="32"/>
  <c r="J1723" i="32" s="1"/>
  <c r="G1421" i="32"/>
  <c r="J1421" i="32" s="1"/>
  <c r="G1319" i="32"/>
  <c r="J1319" i="32" s="1"/>
  <c r="G1422" i="32"/>
  <c r="J1422" i="32" s="1"/>
  <c r="G1616" i="32"/>
  <c r="J1616" i="32" s="1"/>
  <c r="G1423" i="32"/>
  <c r="J1423" i="32" s="1"/>
  <c r="G1424" i="32"/>
  <c r="J1424" i="32" s="1"/>
  <c r="G1231" i="32"/>
  <c r="J1231" i="32" s="1"/>
  <c r="G1425" i="32"/>
  <c r="J1425" i="32" s="1"/>
  <c r="G1724" i="32"/>
  <c r="J1724" i="32" s="1"/>
  <c r="G1320" i="32"/>
  <c r="J1320" i="32" s="1"/>
  <c r="G1426" i="32"/>
  <c r="J1426" i="32" s="1"/>
  <c r="G1617" i="32"/>
  <c r="J1617" i="32" s="1"/>
  <c r="G1427" i="32"/>
  <c r="J1427" i="32" s="1"/>
  <c r="G1618" i="32"/>
  <c r="J1618" i="32" s="1"/>
  <c r="G1321" i="32"/>
  <c r="J1321" i="32" s="1"/>
  <c r="G1619" i="32"/>
  <c r="J1619" i="32" s="1"/>
  <c r="G1232" i="32"/>
  <c r="J1232" i="32" s="1"/>
  <c r="G1725" i="32"/>
  <c r="J1725" i="32" s="1"/>
  <c r="G1428" i="32"/>
  <c r="J1428" i="32" s="1"/>
  <c r="G1726" i="32"/>
  <c r="J1726" i="32" s="1"/>
  <c r="G1322" i="32"/>
  <c r="J1322" i="32" s="1"/>
  <c r="G1620" i="32"/>
  <c r="J1620" i="32" s="1"/>
  <c r="G1233" i="32"/>
  <c r="J1233" i="32" s="1"/>
  <c r="G1727" i="32"/>
  <c r="J1727" i="32" s="1"/>
  <c r="G1323" i="32"/>
  <c r="J1323" i="32" s="1"/>
  <c r="G1728" i="32"/>
  <c r="J1728" i="32" s="1"/>
  <c r="G1429" i="32"/>
  <c r="J1429" i="32" s="1"/>
  <c r="G1234" i="32"/>
  <c r="J1234" i="32" s="1"/>
  <c r="G1324" i="32"/>
  <c r="J1324" i="32" s="1"/>
  <c r="G1621" i="32"/>
  <c r="J1621" i="32" s="1"/>
  <c r="G1235" i="32"/>
  <c r="J1235" i="32" s="1"/>
  <c r="G1729" i="32"/>
  <c r="J1729" i="32" s="1"/>
  <c r="G1325" i="32"/>
  <c r="J1325" i="32" s="1"/>
  <c r="G1430" i="32"/>
  <c r="J1430" i="32" s="1"/>
  <c r="G1622" i="32"/>
  <c r="J1622" i="32" s="1"/>
  <c r="G1236" i="32"/>
  <c r="J1236" i="32" s="1"/>
  <c r="G1326" i="32"/>
  <c r="J1326" i="32" s="1"/>
  <c r="G1431" i="32"/>
  <c r="J1431" i="32" s="1"/>
  <c r="G1623" i="32"/>
  <c r="J1623" i="32" s="1"/>
  <c r="G1237" i="32"/>
  <c r="J1237" i="32" s="1"/>
  <c r="G1730" i="32"/>
  <c r="J1730" i="32" s="1"/>
  <c r="G1327" i="32"/>
  <c r="J1327" i="32" s="1"/>
  <c r="G1731" i="32"/>
  <c r="J1731" i="32" s="1"/>
  <c r="G1432" i="32"/>
  <c r="J1432" i="32" s="1"/>
  <c r="G1328" i="32"/>
  <c r="J1328" i="32" s="1"/>
  <c r="G1329" i="32"/>
  <c r="J1329" i="32" s="1"/>
  <c r="G1433" i="32"/>
  <c r="J1433" i="32" s="1"/>
  <c r="G1330" i="32"/>
  <c r="J1330" i="32" s="1"/>
  <c r="G1434" i="32"/>
  <c r="J1434" i="32" s="1"/>
  <c r="G1624" i="32"/>
  <c r="J1624" i="32" s="1"/>
  <c r="G1238" i="32"/>
  <c r="J1238" i="32" s="1"/>
  <c r="G1625" i="32"/>
  <c r="J1625" i="32" s="1"/>
  <c r="G1331" i="32"/>
  <c r="J1331" i="32" s="1"/>
  <c r="G1626" i="32"/>
  <c r="J1626" i="32" s="1"/>
  <c r="G1239" i="32"/>
  <c r="J1239" i="32" s="1"/>
  <c r="G1332" i="32"/>
  <c r="J1332" i="32" s="1"/>
  <c r="G1435" i="32"/>
  <c r="J1435" i="32" s="1"/>
  <c r="G1627" i="32"/>
  <c r="J1627" i="32" s="1"/>
  <c r="G1240" i="32"/>
  <c r="J1240" i="32" s="1"/>
  <c r="G1732" i="32"/>
  <c r="J1732" i="32" s="1"/>
  <c r="G1333" i="32"/>
  <c r="J1333" i="32" s="1"/>
  <c r="G1628" i="32"/>
  <c r="J1628" i="32" s="1"/>
  <c r="G1436" i="32"/>
  <c r="J1436" i="32" s="1"/>
  <c r="G1629" i="32"/>
  <c r="J1629" i="32" s="1"/>
  <c r="G1241" i="32"/>
  <c r="J1241" i="32" s="1"/>
  <c r="G1733" i="32"/>
  <c r="J1733" i="32" s="1"/>
  <c r="G1334" i="32"/>
  <c r="J1334" i="32" s="1"/>
  <c r="G1335" i="32"/>
  <c r="J1335" i="32" s="1"/>
  <c r="G1630" i="32"/>
  <c r="J1630" i="32" s="1"/>
  <c r="G1242" i="32"/>
  <c r="J1242" i="32" s="1"/>
  <c r="G1631" i="32"/>
  <c r="J1631" i="32" s="1"/>
  <c r="G1243" i="32"/>
  <c r="J1243" i="32" s="1"/>
  <c r="G1336" i="32"/>
  <c r="J1336" i="32" s="1"/>
  <c r="G1437" i="32"/>
  <c r="J1437" i="32" s="1"/>
  <c r="G1632" i="32"/>
  <c r="J1632" i="32" s="1"/>
  <c r="G1244" i="32"/>
  <c r="J1244" i="32" s="1"/>
  <c r="G1337" i="32"/>
  <c r="J1337" i="32" s="1"/>
  <c r="G1338" i="32"/>
  <c r="J1338" i="32" s="1"/>
  <c r="G1438" i="32"/>
  <c r="J1438" i="32" s="1"/>
  <c r="G1633" i="32"/>
  <c r="J1633" i="32" s="1"/>
  <c r="G1339" i="32"/>
  <c r="J1339" i="32" s="1"/>
  <c r="G1439" i="32"/>
  <c r="J1439" i="32" s="1"/>
  <c r="G1634" i="32"/>
  <c r="J1634" i="32" s="1"/>
  <c r="G1734" i="32"/>
  <c r="J1734" i="32" s="1"/>
  <c r="G1340" i="32"/>
  <c r="J1340" i="32" s="1"/>
  <c r="G1635" i="32"/>
  <c r="J1635" i="32" s="1"/>
  <c r="G1245" i="32"/>
  <c r="J1245" i="32" s="1"/>
  <c r="G1246" i="32"/>
  <c r="J1246" i="32" s="1"/>
  <c r="G1341" i="32"/>
  <c r="J1341" i="32" s="1"/>
  <c r="G1440" i="32"/>
  <c r="J1440" i="32" s="1"/>
  <c r="G1636" i="32"/>
  <c r="J1636" i="32" s="1"/>
  <c r="G1637" i="32"/>
  <c r="J1637" i="32" s="1"/>
  <c r="G1247" i="32"/>
  <c r="J1247" i="32" s="1"/>
  <c r="G1735" i="32"/>
  <c r="J1735" i="32" s="1"/>
  <c r="G1441" i="32"/>
  <c r="J1441" i="32" s="1"/>
  <c r="G1638" i="32"/>
  <c r="J1638" i="32" s="1"/>
  <c r="G1736" i="32"/>
  <c r="J1736" i="32" s="1"/>
  <c r="G1342" i="32"/>
  <c r="J1342" i="32" s="1"/>
  <c r="G1442" i="32"/>
  <c r="J1442" i="32" s="1"/>
  <c r="G1443" i="32"/>
  <c r="J1443" i="32" s="1"/>
  <c r="G1248" i="32"/>
  <c r="J1248" i="32" s="1"/>
  <c r="G1737" i="32"/>
  <c r="J1737" i="32" s="1"/>
  <c r="G1343" i="32"/>
  <c r="J1343" i="32" s="1"/>
  <c r="G1444" i="32"/>
  <c r="J1444" i="32" s="1"/>
  <c r="G1249" i="32"/>
  <c r="J1249" i="32" s="1"/>
  <c r="G1738" i="32"/>
  <c r="J1738" i="32" s="1"/>
  <c r="G1344" i="32"/>
  <c r="J1344" i="32" s="1"/>
  <c r="G1639" i="32"/>
  <c r="J1639" i="32" s="1"/>
  <c r="G1739" i="32"/>
  <c r="J1739" i="32" s="1"/>
  <c r="G1445" i="32"/>
  <c r="J1445" i="32" s="1"/>
  <c r="G1640" i="32"/>
  <c r="J1640" i="32" s="1"/>
  <c r="G1345" i="32"/>
  <c r="J1345" i="32" s="1"/>
  <c r="G1446" i="32"/>
  <c r="J1446" i="32" s="1"/>
  <c r="G1641" i="32"/>
  <c r="J1641" i="32" s="1"/>
  <c r="G1250" i="32"/>
  <c r="J1250" i="32" s="1"/>
  <c r="G1346" i="32"/>
  <c r="J1346" i="32" s="1"/>
  <c r="G1447" i="32"/>
  <c r="J1447" i="32" s="1"/>
  <c r="G1642" i="32"/>
  <c r="J1642" i="32" s="1"/>
  <c r="G1251" i="32"/>
  <c r="J1251" i="32" s="1"/>
  <c r="G1347" i="32"/>
  <c r="J1347" i="32" s="1"/>
  <c r="G1448" i="32"/>
  <c r="J1448" i="32" s="1"/>
  <c r="G1252" i="32"/>
  <c r="J1252" i="32" s="1"/>
  <c r="G1740" i="32"/>
  <c r="J1740" i="32" s="1"/>
  <c r="G1348" i="32"/>
  <c r="J1348" i="32" s="1"/>
  <c r="G1449" i="32"/>
  <c r="J1449" i="32" s="1"/>
  <c r="G1253" i="32"/>
  <c r="J1253" i="32" s="1"/>
  <c r="G1349" i="32"/>
  <c r="J1349" i="32" s="1"/>
  <c r="G1450" i="32"/>
  <c r="J1450" i="32" s="1"/>
  <c r="G1643" i="32"/>
  <c r="J1643" i="32" s="1"/>
  <c r="G1254" i="32"/>
  <c r="J1254" i="32" s="1"/>
  <c r="G1741" i="32"/>
  <c r="J1741" i="32" s="1"/>
  <c r="G1255" i="32"/>
  <c r="J1255" i="32" s="1"/>
  <c r="G1742" i="32"/>
  <c r="J1742" i="32" s="1"/>
  <c r="G1451" i="32"/>
  <c r="J1451" i="32" s="1"/>
  <c r="G1644" i="32"/>
  <c r="J1644" i="32" s="1"/>
  <c r="G1256" i="32"/>
  <c r="J1256" i="32" s="1"/>
  <c r="G1743" i="32"/>
  <c r="J1743" i="32" s="1"/>
  <c r="G1350" i="32"/>
  <c r="J1350" i="32" s="1"/>
  <c r="G1452" i="32"/>
  <c r="J1452" i="32" s="1"/>
  <c r="G1645" i="32"/>
  <c r="J1645" i="32" s="1"/>
  <c r="G1744" i="32"/>
  <c r="J1744" i="32" s="1"/>
  <c r="G325" i="32"/>
  <c r="J325" i="32" s="1"/>
  <c r="G432" i="32"/>
  <c r="J432" i="32" s="1"/>
  <c r="G726" i="32"/>
  <c r="J726" i="32" s="1"/>
  <c r="G29" i="32"/>
  <c r="J29" i="32" s="1"/>
  <c r="G835" i="32"/>
  <c r="J835" i="32" s="1"/>
  <c r="G637" i="32"/>
  <c r="J637" i="32" s="1"/>
  <c r="G112" i="32"/>
  <c r="J112" i="32" s="1"/>
  <c r="G1104" i="32"/>
  <c r="J1104" i="32" s="1"/>
  <c r="G326" i="32"/>
  <c r="J326" i="32" s="1"/>
  <c r="G433" i="32"/>
  <c r="J433" i="32" s="1"/>
  <c r="G727" i="32"/>
  <c r="J727" i="32" s="1"/>
  <c r="G30" i="32"/>
  <c r="J30" i="32" s="1"/>
  <c r="G836" i="32"/>
  <c r="J836" i="32" s="1"/>
  <c r="G1105" i="32"/>
  <c r="J1105" i="32" s="1"/>
  <c r="G1021" i="32"/>
  <c r="J1021" i="32" s="1"/>
  <c r="G929" i="32"/>
  <c r="J929" i="32" s="1"/>
  <c r="G225" i="32"/>
  <c r="J225" i="32" s="1"/>
  <c r="G1106" i="32"/>
  <c r="J1106" i="32" s="1"/>
  <c r="G1022" i="32"/>
  <c r="J1022" i="32" s="1"/>
  <c r="G930" i="32"/>
  <c r="J930" i="32" s="1"/>
  <c r="G226" i="32"/>
  <c r="J226" i="32" s="1"/>
  <c r="G327" i="32"/>
  <c r="J327" i="32" s="1"/>
  <c r="G434" i="32"/>
  <c r="J434" i="32" s="1"/>
  <c r="G31" i="32"/>
  <c r="J31" i="32" s="1"/>
  <c r="G837" i="32"/>
  <c r="J837" i="32" s="1"/>
  <c r="G638" i="32"/>
  <c r="J638" i="32" s="1"/>
  <c r="G527" i="32"/>
  <c r="J527" i="32" s="1"/>
  <c r="G113" i="32"/>
  <c r="J113" i="32" s="1"/>
  <c r="G1107" i="32"/>
  <c r="J1107" i="32" s="1"/>
  <c r="G1023" i="32"/>
  <c r="J1023" i="32" s="1"/>
  <c r="G435" i="32"/>
  <c r="J435" i="32" s="1"/>
  <c r="G728" i="32"/>
  <c r="J728" i="32" s="1"/>
  <c r="G32" i="32"/>
  <c r="J32" i="32" s="1"/>
  <c r="G838" i="32"/>
  <c r="J838" i="32" s="1"/>
  <c r="G639" i="32"/>
  <c r="J639" i="32" s="1"/>
  <c r="G528" i="32"/>
  <c r="J528" i="32" s="1"/>
  <c r="G227" i="32"/>
  <c r="J227" i="32" s="1"/>
  <c r="G228" i="32"/>
  <c r="J228" i="32" s="1"/>
  <c r="G229" i="32"/>
  <c r="J229" i="32" s="1"/>
  <c r="G436" i="32"/>
  <c r="J436" i="32" s="1"/>
  <c r="G729" i="32"/>
  <c r="J729" i="32" s="1"/>
  <c r="G529" i="32"/>
  <c r="J529" i="32" s="1"/>
  <c r="G114" i="32"/>
  <c r="J114" i="32" s="1"/>
  <c r="G230" i="32"/>
  <c r="J230" i="32" s="1"/>
  <c r="G33" i="32"/>
  <c r="J33" i="32" s="1"/>
  <c r="G328" i="32"/>
  <c r="J328" i="32" s="1"/>
  <c r="G34" i="32"/>
  <c r="J34" i="32" s="1"/>
  <c r="G329" i="32"/>
  <c r="J329" i="32" s="1"/>
  <c r="G437" i="32"/>
  <c r="J437" i="32" s="1"/>
  <c r="G839" i="32"/>
  <c r="J839" i="32" s="1"/>
  <c r="G640" i="32"/>
  <c r="J640" i="32" s="1"/>
  <c r="G530" i="32"/>
  <c r="J530" i="32" s="1"/>
  <c r="G115" i="32"/>
  <c r="J115" i="32" s="1"/>
  <c r="G931" i="32"/>
  <c r="J931" i="32" s="1"/>
  <c r="G330" i="32"/>
  <c r="J330" i="32" s="1"/>
  <c r="G35" i="32"/>
  <c r="J35" i="32" s="1"/>
  <c r="G840" i="32"/>
  <c r="J840" i="32" s="1"/>
  <c r="G116" i="32"/>
  <c r="J116" i="32" s="1"/>
  <c r="G1024" i="32"/>
  <c r="J1024" i="32" s="1"/>
  <c r="G932" i="32"/>
  <c r="J932" i="32" s="1"/>
  <c r="G231" i="32"/>
  <c r="J231" i="32" s="1"/>
  <c r="G438" i="32"/>
  <c r="J438" i="32" s="1"/>
  <c r="G730" i="32"/>
  <c r="J730" i="32" s="1"/>
  <c r="G641" i="32"/>
  <c r="J641" i="32" s="1"/>
  <c r="G531" i="32"/>
  <c r="J531" i="32" s="1"/>
  <c r="G331" i="32"/>
  <c r="J331" i="32" s="1"/>
  <c r="G439" i="32"/>
  <c r="J439" i="32" s="1"/>
  <c r="G841" i="32"/>
  <c r="J841" i="32" s="1"/>
  <c r="G642" i="32"/>
  <c r="J642" i="32" s="1"/>
  <c r="G532" i="32"/>
  <c r="J532" i="32" s="1"/>
  <c r="G117" i="32"/>
  <c r="J117" i="32" s="1"/>
  <c r="G1108" i="32"/>
  <c r="J1108" i="32" s="1"/>
  <c r="G933" i="32"/>
  <c r="J933" i="32" s="1"/>
  <c r="G232" i="32"/>
  <c r="J232" i="32" s="1"/>
  <c r="G332" i="32"/>
  <c r="J332" i="32" s="1"/>
  <c r="G440" i="32"/>
  <c r="J440" i="32" s="1"/>
  <c r="G731" i="32"/>
  <c r="J731" i="32" s="1"/>
  <c r="G36" i="32"/>
  <c r="J36" i="32" s="1"/>
  <c r="G533" i="32"/>
  <c r="J533" i="32" s="1"/>
  <c r="G333" i="32"/>
  <c r="J333" i="32" s="1"/>
  <c r="G441" i="32"/>
  <c r="J441" i="32" s="1"/>
  <c r="G842" i="32"/>
  <c r="J842" i="32" s="1"/>
  <c r="G534" i="32"/>
  <c r="J534" i="32" s="1"/>
  <c r="G118" i="32"/>
  <c r="J118" i="32" s="1"/>
  <c r="G934" i="32"/>
  <c r="J934" i="32" s="1"/>
  <c r="G233" i="32"/>
  <c r="J233" i="32" s="1"/>
  <c r="G37" i="32"/>
  <c r="J37" i="32" s="1"/>
  <c r="G843" i="32"/>
  <c r="J843" i="32" s="1"/>
  <c r="G1109" i="32"/>
  <c r="J1109" i="32" s="1"/>
  <c r="G935" i="32"/>
  <c r="J935" i="32" s="1"/>
  <c r="G234" i="32"/>
  <c r="J234" i="32" s="1"/>
  <c r="G442" i="32"/>
  <c r="J442" i="32" s="1"/>
  <c r="G732" i="32"/>
  <c r="J732" i="32" s="1"/>
  <c r="G38" i="32"/>
  <c r="J38" i="32" s="1"/>
  <c r="G535" i="32"/>
  <c r="J535" i="32" s="1"/>
  <c r="G536" i="32"/>
  <c r="J536" i="32" s="1"/>
  <c r="G119" i="32"/>
  <c r="J119" i="32" s="1"/>
  <c r="G443" i="32"/>
  <c r="J443" i="32" s="1"/>
  <c r="G844" i="32"/>
  <c r="J844" i="32" s="1"/>
  <c r="G936" i="32"/>
  <c r="J936" i="32" s="1"/>
  <c r="G235" i="32"/>
  <c r="J235" i="32" s="1"/>
  <c r="G643" i="32"/>
  <c r="J643" i="32" s="1"/>
  <c r="G236" i="32"/>
  <c r="J236" i="32" s="1"/>
  <c r="G39" i="32"/>
  <c r="J39" i="32" s="1"/>
  <c r="G40" i="32"/>
  <c r="J40" i="32" s="1"/>
  <c r="G334" i="32"/>
  <c r="J334" i="32" s="1"/>
  <c r="G537" i="32"/>
  <c r="J537" i="32" s="1"/>
  <c r="G120" i="32"/>
  <c r="J120" i="32" s="1"/>
  <c r="G1025" i="32"/>
  <c r="J1025" i="32" s="1"/>
  <c r="G237" i="32"/>
  <c r="J237" i="32" s="1"/>
  <c r="G444" i="32"/>
  <c r="J444" i="32" s="1"/>
  <c r="G538" i="32"/>
  <c r="J538" i="32" s="1"/>
  <c r="G644" i="32"/>
  <c r="J644" i="32" s="1"/>
  <c r="G539" i="32"/>
  <c r="J539" i="32" s="1"/>
  <c r="G335" i="32"/>
  <c r="J335" i="32" s="1"/>
  <c r="G445" i="32"/>
  <c r="J445" i="32" s="1"/>
  <c r="G41" i="32"/>
  <c r="J41" i="32" s="1"/>
  <c r="G845" i="32"/>
  <c r="J845" i="32" s="1"/>
  <c r="G645" i="32"/>
  <c r="J645" i="32" s="1"/>
  <c r="G121" i="32"/>
  <c r="J121" i="32" s="1"/>
  <c r="G1110" i="32"/>
  <c r="J1110" i="32" s="1"/>
  <c r="G937" i="32"/>
  <c r="J937" i="32" s="1"/>
  <c r="G238" i="32"/>
  <c r="J238" i="32" s="1"/>
  <c r="G336" i="32"/>
  <c r="J336" i="32" s="1"/>
  <c r="G446" i="32"/>
  <c r="J446" i="32" s="1"/>
  <c r="G846" i="32"/>
  <c r="J846" i="32" s="1"/>
  <c r="G646" i="32"/>
  <c r="J646" i="32" s="1"/>
  <c r="G540" i="32"/>
  <c r="J540" i="32" s="1"/>
  <c r="G337" i="32"/>
  <c r="J337" i="32" s="1"/>
  <c r="G447" i="32"/>
  <c r="J447" i="32" s="1"/>
  <c r="G42" i="32"/>
  <c r="J42" i="32" s="1"/>
  <c r="G847" i="32"/>
  <c r="J847" i="32" s="1"/>
  <c r="G122" i="32"/>
  <c r="J122" i="32" s="1"/>
  <c r="G1026" i="32"/>
  <c r="J1026" i="32" s="1"/>
  <c r="G938" i="32"/>
  <c r="J938" i="32" s="1"/>
  <c r="G239" i="32"/>
  <c r="J239" i="32" s="1"/>
  <c r="G448" i="32"/>
  <c r="J448" i="32" s="1"/>
  <c r="G541" i="32"/>
  <c r="J541" i="32" s="1"/>
  <c r="G939" i="32"/>
  <c r="J939" i="32" s="1"/>
  <c r="G1111" i="32"/>
  <c r="J1111" i="32" s="1"/>
  <c r="G1112" i="32"/>
  <c r="J1112" i="32" s="1"/>
  <c r="G1113" i="32"/>
  <c r="J1113" i="32" s="1"/>
  <c r="G1114" i="32"/>
  <c r="J1114" i="32" s="1"/>
  <c r="G240" i="32"/>
  <c r="J240" i="32" s="1"/>
  <c r="G1115" i="32"/>
  <c r="J1115" i="32" s="1"/>
  <c r="G1116" i="32"/>
  <c r="J1116" i="32" s="1"/>
  <c r="G1117" i="32"/>
  <c r="J1117" i="32" s="1"/>
  <c r="G1118" i="32"/>
  <c r="J1118" i="32" s="1"/>
  <c r="G1119" i="32"/>
  <c r="J1119" i="32" s="1"/>
  <c r="G1120" i="32"/>
  <c r="J1120" i="32" s="1"/>
  <c r="G1121" i="32"/>
  <c r="J1121" i="32" s="1"/>
  <c r="G1122" i="32"/>
  <c r="J1122" i="32" s="1"/>
  <c r="G241" i="32"/>
  <c r="J241" i="32" s="1"/>
  <c r="G1123" i="32"/>
  <c r="J1123" i="32" s="1"/>
  <c r="G43" i="32"/>
  <c r="J43" i="32" s="1"/>
  <c r="G1027" i="32"/>
  <c r="J1027" i="32" s="1"/>
  <c r="G1124" i="32"/>
  <c r="J1124" i="32" s="1"/>
  <c r="G848" i="32"/>
  <c r="J848" i="32" s="1"/>
  <c r="G542" i="32"/>
  <c r="J542" i="32" s="1"/>
  <c r="G123" i="32"/>
  <c r="J123" i="32" s="1"/>
  <c r="G338" i="32"/>
  <c r="J338" i="32" s="1"/>
  <c r="G449" i="32"/>
  <c r="J449" i="32" s="1"/>
  <c r="G733" i="32"/>
  <c r="J733" i="32" s="1"/>
  <c r="G849" i="32"/>
  <c r="J849" i="32" s="1"/>
  <c r="G242" i="32"/>
  <c r="J242" i="32" s="1"/>
  <c r="G1028" i="32"/>
  <c r="J1028" i="32" s="1"/>
  <c r="G734" i="32"/>
  <c r="J734" i="32" s="1"/>
  <c r="G850" i="32"/>
  <c r="J850" i="32" s="1"/>
  <c r="G647" i="32"/>
  <c r="J647" i="32" s="1"/>
  <c r="G735" i="32"/>
  <c r="J735" i="32" s="1"/>
  <c r="G124" i="32"/>
  <c r="J124" i="32" s="1"/>
  <c r="G648" i="32"/>
  <c r="J648" i="32" s="1"/>
  <c r="G450" i="32"/>
  <c r="J450" i="32" s="1"/>
  <c r="G44" i="32"/>
  <c r="J44" i="32" s="1"/>
  <c r="G125" i="32"/>
  <c r="J125" i="32" s="1"/>
  <c r="G940" i="32"/>
  <c r="J940" i="32" s="1"/>
  <c r="G243" i="32"/>
  <c r="J243" i="32" s="1"/>
  <c r="G851" i="32"/>
  <c r="J851" i="32" s="1"/>
  <c r="G543" i="32"/>
  <c r="J543" i="32" s="1"/>
  <c r="G126" i="32"/>
  <c r="J126" i="32" s="1"/>
  <c r="G1029" i="32"/>
  <c r="J1029" i="32" s="1"/>
  <c r="G339" i="32"/>
  <c r="J339" i="32" s="1"/>
  <c r="G451" i="32"/>
  <c r="J451" i="32" s="1"/>
  <c r="G452" i="32"/>
  <c r="J452" i="32" s="1"/>
  <c r="G941" i="32"/>
  <c r="J941" i="32" s="1"/>
  <c r="G244" i="32"/>
  <c r="J244" i="32" s="1"/>
  <c r="G340" i="32"/>
  <c r="J340" i="32" s="1"/>
  <c r="G453" i="32"/>
  <c r="J453" i="32" s="1"/>
  <c r="G544" i="32"/>
  <c r="J544" i="32" s="1"/>
  <c r="G127" i="32"/>
  <c r="J127" i="32" s="1"/>
  <c r="G852" i="32"/>
  <c r="J852" i="32" s="1"/>
  <c r="G545" i="32"/>
  <c r="J545" i="32" s="1"/>
  <c r="G128" i="32"/>
  <c r="J128" i="32" s="1"/>
  <c r="G341" i="32"/>
  <c r="J341" i="32" s="1"/>
  <c r="G454" i="32"/>
  <c r="J454" i="32" s="1"/>
  <c r="G942" i="32"/>
  <c r="J942" i="32" s="1"/>
  <c r="G649" i="32"/>
  <c r="J649" i="32" s="1"/>
  <c r="G1125" i="32"/>
  <c r="J1125" i="32" s="1"/>
  <c r="G245" i="32"/>
  <c r="J245" i="32" s="1"/>
  <c r="G455" i="32"/>
  <c r="J455" i="32" s="1"/>
  <c r="G129" i="32"/>
  <c r="J129" i="32" s="1"/>
  <c r="G1030" i="32"/>
  <c r="J1030" i="32" s="1"/>
  <c r="G342" i="32"/>
  <c r="J342" i="32" s="1"/>
  <c r="G456" i="32"/>
  <c r="J456" i="32" s="1"/>
  <c r="G853" i="32"/>
  <c r="J853" i="32" s="1"/>
  <c r="G130" i="32"/>
  <c r="J130" i="32" s="1"/>
  <c r="G943" i="32"/>
  <c r="J943" i="32" s="1"/>
  <c r="G343" i="32"/>
  <c r="J343" i="32" s="1"/>
  <c r="G854" i="32"/>
  <c r="J854" i="32" s="1"/>
  <c r="G131" i="32"/>
  <c r="J131" i="32" s="1"/>
  <c r="G246" i="32"/>
  <c r="J246" i="32" s="1"/>
  <c r="G344" i="32"/>
  <c r="J344" i="32" s="1"/>
  <c r="G132" i="32"/>
  <c r="J132" i="32" s="1"/>
  <c r="G345" i="32"/>
  <c r="J345" i="32" s="1"/>
  <c r="G736" i="32"/>
  <c r="J736" i="32" s="1"/>
  <c r="G45" i="32"/>
  <c r="J45" i="32" s="1"/>
  <c r="G855" i="32"/>
  <c r="J855" i="32" s="1"/>
  <c r="G650" i="32"/>
  <c r="J650" i="32" s="1"/>
  <c r="G546" i="32"/>
  <c r="J546" i="32" s="1"/>
  <c r="G133" i="32"/>
  <c r="J133" i="32" s="1"/>
  <c r="G1126" i="32"/>
  <c r="J1126" i="32" s="1"/>
  <c r="G1031" i="32"/>
  <c r="J1031" i="32" s="1"/>
  <c r="G944" i="32"/>
  <c r="J944" i="32" s="1"/>
  <c r="G247" i="32"/>
  <c r="J247" i="32" s="1"/>
  <c r="G346" i="32"/>
  <c r="J346" i="32" s="1"/>
  <c r="G737" i="32"/>
  <c r="J737" i="32" s="1"/>
  <c r="G347" i="32"/>
  <c r="J347" i="32" s="1"/>
  <c r="G547" i="32"/>
  <c r="J547" i="32" s="1"/>
  <c r="G134" i="32"/>
  <c r="J134" i="32" s="1"/>
  <c r="G1127" i="32"/>
  <c r="J1127" i="32" s="1"/>
  <c r="G856" i="32"/>
  <c r="J856" i="32" s="1"/>
  <c r="G945" i="32"/>
  <c r="J945" i="32" s="1"/>
  <c r="G651" i="32"/>
  <c r="J651" i="32" s="1"/>
  <c r="G135" i="32"/>
  <c r="J135" i="32" s="1"/>
  <c r="G1128" i="32"/>
  <c r="J1128" i="32" s="1"/>
  <c r="G946" i="32"/>
  <c r="J946" i="32" s="1"/>
  <c r="G348" i="32"/>
  <c r="J348" i="32" s="1"/>
  <c r="G738" i="32"/>
  <c r="J738" i="32" s="1"/>
  <c r="G1032" i="32"/>
  <c r="J1032" i="32" s="1"/>
  <c r="G947" i="32"/>
  <c r="J947" i="32" s="1"/>
  <c r="G548" i="32"/>
  <c r="J548" i="32" s="1"/>
  <c r="G948" i="32"/>
  <c r="J948" i="32" s="1"/>
  <c r="G457" i="32"/>
  <c r="J457" i="32" s="1"/>
  <c r="G136" i="32"/>
  <c r="J136" i="32" s="1"/>
  <c r="G458" i="32"/>
  <c r="J458" i="32" s="1"/>
  <c r="G349" i="32"/>
  <c r="J349" i="32" s="1"/>
  <c r="G857" i="32"/>
  <c r="J857" i="32" s="1"/>
  <c r="G549" i="32"/>
  <c r="J549" i="32" s="1"/>
  <c r="G248" i="32"/>
  <c r="J248" i="32" s="1"/>
  <c r="G350" i="32"/>
  <c r="J350" i="32" s="1"/>
  <c r="G459" i="32"/>
  <c r="J459" i="32" s="1"/>
  <c r="G46" i="32"/>
  <c r="J46" i="32" s="1"/>
  <c r="G858" i="32"/>
  <c r="J858" i="32" s="1"/>
  <c r="G652" i="32"/>
  <c r="J652" i="32" s="1"/>
  <c r="G550" i="32"/>
  <c r="J550" i="32" s="1"/>
  <c r="G137" i="32"/>
  <c r="J137" i="32" s="1"/>
  <c r="G949" i="32"/>
  <c r="J949" i="32" s="1"/>
  <c r="G460" i="32"/>
  <c r="J460" i="32" s="1"/>
  <c r="G859" i="32"/>
  <c r="J859" i="32" s="1"/>
  <c r="G138" i="32"/>
  <c r="J138" i="32" s="1"/>
  <c r="G860" i="32"/>
  <c r="J860" i="32" s="1"/>
  <c r="G249" i="32"/>
  <c r="J249" i="32" s="1"/>
  <c r="G351" i="32"/>
  <c r="J351" i="32" s="1"/>
  <c r="G461" i="32"/>
  <c r="J461" i="32" s="1"/>
  <c r="G1129" i="32"/>
  <c r="J1129" i="32" s="1"/>
  <c r="G551" i="32"/>
  <c r="J551" i="32" s="1"/>
  <c r="G352" i="32"/>
  <c r="J352" i="32" s="1"/>
  <c r="G462" i="32"/>
  <c r="J462" i="32" s="1"/>
  <c r="G861" i="32"/>
  <c r="J861" i="32" s="1"/>
  <c r="G552" i="32"/>
  <c r="J552" i="32" s="1"/>
  <c r="G250" i="32"/>
  <c r="J250" i="32" s="1"/>
  <c r="G47" i="32"/>
  <c r="J47" i="32" s="1"/>
  <c r="G139" i="32"/>
  <c r="J139" i="32" s="1"/>
  <c r="G353" i="32"/>
  <c r="J353" i="32" s="1"/>
  <c r="G140" i="32"/>
  <c r="J140" i="32" s="1"/>
  <c r="G463" i="32"/>
  <c r="J463" i="32" s="1"/>
  <c r="G553" i="32"/>
  <c r="J553" i="32" s="1"/>
  <c r="G141" i="32"/>
  <c r="J141" i="32" s="1"/>
  <c r="G950" i="32"/>
  <c r="J950" i="32" s="1"/>
  <c r="G354" i="32"/>
  <c r="J354" i="32" s="1"/>
  <c r="G739" i="32"/>
  <c r="J739" i="32" s="1"/>
  <c r="G862" i="32"/>
  <c r="J862" i="32" s="1"/>
  <c r="G863" i="32"/>
  <c r="J863" i="32" s="1"/>
  <c r="G653" i="32"/>
  <c r="J653" i="32" s="1"/>
  <c r="G554" i="32"/>
  <c r="J554" i="32" s="1"/>
  <c r="G142" i="32"/>
  <c r="J142" i="32" s="1"/>
  <c r="G1033" i="32"/>
  <c r="J1033" i="32" s="1"/>
  <c r="G251" i="32"/>
  <c r="J251" i="32" s="1"/>
  <c r="G464" i="32"/>
  <c r="J464" i="32" s="1"/>
  <c r="G355" i="32"/>
  <c r="J355" i="32" s="1"/>
  <c r="G465" i="32"/>
  <c r="J465" i="32" s="1"/>
  <c r="G48" i="32"/>
  <c r="J48" i="32" s="1"/>
  <c r="G555" i="32"/>
  <c r="J555" i="32" s="1"/>
  <c r="G951" i="32"/>
  <c r="J951" i="32" s="1"/>
  <c r="G252" i="32"/>
  <c r="J252" i="32" s="1"/>
  <c r="G740" i="32"/>
  <c r="J740" i="32" s="1"/>
  <c r="G49" i="32"/>
  <c r="J49" i="32" s="1"/>
  <c r="G143" i="32"/>
  <c r="J143" i="32" s="1"/>
  <c r="G144" i="32"/>
  <c r="J144" i="32" s="1"/>
  <c r="G466" i="32"/>
  <c r="J466" i="32" s="1"/>
  <c r="G556" i="32"/>
  <c r="J556" i="32" s="1"/>
  <c r="G952" i="32"/>
  <c r="J952" i="32" s="1"/>
  <c r="G253" i="32"/>
  <c r="J253" i="32" s="1"/>
  <c r="G953" i="32"/>
  <c r="J953" i="32" s="1"/>
  <c r="G145" i="32"/>
  <c r="J145" i="32" s="1"/>
  <c r="G1034" i="32"/>
  <c r="J1034" i="32" s="1"/>
  <c r="G954" i="32"/>
  <c r="J954" i="32" s="1"/>
  <c r="G356" i="32"/>
  <c r="J356" i="32" s="1"/>
  <c r="G467" i="32"/>
  <c r="J467" i="32" s="1"/>
  <c r="G741" i="32"/>
  <c r="J741" i="32" s="1"/>
  <c r="G864" i="32"/>
  <c r="J864" i="32" s="1"/>
  <c r="G654" i="32"/>
  <c r="J654" i="32" s="1"/>
  <c r="G557" i="32"/>
  <c r="J557" i="32" s="1"/>
  <c r="G146" i="32"/>
  <c r="J146" i="32" s="1"/>
  <c r="G1035" i="32"/>
  <c r="J1035" i="32" s="1"/>
  <c r="G254" i="32"/>
  <c r="J254" i="32" s="1"/>
  <c r="G357" i="32"/>
  <c r="J357" i="32" s="1"/>
  <c r="G468" i="32"/>
  <c r="J468" i="32" s="1"/>
  <c r="G742" i="32"/>
  <c r="J742" i="32" s="1"/>
  <c r="G50" i="32"/>
  <c r="J50" i="32" s="1"/>
  <c r="G865" i="32"/>
  <c r="J865" i="32" s="1"/>
  <c r="G655" i="32"/>
  <c r="J655" i="32" s="1"/>
  <c r="G558" i="32"/>
  <c r="J558" i="32" s="1"/>
  <c r="G147" i="32"/>
  <c r="J147" i="32" s="1"/>
  <c r="G1036" i="32"/>
  <c r="J1036" i="32" s="1"/>
  <c r="G955" i="32"/>
  <c r="J955" i="32" s="1"/>
  <c r="G743" i="32"/>
  <c r="J743" i="32" s="1"/>
  <c r="G956" i="32"/>
  <c r="J956" i="32" s="1"/>
  <c r="G559" i="32"/>
  <c r="J559" i="32" s="1"/>
  <c r="G148" i="32"/>
  <c r="J148" i="32" s="1"/>
  <c r="G358" i="32"/>
  <c r="J358" i="32" s="1"/>
  <c r="G51" i="32"/>
  <c r="J51" i="32" s="1"/>
  <c r="G866" i="32"/>
  <c r="J866" i="32" s="1"/>
  <c r="G656" i="32"/>
  <c r="J656" i="32" s="1"/>
  <c r="G149" i="32"/>
  <c r="J149" i="32" s="1"/>
  <c r="G957" i="32"/>
  <c r="J957" i="32" s="1"/>
  <c r="G255" i="32"/>
  <c r="J255" i="32" s="1"/>
  <c r="G359" i="32"/>
  <c r="J359" i="32" s="1"/>
  <c r="G469" i="32"/>
  <c r="J469" i="32" s="1"/>
  <c r="G744" i="32"/>
  <c r="J744" i="32" s="1"/>
  <c r="G52" i="32"/>
  <c r="J52" i="32" s="1"/>
  <c r="G867" i="32"/>
  <c r="J867" i="32" s="1"/>
  <c r="G657" i="32"/>
  <c r="J657" i="32" s="1"/>
  <c r="G560" i="32"/>
  <c r="J560" i="32" s="1"/>
  <c r="G150" i="32"/>
  <c r="J150" i="32" s="1"/>
  <c r="G1130" i="32"/>
  <c r="J1130" i="32" s="1"/>
  <c r="G1037" i="32"/>
  <c r="J1037" i="32" s="1"/>
  <c r="G958" i="32"/>
  <c r="J958" i="32" s="1"/>
  <c r="G256" i="32"/>
  <c r="J256" i="32" s="1"/>
  <c r="G1131" i="32"/>
  <c r="J1131" i="32" s="1"/>
  <c r="G1038" i="32"/>
  <c r="J1038" i="32" s="1"/>
  <c r="G360" i="32"/>
  <c r="J360" i="32" s="1"/>
  <c r="G470" i="32"/>
  <c r="J470" i="32" s="1"/>
  <c r="G745" i="32"/>
  <c r="J745" i="32" s="1"/>
  <c r="G868" i="32"/>
  <c r="J868" i="32" s="1"/>
  <c r="G658" i="32"/>
  <c r="J658" i="32" s="1"/>
  <c r="G561" i="32"/>
  <c r="J561" i="32" s="1"/>
  <c r="G151" i="32"/>
  <c r="J151" i="32" s="1"/>
  <c r="G1039" i="32"/>
  <c r="J1039" i="32" s="1"/>
  <c r="G959" i="32"/>
  <c r="J959" i="32" s="1"/>
  <c r="G257" i="32"/>
  <c r="J257" i="32" s="1"/>
  <c r="G361" i="32"/>
  <c r="J361" i="32" s="1"/>
  <c r="G362" i="32"/>
  <c r="J362" i="32" s="1"/>
  <c r="G471" i="32"/>
  <c r="J471" i="32" s="1"/>
  <c r="G746" i="32"/>
  <c r="J746" i="32" s="1"/>
  <c r="G869" i="32"/>
  <c r="J869" i="32" s="1"/>
  <c r="G152" i="32"/>
  <c r="J152" i="32" s="1"/>
  <c r="G960" i="32"/>
  <c r="J960" i="32" s="1"/>
  <c r="G258" i="32"/>
  <c r="J258" i="32" s="1"/>
  <c r="G259" i="32"/>
  <c r="J259" i="32" s="1"/>
  <c r="G961" i="32"/>
  <c r="J961" i="32" s="1"/>
  <c r="G153" i="32"/>
  <c r="J153" i="32" s="1"/>
  <c r="G472" i="32"/>
  <c r="J472" i="32" s="1"/>
  <c r="G53" i="32"/>
  <c r="J53" i="32" s="1"/>
  <c r="G1040" i="32"/>
  <c r="J1040" i="32" s="1"/>
  <c r="G747" i="32"/>
  <c r="J747" i="32" s="1"/>
  <c r="G562" i="32"/>
  <c r="J562" i="32" s="1"/>
  <c r="G1041" i="32"/>
  <c r="J1041" i="32" s="1"/>
  <c r="G363" i="32"/>
  <c r="J363" i="32" s="1"/>
  <c r="G748" i="32"/>
  <c r="J748" i="32" s="1"/>
  <c r="G563" i="32"/>
  <c r="J563" i="32" s="1"/>
  <c r="G364" i="32"/>
  <c r="J364" i="32" s="1"/>
  <c r="G473" i="32"/>
  <c r="J473" i="32" s="1"/>
  <c r="G749" i="32"/>
  <c r="J749" i="32" s="1"/>
  <c r="G54" i="32"/>
  <c r="J54" i="32" s="1"/>
  <c r="G870" i="32"/>
  <c r="J870" i="32" s="1"/>
  <c r="G659" i="32"/>
  <c r="J659" i="32" s="1"/>
  <c r="G564" i="32"/>
  <c r="J564" i="32" s="1"/>
  <c r="G154" i="32"/>
  <c r="J154" i="32" s="1"/>
  <c r="G1132" i="32"/>
  <c r="J1132" i="32" s="1"/>
  <c r="G1042" i="32"/>
  <c r="J1042" i="32" s="1"/>
  <c r="G962" i="32"/>
  <c r="J962" i="32" s="1"/>
  <c r="G260" i="32"/>
  <c r="J260" i="32" s="1"/>
  <c r="G365" i="32"/>
  <c r="J365" i="32" s="1"/>
  <c r="G750" i="32"/>
  <c r="J750" i="32" s="1"/>
  <c r="G871" i="32"/>
  <c r="J871" i="32" s="1"/>
  <c r="G660" i="32"/>
  <c r="J660" i="32" s="1"/>
  <c r="G565" i="32"/>
  <c r="J565" i="32" s="1"/>
  <c r="G155" i="32"/>
  <c r="J155" i="32" s="1"/>
  <c r="G1133" i="32"/>
  <c r="J1133" i="32" s="1"/>
  <c r="G1043" i="32"/>
  <c r="J1043" i="32" s="1"/>
  <c r="G963" i="32"/>
  <c r="J963" i="32" s="1"/>
  <c r="G261" i="32"/>
  <c r="J261" i="32" s="1"/>
  <c r="G366" i="32"/>
  <c r="J366" i="32" s="1"/>
  <c r="G367" i="32"/>
  <c r="J367" i="32" s="1"/>
  <c r="G474" i="32"/>
  <c r="J474" i="32" s="1"/>
  <c r="G751" i="32"/>
  <c r="J751" i="32" s="1"/>
  <c r="G872" i="32"/>
  <c r="J872" i="32" s="1"/>
  <c r="G661" i="32"/>
  <c r="J661" i="32" s="1"/>
  <c r="G566" i="32"/>
  <c r="J566" i="32" s="1"/>
  <c r="G156" i="32"/>
  <c r="J156" i="32" s="1"/>
  <c r="G1044" i="32"/>
  <c r="J1044" i="32" s="1"/>
  <c r="G964" i="32"/>
  <c r="J964" i="32" s="1"/>
  <c r="G262" i="32"/>
  <c r="J262" i="32" s="1"/>
  <c r="G368" i="32"/>
  <c r="J368" i="32" s="1"/>
  <c r="G475" i="32"/>
  <c r="J475" i="32" s="1"/>
  <c r="G752" i="32"/>
  <c r="J752" i="32" s="1"/>
  <c r="G55" i="32"/>
  <c r="J55" i="32" s="1"/>
  <c r="G567" i="32"/>
  <c r="J567" i="32" s="1"/>
  <c r="G157" i="32"/>
  <c r="J157" i="32" s="1"/>
  <c r="G965" i="32"/>
  <c r="J965" i="32" s="1"/>
  <c r="G56" i="32"/>
  <c r="J56" i="32" s="1"/>
  <c r="G873" i="32"/>
  <c r="J873" i="32" s="1"/>
  <c r="G369" i="32"/>
  <c r="J369" i="32" s="1"/>
  <c r="G476" i="32"/>
  <c r="J476" i="32" s="1"/>
  <c r="G753" i="32"/>
  <c r="J753" i="32" s="1"/>
  <c r="G57" i="32"/>
  <c r="J57" i="32" s="1"/>
  <c r="G874" i="32"/>
  <c r="J874" i="32" s="1"/>
  <c r="G662" i="32"/>
  <c r="J662" i="32" s="1"/>
  <c r="G568" i="32"/>
  <c r="J568" i="32" s="1"/>
  <c r="G158" i="32"/>
  <c r="J158" i="32" s="1"/>
  <c r="G263" i="32"/>
  <c r="J263" i="32" s="1"/>
  <c r="G159" i="32"/>
  <c r="J159" i="32" s="1"/>
  <c r="G875" i="32"/>
  <c r="J875" i="32" s="1"/>
  <c r="G754" i="32"/>
  <c r="J754" i="32" s="1"/>
  <c r="G58" i="32"/>
  <c r="J58" i="32" s="1"/>
  <c r="G876" i="32"/>
  <c r="J876" i="32" s="1"/>
  <c r="G663" i="32"/>
  <c r="J663" i="32" s="1"/>
  <c r="G569" i="32"/>
  <c r="J569" i="32" s="1"/>
  <c r="G370" i="32"/>
  <c r="J370" i="32" s="1"/>
  <c r="G477" i="32"/>
  <c r="J477" i="32" s="1"/>
  <c r="G160" i="32"/>
  <c r="J160" i="32" s="1"/>
  <c r="G371" i="32"/>
  <c r="J371" i="32" s="1"/>
  <c r="G59" i="32"/>
  <c r="J59" i="32" s="1"/>
  <c r="G877" i="32"/>
  <c r="J877" i="32" s="1"/>
  <c r="G664" i="32"/>
  <c r="J664" i="32" s="1"/>
  <c r="G570" i="32"/>
  <c r="J570" i="32" s="1"/>
  <c r="G161" i="32"/>
  <c r="J161" i="32" s="1"/>
  <c r="G1045" i="32"/>
  <c r="J1045" i="32" s="1"/>
  <c r="G966" i="32"/>
  <c r="J966" i="32" s="1"/>
  <c r="G264" i="32"/>
  <c r="J264" i="32" s="1"/>
  <c r="G372" i="32"/>
  <c r="J372" i="32" s="1"/>
  <c r="G755" i="32"/>
  <c r="J755" i="32" s="1"/>
  <c r="G60" i="32"/>
  <c r="J60" i="32" s="1"/>
  <c r="G878" i="32"/>
  <c r="J878" i="32" s="1"/>
  <c r="G665" i="32"/>
  <c r="J665" i="32" s="1"/>
  <c r="G162" i="32"/>
  <c r="J162" i="32" s="1"/>
  <c r="G1134" i="32"/>
  <c r="J1134" i="32" s="1"/>
  <c r="G1046" i="32"/>
  <c r="J1046" i="32" s="1"/>
  <c r="G265" i="32"/>
  <c r="J265" i="32" s="1"/>
  <c r="G373" i="32"/>
  <c r="J373" i="32" s="1"/>
  <c r="G478" i="32"/>
  <c r="J478" i="32" s="1"/>
  <c r="G756" i="32"/>
  <c r="J756" i="32" s="1"/>
  <c r="G879" i="32"/>
  <c r="J879" i="32" s="1"/>
  <c r="G666" i="32"/>
  <c r="J666" i="32" s="1"/>
  <c r="G571" i="32"/>
  <c r="J571" i="32" s="1"/>
  <c r="G163" i="32"/>
  <c r="J163" i="32" s="1"/>
  <c r="G1135" i="32"/>
  <c r="J1135" i="32" s="1"/>
  <c r="G1047" i="32"/>
  <c r="J1047" i="32" s="1"/>
  <c r="G967" i="32"/>
  <c r="J967" i="32" s="1"/>
  <c r="G572" i="32"/>
  <c r="J572" i="32" s="1"/>
  <c r="G164" i="32"/>
  <c r="J164" i="32" s="1"/>
  <c r="G968" i="32"/>
  <c r="J968" i="32" s="1"/>
  <c r="G266" i="32"/>
  <c r="J266" i="32" s="1"/>
  <c r="G1048" i="32"/>
  <c r="J1048" i="32" s="1"/>
  <c r="G969" i="32"/>
  <c r="J969" i="32" s="1"/>
  <c r="G267" i="32"/>
  <c r="J267" i="32" s="1"/>
  <c r="G374" i="32"/>
  <c r="J374" i="32" s="1"/>
  <c r="G479" i="32"/>
  <c r="J479" i="32" s="1"/>
  <c r="G757" i="32"/>
  <c r="J757" i="32" s="1"/>
  <c r="G667" i="32"/>
  <c r="J667" i="32" s="1"/>
  <c r="G573" i="32"/>
  <c r="J573" i="32" s="1"/>
  <c r="G165" i="32"/>
  <c r="J165" i="32" s="1"/>
  <c r="G1136" i="32"/>
  <c r="J1136" i="32" s="1"/>
  <c r="G375" i="32"/>
  <c r="J375" i="32" s="1"/>
  <c r="G480" i="32"/>
  <c r="J480" i="32" s="1"/>
  <c r="G758" i="32"/>
  <c r="J758" i="32" s="1"/>
  <c r="G61" i="32"/>
  <c r="J61" i="32" s="1"/>
  <c r="G880" i="32"/>
  <c r="J880" i="32" s="1"/>
  <c r="G668" i="32"/>
  <c r="J668" i="32" s="1"/>
  <c r="G574" i="32"/>
  <c r="J574" i="32" s="1"/>
  <c r="G166" i="32"/>
  <c r="J166" i="32" s="1"/>
  <c r="G1137" i="32"/>
  <c r="J1137" i="32" s="1"/>
  <c r="G1049" i="32"/>
  <c r="J1049" i="32" s="1"/>
  <c r="G970" i="32"/>
  <c r="J970" i="32" s="1"/>
  <c r="G268" i="32"/>
  <c r="J268" i="32" s="1"/>
  <c r="G376" i="32"/>
  <c r="J376" i="32" s="1"/>
  <c r="G481" i="32"/>
  <c r="J481" i="32" s="1"/>
  <c r="G759" i="32"/>
  <c r="J759" i="32" s="1"/>
  <c r="G62" i="32"/>
  <c r="J62" i="32" s="1"/>
  <c r="G575" i="32"/>
  <c r="J575" i="32" s="1"/>
  <c r="G167" i="32"/>
  <c r="J167" i="32" s="1"/>
  <c r="G1138" i="32"/>
  <c r="J1138" i="32" s="1"/>
  <c r="G971" i="32"/>
  <c r="J971" i="32" s="1"/>
  <c r="G269" i="32"/>
  <c r="J269" i="32" s="1"/>
  <c r="G377" i="32"/>
  <c r="J377" i="32" s="1"/>
  <c r="G482" i="32"/>
  <c r="J482" i="32" s="1"/>
  <c r="G760" i="32"/>
  <c r="J760" i="32" s="1"/>
  <c r="G63" i="32"/>
  <c r="J63" i="32" s="1"/>
  <c r="G669" i="32"/>
  <c r="J669" i="32" s="1"/>
  <c r="G576" i="32"/>
  <c r="J576" i="32" s="1"/>
  <c r="G168" i="32"/>
  <c r="J168" i="32" s="1"/>
  <c r="G1050" i="32"/>
  <c r="J1050" i="32" s="1"/>
  <c r="G972" i="32"/>
  <c r="J972" i="32" s="1"/>
  <c r="G270" i="32"/>
  <c r="J270" i="32" s="1"/>
  <c r="G169" i="32"/>
  <c r="J169" i="32" s="1"/>
  <c r="G1139" i="32"/>
  <c r="J1139" i="32" s="1"/>
  <c r="G1051" i="32"/>
  <c r="J1051" i="32" s="1"/>
  <c r="G577" i="32"/>
  <c r="J577" i="32" s="1"/>
  <c r="G271" i="32"/>
  <c r="J271" i="32" s="1"/>
  <c r="G973" i="32"/>
  <c r="J973" i="32" s="1"/>
  <c r="G378" i="32"/>
  <c r="J378" i="32" s="1"/>
  <c r="G761" i="32"/>
  <c r="J761" i="32" s="1"/>
  <c r="G483" i="32"/>
  <c r="J483" i="32" s="1"/>
  <c r="G670" i="32"/>
  <c r="J670" i="32" s="1"/>
  <c r="G1140" i="32"/>
  <c r="J1140" i="32" s="1"/>
  <c r="G1052" i="32"/>
  <c r="J1052" i="32" s="1"/>
  <c r="G379" i="32"/>
  <c r="J379" i="32" s="1"/>
  <c r="G484" i="32"/>
  <c r="J484" i="32" s="1"/>
  <c r="G762" i="32"/>
  <c r="J762" i="32" s="1"/>
  <c r="G64" i="32"/>
  <c r="J64" i="32" s="1"/>
  <c r="G881" i="32"/>
  <c r="J881" i="32" s="1"/>
  <c r="G671" i="32"/>
  <c r="J671" i="32" s="1"/>
  <c r="G578" i="32"/>
  <c r="J578" i="32" s="1"/>
  <c r="G170" i="32"/>
  <c r="J170" i="32" s="1"/>
  <c r="G1141" i="32"/>
  <c r="J1141" i="32" s="1"/>
  <c r="G1053" i="32"/>
  <c r="J1053" i="32" s="1"/>
  <c r="G974" i="32"/>
  <c r="J974" i="32" s="1"/>
  <c r="G272" i="32"/>
  <c r="J272" i="32" s="1"/>
  <c r="G579" i="32"/>
  <c r="J579" i="32" s="1"/>
  <c r="G171" i="32"/>
  <c r="J171" i="32" s="1"/>
  <c r="G1142" i="32"/>
  <c r="J1142" i="32" s="1"/>
  <c r="G1054" i="32"/>
  <c r="J1054" i="32" s="1"/>
  <c r="G975" i="32"/>
  <c r="J975" i="32" s="1"/>
  <c r="G273" i="32"/>
  <c r="J273" i="32" s="1"/>
  <c r="G65" i="32"/>
  <c r="J65" i="32" s="1"/>
  <c r="G380" i="32"/>
  <c r="J380" i="32" s="1"/>
  <c r="G672" i="32"/>
  <c r="J672" i="32" s="1"/>
  <c r="G381" i="32"/>
  <c r="J381" i="32" s="1"/>
  <c r="G763" i="32"/>
  <c r="J763" i="32" s="1"/>
  <c r="G673" i="32"/>
  <c r="J673" i="32" s="1"/>
  <c r="G172" i="32"/>
  <c r="J172" i="32" s="1"/>
  <c r="G976" i="32"/>
  <c r="J976" i="32" s="1"/>
  <c r="G764" i="32"/>
  <c r="J764" i="32" s="1"/>
  <c r="G674" i="32"/>
  <c r="J674" i="32" s="1"/>
  <c r="G580" i="32"/>
  <c r="J580" i="32" s="1"/>
  <c r="G274" i="32"/>
  <c r="J274" i="32" s="1"/>
  <c r="G382" i="32"/>
  <c r="J382" i="32" s="1"/>
  <c r="G485" i="32"/>
  <c r="J485" i="32" s="1"/>
  <c r="G765" i="32"/>
  <c r="J765" i="32" s="1"/>
  <c r="G882" i="32"/>
  <c r="J882" i="32" s="1"/>
  <c r="G173" i="32"/>
  <c r="J173" i="32" s="1"/>
  <c r="G1143" i="32"/>
  <c r="J1143" i="32" s="1"/>
  <c r="G1055" i="32"/>
  <c r="J1055" i="32" s="1"/>
  <c r="G977" i="32"/>
  <c r="J977" i="32" s="1"/>
  <c r="G275" i="32"/>
  <c r="J275" i="32" s="1"/>
  <c r="G383" i="32"/>
  <c r="J383" i="32" s="1"/>
  <c r="G486" i="32"/>
  <c r="J486" i="32" s="1"/>
  <c r="G766" i="32"/>
  <c r="J766" i="32" s="1"/>
  <c r="G66" i="32"/>
  <c r="J66" i="32" s="1"/>
  <c r="G883" i="32"/>
  <c r="J883" i="32" s="1"/>
  <c r="G675" i="32"/>
  <c r="J675" i="32" s="1"/>
  <c r="G174" i="32"/>
  <c r="J174" i="32" s="1"/>
  <c r="G1056" i="32"/>
  <c r="J1056" i="32" s="1"/>
  <c r="G978" i="32"/>
  <c r="J978" i="32" s="1"/>
  <c r="G487" i="32"/>
  <c r="J487" i="32" s="1"/>
  <c r="G767" i="32"/>
  <c r="J767" i="32" s="1"/>
  <c r="G67" i="32"/>
  <c r="J67" i="32" s="1"/>
  <c r="G884" i="32"/>
  <c r="J884" i="32" s="1"/>
  <c r="G676" i="32"/>
  <c r="J676" i="32" s="1"/>
  <c r="G581" i="32"/>
  <c r="J581" i="32" s="1"/>
  <c r="G175" i="32"/>
  <c r="J175" i="32" s="1"/>
  <c r="G1144" i="32"/>
  <c r="J1144" i="32" s="1"/>
  <c r="G1057" i="32"/>
  <c r="J1057" i="32" s="1"/>
  <c r="G979" i="32"/>
  <c r="J979" i="32" s="1"/>
  <c r="G276" i="32"/>
  <c r="J276" i="32" s="1"/>
  <c r="G384" i="32"/>
  <c r="J384" i="32" s="1"/>
  <c r="G488" i="32"/>
  <c r="J488" i="32" s="1"/>
  <c r="G768" i="32"/>
  <c r="J768" i="32" s="1"/>
  <c r="G176" i="32"/>
  <c r="J176" i="32" s="1"/>
  <c r="G1058" i="32"/>
  <c r="J1058" i="32" s="1"/>
  <c r="G980" i="32"/>
  <c r="J980" i="32" s="1"/>
  <c r="G277" i="32"/>
  <c r="J277" i="32" s="1"/>
  <c r="G385" i="32"/>
  <c r="J385" i="32" s="1"/>
  <c r="G489" i="32"/>
  <c r="J489" i="32" s="1"/>
  <c r="G769" i="32"/>
  <c r="J769" i="32" s="1"/>
  <c r="G68" i="32"/>
  <c r="J68" i="32" s="1"/>
  <c r="G885" i="32"/>
  <c r="J885" i="32" s="1"/>
  <c r="G677" i="32"/>
  <c r="J677" i="32" s="1"/>
  <c r="G582" i="32"/>
  <c r="J582" i="32" s="1"/>
  <c r="G177" i="32"/>
  <c r="J177" i="32" s="1"/>
  <c r="G1145" i="32"/>
  <c r="J1145" i="32" s="1"/>
  <c r="G278" i="32"/>
  <c r="J278" i="32" s="1"/>
  <c r="G770" i="32"/>
  <c r="J770" i="32" s="1"/>
  <c r="G583" i="32"/>
  <c r="J583" i="32" s="1"/>
  <c r="G178" i="32"/>
  <c r="J178" i="32" s="1"/>
  <c r="G279" i="32"/>
  <c r="J279" i="32" s="1"/>
  <c r="G386" i="32"/>
  <c r="J386" i="32" s="1"/>
  <c r="G771" i="32"/>
  <c r="J771" i="32" s="1"/>
  <c r="G886" i="32"/>
  <c r="J886" i="32" s="1"/>
  <c r="G678" i="32"/>
  <c r="J678" i="32" s="1"/>
  <c r="G584" i="32"/>
  <c r="J584" i="32" s="1"/>
  <c r="G179" i="32"/>
  <c r="J179" i="32" s="1"/>
  <c r="G280" i="32"/>
  <c r="J280" i="32" s="1"/>
  <c r="G180" i="32"/>
  <c r="J180" i="32" s="1"/>
  <c r="G387" i="32"/>
  <c r="J387" i="32" s="1"/>
  <c r="G490" i="32"/>
  <c r="J490" i="32" s="1"/>
  <c r="G69" i="32"/>
  <c r="J69" i="32" s="1"/>
  <c r="G887" i="32"/>
  <c r="J887" i="32" s="1"/>
  <c r="G679" i="32"/>
  <c r="J679" i="32" s="1"/>
  <c r="G585" i="32"/>
  <c r="J585" i="32" s="1"/>
  <c r="G181" i="32"/>
  <c r="J181" i="32" s="1"/>
  <c r="G1059" i="32"/>
  <c r="J1059" i="32" s="1"/>
  <c r="G281" i="32"/>
  <c r="J281" i="32" s="1"/>
  <c r="G388" i="32"/>
  <c r="J388" i="32" s="1"/>
  <c r="G772" i="32"/>
  <c r="J772" i="32" s="1"/>
  <c r="G70" i="32"/>
  <c r="J70" i="32" s="1"/>
  <c r="G888" i="32"/>
  <c r="J888" i="32" s="1"/>
  <c r="G680" i="32"/>
  <c r="J680" i="32" s="1"/>
  <c r="G586" i="32"/>
  <c r="J586" i="32" s="1"/>
  <c r="G182" i="32"/>
  <c r="J182" i="32" s="1"/>
  <c r="G1146" i="32"/>
  <c r="J1146" i="32" s="1"/>
  <c r="G1060" i="32"/>
  <c r="J1060" i="32" s="1"/>
  <c r="G981" i="32"/>
  <c r="J981" i="32" s="1"/>
  <c r="G282" i="32"/>
  <c r="J282" i="32" s="1"/>
  <c r="G389" i="32"/>
  <c r="J389" i="32" s="1"/>
  <c r="G491" i="32"/>
  <c r="J491" i="32" s="1"/>
  <c r="G773" i="32"/>
  <c r="J773" i="32" s="1"/>
  <c r="G71" i="32"/>
  <c r="J71" i="32" s="1"/>
  <c r="G889" i="32"/>
  <c r="J889" i="32" s="1"/>
  <c r="G587" i="32"/>
  <c r="J587" i="32" s="1"/>
  <c r="G183" i="32"/>
  <c r="J183" i="32" s="1"/>
  <c r="G1147" i="32"/>
  <c r="J1147" i="32" s="1"/>
  <c r="G1061" i="32"/>
  <c r="J1061" i="32" s="1"/>
  <c r="G283" i="32"/>
  <c r="J283" i="32" s="1"/>
  <c r="G390" i="32"/>
  <c r="J390" i="32" s="1"/>
  <c r="G774" i="32"/>
  <c r="J774" i="32" s="1"/>
  <c r="G890" i="32"/>
  <c r="J890" i="32" s="1"/>
  <c r="G588" i="32"/>
  <c r="J588" i="32" s="1"/>
  <c r="G184" i="32"/>
  <c r="J184" i="32" s="1"/>
  <c r="G1062" i="32"/>
  <c r="J1062" i="32" s="1"/>
  <c r="G982" i="32"/>
  <c r="J982" i="32" s="1"/>
  <c r="G284" i="32"/>
  <c r="J284" i="32" s="1"/>
  <c r="G391" i="32"/>
  <c r="J391" i="32" s="1"/>
  <c r="G775" i="32"/>
  <c r="J775" i="32" s="1"/>
  <c r="G285" i="32"/>
  <c r="J285" i="32" s="1"/>
  <c r="G983" i="32"/>
  <c r="J983" i="32" s="1"/>
  <c r="G72" i="32"/>
  <c r="J72" i="32" s="1"/>
  <c r="G891" i="32"/>
  <c r="J891" i="32" s="1"/>
  <c r="G589" i="32"/>
  <c r="J589" i="32" s="1"/>
  <c r="G185" i="32"/>
  <c r="J185" i="32" s="1"/>
  <c r="G1148" i="32"/>
  <c r="J1148" i="32" s="1"/>
  <c r="G1063" i="32"/>
  <c r="J1063" i="32" s="1"/>
  <c r="G392" i="32"/>
  <c r="J392" i="32" s="1"/>
  <c r="G492" i="32"/>
  <c r="J492" i="32" s="1"/>
  <c r="G776" i="32"/>
  <c r="J776" i="32" s="1"/>
  <c r="G73" i="32"/>
  <c r="J73" i="32" s="1"/>
  <c r="G892" i="32"/>
  <c r="J892" i="32" s="1"/>
  <c r="G681" i="32"/>
  <c r="J681" i="32" s="1"/>
  <c r="G590" i="32"/>
  <c r="J590" i="32" s="1"/>
  <c r="G186" i="32"/>
  <c r="J186" i="32" s="1"/>
  <c r="G1064" i="32"/>
  <c r="J1064" i="32" s="1"/>
  <c r="G984" i="32"/>
  <c r="J984" i="32" s="1"/>
  <c r="G286" i="32"/>
  <c r="J286" i="32" s="1"/>
  <c r="G393" i="32"/>
  <c r="J393" i="32" s="1"/>
  <c r="G493" i="32"/>
  <c r="J493" i="32" s="1"/>
  <c r="G777" i="32"/>
  <c r="J777" i="32" s="1"/>
  <c r="G74" i="32"/>
  <c r="J74" i="32" s="1"/>
  <c r="G893" i="32"/>
  <c r="J893" i="32" s="1"/>
  <c r="G682" i="32"/>
  <c r="J682" i="32" s="1"/>
  <c r="G591" i="32"/>
  <c r="J591" i="32" s="1"/>
  <c r="G187" i="32"/>
  <c r="J187" i="32" s="1"/>
  <c r="G1149" i="32"/>
  <c r="J1149" i="32" s="1"/>
  <c r="G1065" i="32"/>
  <c r="J1065" i="32" s="1"/>
  <c r="G287" i="32"/>
  <c r="J287" i="32" s="1"/>
  <c r="G394" i="32"/>
  <c r="J394" i="32" s="1"/>
  <c r="G494" i="32"/>
  <c r="J494" i="32" s="1"/>
  <c r="G778" i="32"/>
  <c r="J778" i="32" s="1"/>
  <c r="G683" i="32"/>
  <c r="J683" i="32" s="1"/>
  <c r="G592" i="32"/>
  <c r="J592" i="32" s="1"/>
  <c r="G188" i="32"/>
  <c r="J188" i="32" s="1"/>
  <c r="G1066" i="32"/>
  <c r="J1066" i="32" s="1"/>
  <c r="G288" i="32"/>
  <c r="J288" i="32" s="1"/>
  <c r="G495" i="32"/>
  <c r="J495" i="32" s="1"/>
  <c r="G496" i="32"/>
  <c r="J496" i="32" s="1"/>
  <c r="G779" i="32"/>
  <c r="J779" i="32" s="1"/>
  <c r="G75" i="32"/>
  <c r="J75" i="32" s="1"/>
  <c r="G894" i="32"/>
  <c r="J894" i="32" s="1"/>
  <c r="G189" i="32"/>
  <c r="J189" i="32" s="1"/>
  <c r="G1067" i="32"/>
  <c r="J1067" i="32" s="1"/>
  <c r="G395" i="32"/>
  <c r="J395" i="32" s="1"/>
  <c r="G497" i="32"/>
  <c r="J497" i="32" s="1"/>
  <c r="G780" i="32"/>
  <c r="J780" i="32" s="1"/>
  <c r="G895" i="32"/>
  <c r="J895" i="32" s="1"/>
  <c r="G684" i="32"/>
  <c r="J684" i="32" s="1"/>
  <c r="G190" i="32"/>
  <c r="J190" i="32" s="1"/>
  <c r="G1150" i="32"/>
  <c r="J1150" i="32" s="1"/>
  <c r="G985" i="32"/>
  <c r="J985" i="32" s="1"/>
  <c r="G396" i="32"/>
  <c r="J396" i="32" s="1"/>
  <c r="G498" i="32"/>
  <c r="J498" i="32" s="1"/>
  <c r="G781" i="32"/>
  <c r="J781" i="32" s="1"/>
  <c r="G76" i="32"/>
  <c r="J76" i="32" s="1"/>
  <c r="G191" i="32"/>
  <c r="J191" i="32" s="1"/>
  <c r="G1151" i="32"/>
  <c r="J1151" i="32" s="1"/>
  <c r="G986" i="32"/>
  <c r="J986" i="32" s="1"/>
  <c r="G289" i="32"/>
  <c r="J289" i="32" s="1"/>
  <c r="G397" i="32"/>
  <c r="J397" i="32" s="1"/>
  <c r="G782" i="32"/>
  <c r="J782" i="32" s="1"/>
  <c r="G77" i="32"/>
  <c r="J77" i="32" s="1"/>
  <c r="G685" i="32"/>
  <c r="J685" i="32" s="1"/>
  <c r="G593" i="32"/>
  <c r="J593" i="32" s="1"/>
  <c r="G192" i="32"/>
  <c r="J192" i="32" s="1"/>
  <c r="G1152" i="32"/>
  <c r="J1152" i="32" s="1"/>
  <c r="G1068" i="32"/>
  <c r="J1068" i="32" s="1"/>
  <c r="G987" i="32"/>
  <c r="J987" i="32" s="1"/>
  <c r="G783" i="32"/>
  <c r="J783" i="32" s="1"/>
  <c r="G78" i="32"/>
  <c r="J78" i="32" s="1"/>
  <c r="G896" i="32"/>
  <c r="J896" i="32" s="1"/>
  <c r="G686" i="32"/>
  <c r="J686" i="32" s="1"/>
  <c r="G594" i="32"/>
  <c r="J594" i="32" s="1"/>
  <c r="G193" i="32"/>
  <c r="J193" i="32" s="1"/>
  <c r="G1153" i="32"/>
  <c r="J1153" i="32" s="1"/>
  <c r="G1069" i="32"/>
  <c r="J1069" i="32" s="1"/>
  <c r="G988" i="32"/>
  <c r="J988" i="32" s="1"/>
  <c r="G290" i="32"/>
  <c r="J290" i="32" s="1"/>
  <c r="G398" i="32"/>
  <c r="J398" i="32" s="1"/>
  <c r="G499" i="32"/>
  <c r="J499" i="32" s="1"/>
  <c r="G897" i="32"/>
  <c r="J897" i="32" s="1"/>
  <c r="G687" i="32"/>
  <c r="J687" i="32" s="1"/>
  <c r="G595" i="32"/>
  <c r="J595" i="32" s="1"/>
  <c r="G194" i="32"/>
  <c r="J194" i="32" s="1"/>
  <c r="G1154" i="32"/>
  <c r="J1154" i="32" s="1"/>
  <c r="G1070" i="32"/>
  <c r="J1070" i="32" s="1"/>
  <c r="G291" i="32"/>
  <c r="J291" i="32" s="1"/>
  <c r="G1155" i="32"/>
  <c r="J1155" i="32" s="1"/>
  <c r="G989" i="32"/>
  <c r="J989" i="32" s="1"/>
  <c r="G292" i="32"/>
  <c r="J292" i="32" s="1"/>
  <c r="G596" i="32"/>
  <c r="J596" i="32" s="1"/>
  <c r="G399" i="32"/>
  <c r="J399" i="32" s="1"/>
  <c r="G784" i="32"/>
  <c r="J784" i="32" s="1"/>
  <c r="G79" i="32"/>
  <c r="J79" i="32" s="1"/>
  <c r="G898" i="32"/>
  <c r="J898" i="32" s="1"/>
  <c r="G688" i="32"/>
  <c r="J688" i="32" s="1"/>
  <c r="G597" i="32"/>
  <c r="J597" i="32" s="1"/>
  <c r="G195" i="32"/>
  <c r="J195" i="32" s="1"/>
  <c r="G1071" i="32"/>
  <c r="J1071" i="32" s="1"/>
  <c r="G990" i="32"/>
  <c r="J990" i="32" s="1"/>
  <c r="G293" i="32"/>
  <c r="J293" i="32" s="1"/>
  <c r="G500" i="32"/>
  <c r="J500" i="32" s="1"/>
  <c r="G899" i="32"/>
  <c r="J899" i="32" s="1"/>
  <c r="G196" i="32"/>
  <c r="J196" i="32" s="1"/>
  <c r="G501" i="32"/>
  <c r="J501" i="32" s="1"/>
  <c r="G785" i="32"/>
  <c r="J785" i="32" s="1"/>
  <c r="G80" i="32"/>
  <c r="J80" i="32" s="1"/>
  <c r="G900" i="32"/>
  <c r="J900" i="32" s="1"/>
  <c r="G197" i="32"/>
  <c r="J197" i="32" s="1"/>
  <c r="G1156" i="32"/>
  <c r="J1156" i="32" s="1"/>
  <c r="G1072" i="32"/>
  <c r="J1072" i="32" s="1"/>
  <c r="G991" i="32"/>
  <c r="J991" i="32" s="1"/>
  <c r="G400" i="32"/>
  <c r="J400" i="32" s="1"/>
  <c r="G502" i="32"/>
  <c r="J502" i="32" s="1"/>
  <c r="G689" i="32"/>
  <c r="J689" i="32" s="1"/>
  <c r="G598" i="32"/>
  <c r="J598" i="32" s="1"/>
  <c r="G294" i="32"/>
  <c r="J294" i="32" s="1"/>
  <c r="G599" i="32"/>
  <c r="J599" i="32" s="1"/>
  <c r="G198" i="32"/>
  <c r="J198" i="32" s="1"/>
  <c r="G1073" i="32"/>
  <c r="J1073" i="32" s="1"/>
  <c r="G401" i="32"/>
  <c r="J401" i="32" s="1"/>
  <c r="G503" i="32"/>
  <c r="J503" i="32" s="1"/>
  <c r="G786" i="32"/>
  <c r="J786" i="32" s="1"/>
  <c r="G199" i="32"/>
  <c r="J199" i="32" s="1"/>
  <c r="G402" i="32"/>
  <c r="J402" i="32" s="1"/>
  <c r="G504" i="32"/>
  <c r="J504" i="32" s="1"/>
  <c r="G787" i="32"/>
  <c r="J787" i="32" s="1"/>
  <c r="G690" i="32"/>
  <c r="J690" i="32" s="1"/>
  <c r="G600" i="32"/>
  <c r="J600" i="32" s="1"/>
  <c r="G200" i="32"/>
  <c r="J200" i="32" s="1"/>
  <c r="G1157" i="32"/>
  <c r="J1157" i="32" s="1"/>
  <c r="G1074" i="32"/>
  <c r="J1074" i="32" s="1"/>
  <c r="G295" i="32"/>
  <c r="J295" i="32" s="1"/>
  <c r="G403" i="32"/>
  <c r="J403" i="32" s="1"/>
  <c r="G505" i="32"/>
  <c r="J505" i="32" s="1"/>
  <c r="G788" i="32"/>
  <c r="J788" i="32" s="1"/>
  <c r="G81" i="32"/>
  <c r="J81" i="32" s="1"/>
  <c r="G691" i="32"/>
  <c r="J691" i="32" s="1"/>
  <c r="G1075" i="32"/>
  <c r="J1075" i="32" s="1"/>
  <c r="G692" i="32"/>
  <c r="J692" i="32" s="1"/>
  <c r="G296" i="32"/>
  <c r="J296" i="32" s="1"/>
  <c r="G1158" i="32"/>
  <c r="J1158" i="32" s="1"/>
  <c r="G789" i="32"/>
  <c r="J789" i="32" s="1"/>
  <c r="G693" i="32"/>
  <c r="J693" i="32" s="1"/>
  <c r="G694" i="32"/>
  <c r="J694" i="32" s="1"/>
  <c r="G404" i="32"/>
  <c r="J404" i="32" s="1"/>
  <c r="G506" i="32"/>
  <c r="J506" i="32" s="1"/>
  <c r="G790" i="32"/>
  <c r="J790" i="32" s="1"/>
  <c r="G1159" i="32"/>
  <c r="J1159" i="32" s="1"/>
  <c r="G791" i="32"/>
  <c r="J791" i="32" s="1"/>
  <c r="G901" i="32"/>
  <c r="J901" i="32" s="1"/>
  <c r="G601" i="32"/>
  <c r="J601" i="32" s="1"/>
  <c r="G902" i="32"/>
  <c r="J902" i="32" s="1"/>
  <c r="G602" i="32"/>
  <c r="J602" i="32" s="1"/>
  <c r="G1160" i="32"/>
  <c r="J1160" i="32" s="1"/>
  <c r="G695" i="32"/>
  <c r="J695" i="32" s="1"/>
  <c r="G405" i="32"/>
  <c r="J405" i="32" s="1"/>
  <c r="G792" i="32"/>
  <c r="J792" i="32" s="1"/>
  <c r="G1161" i="32"/>
  <c r="J1161" i="32" s="1"/>
  <c r="G297" i="32"/>
  <c r="J297" i="32" s="1"/>
  <c r="G1162" i="32"/>
  <c r="J1162" i="32" s="1"/>
  <c r="G406" i="32"/>
  <c r="J406" i="32" s="1"/>
  <c r="G507" i="32"/>
  <c r="J507" i="32" s="1"/>
  <c r="G793" i="32"/>
  <c r="J793" i="32" s="1"/>
  <c r="G82" i="32"/>
  <c r="J82" i="32" s="1"/>
  <c r="G903" i="32"/>
  <c r="J903" i="32" s="1"/>
  <c r="G603" i="32"/>
  <c r="J603" i="32" s="1"/>
  <c r="G201" i="32"/>
  <c r="J201" i="32" s="1"/>
  <c r="G1163" i="32"/>
  <c r="J1163" i="32" s="1"/>
  <c r="G1076" i="32"/>
  <c r="J1076" i="32" s="1"/>
  <c r="G298" i="32"/>
  <c r="J298" i="32" s="1"/>
  <c r="G794" i="32"/>
  <c r="J794" i="32" s="1"/>
  <c r="G604" i="32"/>
  <c r="J604" i="32" s="1"/>
  <c r="G202" i="32"/>
  <c r="J202" i="32" s="1"/>
  <c r="G1077" i="32"/>
  <c r="J1077" i="32" s="1"/>
  <c r="G992" i="32"/>
  <c r="J992" i="32" s="1"/>
  <c r="G508" i="32"/>
  <c r="J508" i="32" s="1"/>
  <c r="G795" i="32"/>
  <c r="J795" i="32" s="1"/>
  <c r="G696" i="32"/>
  <c r="J696" i="32" s="1"/>
  <c r="G796" i="32"/>
  <c r="J796" i="32" s="1"/>
  <c r="G904" i="32"/>
  <c r="J904" i="32" s="1"/>
  <c r="G697" i="32"/>
  <c r="J697" i="32" s="1"/>
  <c r="G1164" i="32"/>
  <c r="J1164" i="32" s="1"/>
  <c r="G993" i="32"/>
  <c r="J993" i="32" s="1"/>
  <c r="G797" i="32"/>
  <c r="J797" i="32" s="1"/>
  <c r="G905" i="32"/>
  <c r="J905" i="32" s="1"/>
  <c r="G1078" i="32"/>
  <c r="J1078" i="32" s="1"/>
  <c r="G994" i="32"/>
  <c r="J994" i="32" s="1"/>
  <c r="G299" i="32"/>
  <c r="J299" i="32" s="1"/>
  <c r="G995" i="32"/>
  <c r="J995" i="32" s="1"/>
  <c r="G798" i="32"/>
  <c r="J798" i="32" s="1"/>
  <c r="G605" i="32"/>
  <c r="J605" i="32" s="1"/>
  <c r="G1165" i="32"/>
  <c r="J1165" i="32" s="1"/>
  <c r="G509" i="32"/>
  <c r="J509" i="32" s="1"/>
  <c r="G83" i="32"/>
  <c r="J83" i="32" s="1"/>
  <c r="G906" i="32"/>
  <c r="J906" i="32" s="1"/>
  <c r="G203" i="32"/>
  <c r="J203" i="32" s="1"/>
  <c r="G1166" i="32"/>
  <c r="J1166" i="32" s="1"/>
  <c r="G1267" i="32"/>
  <c r="J1267" i="32" s="1"/>
  <c r="G1268" i="32"/>
  <c r="J1268" i="32" s="1"/>
  <c r="G1366" i="32"/>
  <c r="J1366" i="32" s="1"/>
  <c r="G1571" i="32"/>
  <c r="J1571" i="32" s="1"/>
  <c r="G1167" i="32"/>
  <c r="J1167" i="32" s="1"/>
  <c r="G1670" i="32"/>
  <c r="J1670" i="32" s="1"/>
  <c r="G1269" i="32"/>
  <c r="J1269" i="32" s="1"/>
  <c r="G1367" i="32"/>
  <c r="J1367" i="32" s="1"/>
  <c r="G1572" i="32"/>
  <c r="J1572" i="32" s="1"/>
  <c r="G1671" i="32"/>
  <c r="J1671" i="32" s="1"/>
  <c r="G1672" i="32"/>
  <c r="J1672" i="32" s="1"/>
  <c r="G1368" i="32"/>
  <c r="J1368" i="32" s="1"/>
  <c r="G1270" i="32"/>
  <c r="J1270" i="32" s="1"/>
  <c r="G1271" i="32"/>
  <c r="J1271" i="32" s="1"/>
  <c r="G1272" i="32"/>
  <c r="J1272" i="32" s="1"/>
  <c r="G1273" i="32"/>
  <c r="J1273" i="32" s="1"/>
  <c r="G1369" i="32"/>
  <c r="J1369" i="32" s="1"/>
  <c r="G1168" i="32"/>
  <c r="J1168" i="32" s="1"/>
  <c r="G1673" i="32"/>
  <c r="J1673" i="32" s="1"/>
  <c r="G1274" i="32"/>
  <c r="J1274" i="32" s="1"/>
  <c r="G1370" i="32"/>
  <c r="J1370" i="32" s="1"/>
  <c r="G1674" i="32"/>
  <c r="J1674" i="32" s="1"/>
  <c r="G1275" i="32"/>
  <c r="J1275" i="32" s="1"/>
  <c r="G1371" i="32"/>
  <c r="J1371" i="32" s="1"/>
  <c r="G1169" i="32"/>
  <c r="J1169" i="32" s="1"/>
  <c r="G1675" i="32"/>
  <c r="J1675" i="32" s="1"/>
  <c r="G1276" i="32"/>
  <c r="J1276" i="32" s="1"/>
  <c r="G1372" i="32"/>
  <c r="J1372" i="32" s="1"/>
  <c r="G1573" i="32"/>
  <c r="J1573" i="32" s="1"/>
  <c r="G1170" i="32"/>
  <c r="J1170" i="32" s="1"/>
  <c r="G1277" i="32"/>
  <c r="J1277" i="32" s="1"/>
  <c r="G1373" i="32"/>
  <c r="J1373" i="32" s="1"/>
  <c r="G1574" i="32"/>
  <c r="J1574" i="32" s="1"/>
  <c r="G1171" i="32"/>
  <c r="J1171" i="32" s="1"/>
  <c r="G1676" i="32"/>
  <c r="J1676" i="32" s="1"/>
  <c r="G1278" i="32"/>
  <c r="J1278" i="32" s="1"/>
  <c r="G1374" i="32"/>
  <c r="J1374" i="32" s="1"/>
  <c r="G1172" i="32"/>
  <c r="J1172" i="32" s="1"/>
  <c r="G1677" i="32"/>
  <c r="J1677" i="32" s="1"/>
  <c r="G1575" i="32"/>
  <c r="J1575" i="32" s="1"/>
  <c r="G1375" i="32"/>
  <c r="J1375" i="32" s="1"/>
  <c r="G1678" i="32"/>
  <c r="J1678" i="32" s="1"/>
  <c r="G1279" i="32"/>
  <c r="J1279" i="32" s="1"/>
  <c r="G1376" i="32"/>
  <c r="J1376" i="32" s="1"/>
  <c r="G1576" i="32"/>
  <c r="J1576" i="32" s="1"/>
  <c r="G1679" i="32"/>
  <c r="J1679" i="32" s="1"/>
  <c r="G1377" i="32"/>
  <c r="J1377" i="32" s="1"/>
  <c r="G1280" i="32"/>
  <c r="J1280" i="32" s="1"/>
  <c r="G1378" i="32"/>
  <c r="J1378" i="32" s="1"/>
  <c r="G1577" i="32"/>
  <c r="J1577" i="32" s="1"/>
  <c r="G1173" i="32"/>
  <c r="J1173" i="32" s="1"/>
  <c r="G1680" i="32"/>
  <c r="J1680" i="32" s="1"/>
  <c r="G1379" i="32"/>
  <c r="J1379" i="32" s="1"/>
  <c r="G1578" i="32"/>
  <c r="J1578" i="32" s="1"/>
  <c r="G1174" i="32"/>
  <c r="J1174" i="32" s="1"/>
  <c r="G1681" i="32"/>
  <c r="J1681" i="32" s="1"/>
  <c r="G1682" i="32"/>
  <c r="J1682" i="32" s="1"/>
  <c r="G1579" i="32"/>
  <c r="J1579" i="32" s="1"/>
  <c r="G1175" i="32"/>
  <c r="J1175" i="32" s="1"/>
  <c r="G1683" i="32"/>
  <c r="J1683" i="32" s="1"/>
  <c r="G1176" i="32"/>
  <c r="J1176" i="32" s="1"/>
  <c r="G1281" i="32"/>
  <c r="J1281" i="32" s="1"/>
  <c r="G1177" i="32"/>
  <c r="J1177" i="32" s="1"/>
  <c r="G1178" i="32"/>
  <c r="J1178" i="32" s="1"/>
  <c r="G1380" i="32"/>
  <c r="J1380" i="32" s="1"/>
  <c r="G1580" i="32"/>
  <c r="J1580" i="32" s="1"/>
  <c r="G1381" i="32"/>
  <c r="J1381" i="32" s="1"/>
  <c r="G1581" i="32"/>
  <c r="J1581" i="32" s="1"/>
  <c r="G1179" i="32"/>
  <c r="J1179" i="32" s="1"/>
  <c r="G1684" i="32"/>
  <c r="J1684" i="32" s="1"/>
  <c r="G1282" i="32"/>
  <c r="J1282" i="32" s="1"/>
  <c r="G1582" i="32"/>
  <c r="J1582" i="32" s="1"/>
  <c r="G1685" i="32"/>
  <c r="J1685" i="32" s="1"/>
  <c r="G1283" i="32"/>
  <c r="J1283" i="32" s="1"/>
  <c r="G1583" i="32"/>
  <c r="J1583" i="32" s="1"/>
  <c r="G1284" i="32"/>
  <c r="J1284" i="32" s="1"/>
  <c r="G1382" i="32"/>
  <c r="J1382" i="32" s="1"/>
  <c r="G1285" i="32"/>
  <c r="J1285" i="32" s="1"/>
  <c r="G1383" i="32"/>
  <c r="J1383" i="32" s="1"/>
  <c r="G1584" i="32"/>
  <c r="J1584" i="32" s="1"/>
  <c r="G1686" i="32"/>
  <c r="J1686" i="32" s="1"/>
  <c r="G1286" i="32"/>
  <c r="J1286" i="32" s="1"/>
  <c r="G1180" i="32"/>
  <c r="J1180" i="32" s="1"/>
  <c r="G1287" i="32"/>
  <c r="J1287" i="32" s="1"/>
  <c r="G1384" i="32"/>
  <c r="J1384" i="32" s="1"/>
  <c r="G1585" i="32"/>
  <c r="J1585" i="32" s="1"/>
  <c r="G1181" i="32"/>
  <c r="J1181" i="32" s="1"/>
  <c r="G1182" i="32"/>
  <c r="J1182" i="32" s="1"/>
  <c r="G1288" i="32"/>
  <c r="J1288" i="32" s="1"/>
  <c r="G1385" i="32"/>
  <c r="J1385" i="32" s="1"/>
  <c r="G1586" i="32"/>
  <c r="J1586" i="32" s="1"/>
  <c r="G1183" i="32"/>
  <c r="J1183" i="32" s="1"/>
  <c r="G1687" i="32"/>
  <c r="J1687" i="32" s="1"/>
  <c r="G1386" i="32"/>
  <c r="J1386" i="32" s="1"/>
  <c r="G1289" i="32"/>
  <c r="J1289" i="32" s="1"/>
  <c r="G1387" i="32"/>
  <c r="J1387" i="32" s="1"/>
  <c r="G1587" i="32"/>
  <c r="J1587" i="32" s="1"/>
  <c r="G1184" i="32"/>
  <c r="J1184" i="32" s="1"/>
  <c r="G1388" i="32"/>
  <c r="J1388" i="32" s="1"/>
  <c r="G1588" i="32"/>
  <c r="J1588" i="32" s="1"/>
  <c r="G1185" i="32"/>
  <c r="J1185" i="32" s="1"/>
  <c r="G1688" i="32"/>
  <c r="J1688" i="32" s="1"/>
  <c r="G1389" i="32"/>
  <c r="J1389" i="32" s="1"/>
  <c r="G1589" i="32"/>
  <c r="J1589" i="32" s="1"/>
  <c r="G1186" i="32"/>
  <c r="J1186" i="32" s="1"/>
  <c r="G1290" i="32"/>
  <c r="J1290" i="32" s="1"/>
  <c r="G1390" i="32"/>
  <c r="J1390" i="32" s="1"/>
  <c r="G1590" i="32"/>
  <c r="J1590" i="32" s="1"/>
  <c r="G1187" i="32"/>
  <c r="J1187" i="32" s="1"/>
  <c r="G1689" i="32"/>
  <c r="J1689" i="32" s="1"/>
  <c r="G1291" i="32"/>
  <c r="J1291" i="32" s="1"/>
  <c r="G1391" i="32"/>
  <c r="J1391" i="32" s="1"/>
  <c r="G1591" i="32"/>
  <c r="J1591" i="32" s="1"/>
  <c r="G1188" i="32"/>
  <c r="J1188" i="32" s="1"/>
  <c r="G1690" i="32"/>
  <c r="J1690" i="32" s="1"/>
  <c r="G1691" i="32"/>
  <c r="J1691" i="32" s="1"/>
  <c r="G1189" i="32"/>
  <c r="J1189" i="32" s="1"/>
  <c r="G1190" i="32"/>
  <c r="J1190" i="32" s="1"/>
  <c r="G1191" i="32"/>
  <c r="J1191" i="32" s="1"/>
  <c r="G1292" i="32"/>
  <c r="J1292" i="32" s="1"/>
  <c r="G1392" i="32"/>
  <c r="J1392" i="32" s="1"/>
  <c r="G1592" i="32"/>
  <c r="J1592" i="32" s="1"/>
  <c r="G1192" i="32"/>
  <c r="J1192" i="32" s="1"/>
  <c r="G1692" i="32"/>
  <c r="J1692" i="32" s="1"/>
  <c r="G1293" i="32"/>
  <c r="J1293" i="32" s="1"/>
  <c r="G1294" i="32"/>
  <c r="J1294" i="32" s="1"/>
  <c r="G1693" i="32"/>
  <c r="J1693" i="32" s="1"/>
  <c r="G1295" i="32"/>
  <c r="J1295" i="32" s="1"/>
  <c r="G1393" i="32"/>
  <c r="J1393" i="32" s="1"/>
  <c r="G1193" i="32"/>
  <c r="J1193" i="32" s="1"/>
  <c r="G1694" i="32"/>
  <c r="J1694" i="32" s="1"/>
  <c r="G1296" i="32"/>
  <c r="J1296" i="32" s="1"/>
  <c r="G1394" i="32"/>
  <c r="J1394" i="32" s="1"/>
  <c r="G1593" i="32"/>
  <c r="J1593" i="32" s="1"/>
  <c r="G1695" i="32"/>
  <c r="J1695" i="32" s="1"/>
  <c r="G1395" i="32"/>
  <c r="J1395" i="32" s="1"/>
  <c r="G1194" i="32"/>
  <c r="J1194" i="32" s="1"/>
  <c r="G1696" i="32"/>
  <c r="J1696" i="32" s="1"/>
  <c r="G1594" i="32"/>
  <c r="J1594" i="32" s="1"/>
  <c r="G1697" i="32"/>
  <c r="J1697" i="32" s="1"/>
  <c r="G1297" i="32"/>
  <c r="J1297" i="32" s="1"/>
  <c r="G1195" i="32"/>
  <c r="J1195" i="32" s="1"/>
  <c r="G1698" i="32"/>
  <c r="J1698" i="32" s="1"/>
  <c r="G1396" i="32"/>
  <c r="J1396" i="32" s="1"/>
  <c r="G1196" i="32"/>
  <c r="J1196" i="32" s="1"/>
  <c r="G1298" i="32"/>
  <c r="J1298" i="32" s="1"/>
  <c r="G1397" i="32"/>
  <c r="J1397" i="32" s="1"/>
  <c r="G1595" i="32"/>
  <c r="J1595" i="32" s="1"/>
  <c r="G1197" i="32"/>
  <c r="J1197" i="32" s="1"/>
  <c r="G1699" i="32"/>
  <c r="J1699" i="32" s="1"/>
  <c r="G1299" i="32"/>
  <c r="J1299" i="32" s="1"/>
  <c r="G1398" i="32"/>
  <c r="J1398" i="32" s="1"/>
  <c r="G1198" i="32"/>
  <c r="J1198" i="32" s="1"/>
  <c r="G1300" i="32"/>
  <c r="J1300" i="32" s="1"/>
  <c r="G1399" i="32"/>
  <c r="J1399" i="32" s="1"/>
  <c r="G1596" i="32"/>
  <c r="J1596" i="32" s="1"/>
  <c r="G1199" i="32"/>
  <c r="J1199" i="32" s="1"/>
  <c r="G1597" i="32"/>
  <c r="J1597" i="32" s="1"/>
  <c r="G1598" i="32"/>
  <c r="J1598" i="32" s="1"/>
  <c r="G1599" i="32"/>
  <c r="J1599" i="32" s="1"/>
  <c r="G1600" i="32"/>
  <c r="J1600" i="32" s="1"/>
  <c r="G1601" i="32"/>
  <c r="J1601" i="32" s="1"/>
  <c r="G1400" i="32"/>
  <c r="J1400" i="32" s="1"/>
  <c r="G1200" i="32"/>
  <c r="J1200" i="32" s="1"/>
  <c r="G1401" i="32"/>
  <c r="J1401" i="32" s="1"/>
  <c r="G1402" i="32"/>
  <c r="J1402" i="32" s="1"/>
  <c r="G1602" i="32"/>
  <c r="J1602" i="32" s="1"/>
  <c r="G1700" i="32"/>
  <c r="J1700" i="32" s="1"/>
  <c r="G1301" i="32"/>
  <c r="J1301" i="32" s="1"/>
  <c r="G1201" i="32"/>
  <c r="J1201" i="32" s="1"/>
  <c r="G1701" i="32"/>
  <c r="J1701" i="32" s="1"/>
  <c r="G1403" i="32"/>
  <c r="J1403" i="32" s="1"/>
  <c r="G1202" i="32"/>
  <c r="J1202" i="32" s="1"/>
  <c r="G1203" i="32"/>
  <c r="J1203" i="32" s="1"/>
  <c r="G1204" i="32"/>
  <c r="J1204" i="32" s="1"/>
  <c r="G1302" i="32"/>
  <c r="J1302" i="32" s="1"/>
  <c r="G1205" i="32"/>
  <c r="J1205" i="32" s="1"/>
  <c r="G1206" i="32"/>
  <c r="J1206" i="32" s="1"/>
  <c r="G1702" i="32"/>
  <c r="J1702" i="32" s="1"/>
  <c r="G1603" i="32"/>
  <c r="J1603" i="32" s="1"/>
  <c r="G1207" i="32"/>
  <c r="J1207" i="32" s="1"/>
  <c r="G1703" i="32"/>
  <c r="J1703" i="32" s="1"/>
  <c r="G1303" i="32"/>
  <c r="J1303" i="32" s="1"/>
  <c r="G1704" i="32"/>
  <c r="J1704" i="32" s="1"/>
  <c r="G1604" i="32"/>
  <c r="J1604" i="32" s="1"/>
  <c r="G1705" i="32"/>
  <c r="J1705" i="32" s="1"/>
  <c r="G1208" i="32"/>
  <c r="J1208" i="32" s="1"/>
  <c r="G1209" i="32"/>
  <c r="J1209" i="32" s="1"/>
  <c r="G1304" i="32"/>
  <c r="J1304" i="32" s="1"/>
  <c r="G1404" i="32"/>
  <c r="J1404" i="32" s="1"/>
  <c r="G1210" i="32"/>
  <c r="J1210" i="32" s="1"/>
  <c r="G1706" i="32"/>
  <c r="J1706" i="32" s="1"/>
  <c r="G1707" i="32"/>
  <c r="J1707" i="32" s="1"/>
  <c r="G1405" i="32"/>
  <c r="J1405" i="32" s="1"/>
  <c r="G1211" i="32"/>
  <c r="J1211" i="32" s="1"/>
  <c r="G1708" i="32"/>
  <c r="J1708" i="32" s="1"/>
  <c r="G1406" i="32"/>
  <c r="J1406" i="32" s="1"/>
  <c r="G1605" i="32"/>
  <c r="J1605" i="32" s="1"/>
  <c r="G1709" i="32"/>
  <c r="J1709" i="32" s="1"/>
  <c r="G1710" i="32"/>
  <c r="J1710" i="32" s="1"/>
  <c r="G1305" i="32"/>
  <c r="J1305" i="32" s="1"/>
  <c r="G1306" i="32"/>
  <c r="J1306" i="32" s="1"/>
  <c r="G1407" i="32"/>
  <c r="J1407" i="32" s="1"/>
  <c r="G1212" i="32"/>
  <c r="J1212" i="32" s="1"/>
  <c r="G1408" i="32"/>
  <c r="J1408" i="32" s="1"/>
  <c r="G1606" i="32"/>
  <c r="J1606" i="32" s="1"/>
  <c r="G1213" i="32"/>
  <c r="J1213" i="32" s="1"/>
  <c r="G1711" i="32"/>
  <c r="J1711" i="32" s="1"/>
  <c r="G1409" i="32"/>
  <c r="J1409" i="32" s="1"/>
  <c r="G1712" i="32"/>
  <c r="J1712" i="32" s="1"/>
  <c r="G1307" i="32"/>
  <c r="J1307" i="32" s="1"/>
  <c r="G1607" i="32"/>
  <c r="J1607" i="32" s="1"/>
  <c r="G1214" i="32"/>
  <c r="J1214" i="32" s="1"/>
  <c r="G1713" i="32"/>
  <c r="J1713" i="32" s="1"/>
  <c r="G1714" i="32"/>
  <c r="J1714" i="32" s="1"/>
  <c r="G1608" i="32"/>
  <c r="J1608" i="32" s="1"/>
  <c r="G1215" i="32"/>
  <c r="J1215" i="32" s="1"/>
  <c r="G1715" i="32"/>
  <c r="J1715" i="32" s="1"/>
  <c r="G1216" i="32"/>
  <c r="J1216" i="32" s="1"/>
  <c r="G1308" i="32"/>
  <c r="J1308" i="32" s="1"/>
  <c r="G1410" i="32"/>
  <c r="J1410" i="32" s="1"/>
  <c r="G1609" i="32"/>
  <c r="J1609" i="32" s="1"/>
  <c r="G1217" i="32"/>
  <c r="J1217" i="32" s="1"/>
  <c r="G1716" i="32"/>
  <c r="J1716" i="32" s="1"/>
  <c r="G1610" i="32"/>
  <c r="J1610" i="32" s="1"/>
  <c r="G1218" i="32"/>
  <c r="J1218" i="32" s="1"/>
  <c r="G1717" i="32"/>
  <c r="J1717" i="32" s="1"/>
  <c r="G1309" i="32"/>
  <c r="J1309" i="32" s="1"/>
  <c r="G1718" i="32"/>
  <c r="J1718" i="32" s="1"/>
  <c r="G1310" i="32"/>
  <c r="J1310" i="32" s="1"/>
  <c r="G1611" i="32"/>
  <c r="J1611" i="32" s="1"/>
  <c r="G1219" i="32"/>
  <c r="J1219" i="32" s="1"/>
  <c r="G1411" i="32"/>
  <c r="J1411" i="32" s="1"/>
  <c r="G1612" i="32"/>
  <c r="J1612" i="32" s="1"/>
  <c r="G1220" i="32"/>
  <c r="J1220" i="32" s="1"/>
  <c r="G1311" i="32"/>
  <c r="J1311" i="32" s="1"/>
  <c r="G1221" i="32"/>
  <c r="J1221" i="32" s="1"/>
  <c r="G1719" i="32"/>
  <c r="J1719" i="32" s="1"/>
  <c r="G1312" i="32"/>
  <c r="J1312" i="32" s="1"/>
  <c r="G1222" i="32"/>
  <c r="J1222" i="32" s="1"/>
  <c r="G1313" i="32"/>
  <c r="J1313" i="32" s="1"/>
  <c r="G1412" i="32"/>
  <c r="J1412" i="32" s="1"/>
  <c r="G1613" i="32"/>
  <c r="J1613" i="32" s="1"/>
  <c r="G1223" i="32"/>
  <c r="J1223" i="32" s="1"/>
  <c r="G1720" i="32"/>
  <c r="J1720" i="32" s="1"/>
  <c r="G1413" i="32"/>
  <c r="J1413" i="32" s="1"/>
  <c r="G1224" i="32"/>
  <c r="J1224" i="32" s="1"/>
  <c r="G1314" i="32"/>
  <c r="J1314" i="32" s="1"/>
  <c r="G1414" i="32"/>
  <c r="J1414" i="32" s="1"/>
  <c r="G1614" i="32"/>
  <c r="J1614" i="32" s="1"/>
  <c r="G1415" i="32"/>
  <c r="J1415" i="32" s="1"/>
  <c r="G1225" i="32"/>
  <c r="J1225" i="32" s="1"/>
  <c r="G1315" i="32"/>
  <c r="J1315" i="32" s="1"/>
  <c r="G1416" i="32"/>
  <c r="J1416" i="32" s="1"/>
  <c r="G1226" i="32"/>
  <c r="J1226" i="32" s="1"/>
  <c r="G1721" i="32"/>
  <c r="J1721" i="32" s="1"/>
  <c r="G1227" i="32"/>
  <c r="J1227" i="32" s="1"/>
  <c r="G1722" i="32"/>
  <c r="J1722" i="32" s="1"/>
  <c r="G1417" i="32"/>
  <c r="J1417" i="32" s="1"/>
  <c r="G1228" i="32"/>
  <c r="J1228" i="32" s="1"/>
  <c r="G1316" i="32"/>
  <c r="J1316" i="32" s="1"/>
  <c r="G1317" i="32"/>
  <c r="J1317" i="32" s="1"/>
  <c r="O3" i="41" l="1"/>
  <c r="N3" i="41"/>
  <c r="M3" i="41"/>
  <c r="L3" i="41"/>
  <c r="K3" i="41"/>
  <c r="J3" i="41"/>
  <c r="I3" i="41"/>
  <c r="H3" i="41"/>
  <c r="G3" i="41"/>
  <c r="F3" i="41"/>
  <c r="E3" i="41"/>
  <c r="D3" i="41"/>
  <c r="J213" i="15" l="1"/>
  <c r="X215" i="15"/>
  <c r="J215" i="15"/>
  <c r="D12" i="25"/>
  <c r="X213" i="15" l="1"/>
  <c r="AU213" i="15"/>
  <c r="V213" i="15"/>
  <c r="AB215" i="15"/>
  <c r="AA215" i="15"/>
  <c r="AX215" i="15"/>
  <c r="W215" i="15"/>
  <c r="D170" i="34"/>
  <c r="D171" i="34"/>
  <c r="D172" i="34"/>
  <c r="D173" i="34"/>
  <c r="D174" i="34"/>
  <c r="D175" i="34"/>
  <c r="D176" i="34"/>
  <c r="D177" i="34"/>
  <c r="D178" i="34"/>
  <c r="D179" i="34"/>
  <c r="D180" i="34"/>
  <c r="D181" i="34"/>
  <c r="D182" i="34"/>
  <c r="D183" i="34"/>
  <c r="D184" i="34"/>
  <c r="D185" i="34"/>
  <c r="I215" i="15" l="1"/>
  <c r="AK215" i="15" s="1"/>
  <c r="AM215" i="15" s="1"/>
  <c r="AN215" i="15" s="1"/>
  <c r="I213" i="15"/>
  <c r="AK213" i="15" s="1"/>
  <c r="AL213" i="15" s="1"/>
  <c r="AI213" i="15" s="1"/>
  <c r="AO213" i="15" s="1"/>
  <c r="AV213" i="15" s="1"/>
  <c r="AW213" i="15" s="1"/>
  <c r="AZ213" i="15" s="1"/>
  <c r="G215" i="15"/>
  <c r="G213" i="15"/>
  <c r="W213" i="15"/>
  <c r="Z213" i="15" s="1"/>
  <c r="AX213" i="15"/>
  <c r="AB213" i="15"/>
  <c r="AA213" i="15"/>
  <c r="Y213" i="15"/>
  <c r="AY213" i="15"/>
  <c r="AS213" i="15"/>
  <c r="AT213" i="15" s="1"/>
  <c r="C18" i="25"/>
  <c r="D9" i="25"/>
  <c r="D10" i="25"/>
  <c r="C10" i="25" s="1"/>
  <c r="D11" i="25"/>
  <c r="C9" i="25"/>
  <c r="C11" i="25"/>
  <c r="C12" i="25"/>
  <c r="AL215" i="15" l="1"/>
  <c r="AI215" i="15" s="1"/>
  <c r="AO215" i="15" s="1"/>
  <c r="AV215" i="15" s="1"/>
  <c r="AM213" i="15"/>
  <c r="AN213" i="15" s="1"/>
  <c r="AP213" i="15"/>
  <c r="AQ213" i="15"/>
  <c r="AR213" i="15" s="1"/>
  <c r="AQ215" i="15" l="1"/>
  <c r="AR215" i="15" s="1"/>
  <c r="AP215" i="15"/>
  <c r="D3" i="34" l="1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2" i="34"/>
  <c r="D53" i="34"/>
  <c r="D54" i="34"/>
  <c r="D55" i="34"/>
  <c r="D56" i="34"/>
  <c r="D57" i="34"/>
  <c r="D58" i="34"/>
  <c r="D59" i="34"/>
  <c r="D61" i="34"/>
  <c r="D62" i="34"/>
  <c r="D63" i="34"/>
  <c r="D64" i="34"/>
  <c r="D65" i="34"/>
  <c r="D66" i="34"/>
  <c r="D67" i="34"/>
  <c r="D68" i="34"/>
  <c r="D69" i="34"/>
  <c r="D70" i="34"/>
  <c r="D71" i="34"/>
  <c r="D72" i="34"/>
  <c r="D73" i="34"/>
  <c r="D74" i="34"/>
  <c r="D75" i="34"/>
  <c r="D76" i="34"/>
  <c r="D77" i="34"/>
  <c r="D78" i="34"/>
  <c r="D79" i="34"/>
  <c r="D80" i="34"/>
  <c r="D81" i="34"/>
  <c r="D82" i="34"/>
  <c r="D83" i="34"/>
  <c r="D84" i="34"/>
  <c r="D85" i="34"/>
  <c r="D86" i="34"/>
  <c r="D87" i="34"/>
  <c r="D88" i="34"/>
  <c r="D89" i="34"/>
  <c r="D90" i="34"/>
  <c r="D91" i="34"/>
  <c r="D92" i="34"/>
  <c r="D93" i="34"/>
  <c r="D94" i="34"/>
  <c r="D95" i="34"/>
  <c r="D96" i="34"/>
  <c r="D97" i="34"/>
  <c r="D98" i="34"/>
  <c r="D99" i="34"/>
  <c r="D100" i="34"/>
  <c r="D101" i="34"/>
  <c r="D102" i="34"/>
  <c r="D103" i="34"/>
  <c r="D104" i="34"/>
  <c r="D105" i="34"/>
  <c r="D106" i="34"/>
  <c r="D107" i="34"/>
  <c r="D108" i="34"/>
  <c r="D109" i="34"/>
  <c r="D110" i="34"/>
  <c r="D111" i="34"/>
  <c r="D112" i="34"/>
  <c r="D113" i="34"/>
  <c r="D114" i="34"/>
  <c r="D115" i="34"/>
  <c r="D116" i="34"/>
  <c r="D117" i="34"/>
  <c r="D118" i="34"/>
  <c r="D119" i="34"/>
  <c r="D120" i="34"/>
  <c r="D121" i="34"/>
  <c r="D122" i="34"/>
  <c r="D123" i="34"/>
  <c r="D124" i="34"/>
  <c r="D125" i="34"/>
  <c r="D126" i="34"/>
  <c r="D127" i="34"/>
  <c r="D128" i="34"/>
  <c r="D129" i="34"/>
  <c r="D130" i="34"/>
  <c r="D131" i="34"/>
  <c r="D132" i="34"/>
  <c r="D133" i="34"/>
  <c r="D134" i="34"/>
  <c r="D135" i="34"/>
  <c r="D136" i="34"/>
  <c r="D137" i="34"/>
  <c r="D138" i="34"/>
  <c r="D139" i="34"/>
  <c r="D140" i="34"/>
  <c r="D141" i="34"/>
  <c r="D142" i="34"/>
  <c r="D143" i="34"/>
  <c r="D144" i="34"/>
  <c r="D145" i="34"/>
  <c r="D146" i="34"/>
  <c r="D147" i="34"/>
  <c r="D149" i="34"/>
  <c r="D150" i="34"/>
  <c r="D151" i="34"/>
  <c r="D152" i="34"/>
  <c r="D153" i="34"/>
  <c r="D154" i="34"/>
  <c r="D155" i="34"/>
  <c r="D156" i="34"/>
  <c r="D157" i="34"/>
  <c r="D158" i="34"/>
  <c r="D159" i="34"/>
  <c r="D160" i="34"/>
  <c r="D161" i="34"/>
  <c r="D162" i="34"/>
  <c r="D163" i="34"/>
  <c r="D164" i="34"/>
  <c r="D165" i="34"/>
  <c r="D166" i="34"/>
  <c r="D167" i="34"/>
  <c r="D2" i="34"/>
  <c r="H3" i="34"/>
  <c r="F59" i="34"/>
  <c r="F58" i="34"/>
  <c r="F5" i="34"/>
  <c r="F6" i="34" s="1"/>
  <c r="J25" i="25" l="1"/>
  <c r="I25" i="25"/>
  <c r="H25" i="25"/>
  <c r="G25" i="25"/>
  <c r="F25" i="25"/>
  <c r="C25" i="25"/>
  <c r="J24" i="25"/>
  <c r="I24" i="25"/>
  <c r="H24" i="25"/>
  <c r="G24" i="25"/>
  <c r="F24" i="25"/>
  <c r="C24" i="25"/>
  <c r="J23" i="25"/>
  <c r="I23" i="25"/>
  <c r="H23" i="25"/>
  <c r="G23" i="25"/>
  <c r="F23" i="25"/>
  <c r="C23" i="25"/>
  <c r="J22" i="25"/>
  <c r="I22" i="25"/>
  <c r="H22" i="25"/>
  <c r="G22" i="25"/>
  <c r="F22" i="25"/>
  <c r="C22" i="25"/>
  <c r="J21" i="25"/>
  <c r="I21" i="25"/>
  <c r="H21" i="25"/>
  <c r="G21" i="25"/>
  <c r="F21" i="25"/>
  <c r="C21" i="25"/>
  <c r="J20" i="25"/>
  <c r="I20" i="25"/>
  <c r="H20" i="25"/>
  <c r="G20" i="25"/>
  <c r="F20" i="25"/>
  <c r="C20" i="25"/>
  <c r="C27" i="25" s="1"/>
  <c r="J19" i="25"/>
  <c r="I19" i="25"/>
  <c r="H19" i="25"/>
  <c r="G19" i="25"/>
  <c r="F19" i="25"/>
  <c r="C19" i="25"/>
  <c r="J18" i="25"/>
  <c r="I18" i="25"/>
  <c r="H18" i="25"/>
  <c r="G18" i="25"/>
  <c r="F18" i="25"/>
  <c r="J17" i="25"/>
  <c r="I17" i="25"/>
  <c r="H17" i="25"/>
  <c r="G17" i="25"/>
  <c r="F17" i="25"/>
  <c r="C17" i="25"/>
  <c r="J16" i="25"/>
  <c r="I16" i="25"/>
  <c r="H16" i="25"/>
  <c r="G16" i="25"/>
  <c r="F16" i="25"/>
  <c r="K18" i="25" l="1"/>
  <c r="L18" i="25" s="1"/>
  <c r="D18" i="25" s="1"/>
  <c r="K22" i="25"/>
  <c r="L22" i="25" s="1"/>
  <c r="D22" i="25" s="1"/>
  <c r="K16" i="25"/>
  <c r="L16" i="25" s="1"/>
  <c r="D16" i="25" s="1"/>
  <c r="B3" i="25" s="1"/>
  <c r="D3" i="25" s="1"/>
  <c r="K19" i="25"/>
  <c r="L19" i="25" s="1"/>
  <c r="D19" i="25" s="1"/>
  <c r="K23" i="25"/>
  <c r="L23" i="25" s="1"/>
  <c r="D23" i="25" s="1"/>
  <c r="K24" i="25"/>
  <c r="L24" i="25" s="1"/>
  <c r="D24" i="25" s="1"/>
  <c r="K17" i="25"/>
  <c r="L17" i="25" s="1"/>
  <c r="D17" i="25" s="1"/>
  <c r="K25" i="25"/>
  <c r="L25" i="25" s="1"/>
  <c r="D25" i="25" s="1"/>
  <c r="K20" i="25"/>
  <c r="L20" i="25" s="1"/>
  <c r="D20" i="25" s="1"/>
  <c r="K21" i="25"/>
  <c r="L21" i="25" s="1"/>
  <c r="D21" i="25" s="1"/>
  <c r="B10" i="25" l="1"/>
  <c r="B12" i="25"/>
  <c r="B11" i="25"/>
  <c r="B9" i="25"/>
  <c r="F10" i="25"/>
  <c r="F11" i="25"/>
  <c r="F12" i="25"/>
  <c r="AE6" i="15"/>
  <c r="AF6" i="15" s="1"/>
  <c r="AG6" i="15" s="1"/>
  <c r="B4" i="25"/>
  <c r="D4" i="25" s="1"/>
  <c r="E4" i="25" s="1"/>
  <c r="G11" i="25" l="1"/>
  <c r="G9" i="25"/>
  <c r="G10" i="25"/>
  <c r="G12" i="25"/>
  <c r="B59" i="34"/>
  <c r="B58" i="34"/>
  <c r="B149" i="34"/>
  <c r="B148" i="34"/>
  <c r="B57" i="34"/>
  <c r="B147" i="34"/>
  <c r="B56" i="34"/>
  <c r="B55" i="34"/>
  <c r="B146" i="34"/>
  <c r="B54" i="34"/>
  <c r="B53" i="34"/>
  <c r="B52" i="34"/>
  <c r="B63" i="34"/>
  <c r="B62" i="34"/>
  <c r="B145" i="34"/>
  <c r="B51" i="34"/>
  <c r="B50" i="34"/>
  <c r="B144" i="34"/>
  <c r="B49" i="34"/>
  <c r="B143" i="34"/>
  <c r="B142" i="34"/>
  <c r="B48" i="34"/>
  <c r="B141" i="34"/>
  <c r="B140" i="34"/>
  <c r="B139" i="34"/>
  <c r="B138" i="34"/>
  <c r="B137" i="34"/>
  <c r="B47" i="34"/>
  <c r="B136" i="34"/>
  <c r="B135" i="34"/>
  <c r="B134" i="34"/>
  <c r="B133" i="34"/>
  <c r="B46" i="34"/>
  <c r="B132" i="34"/>
  <c r="B131" i="34"/>
  <c r="B45" i="34"/>
  <c r="B130" i="34"/>
  <c r="B129" i="34"/>
  <c r="B44" i="34"/>
  <c r="B43" i="34"/>
  <c r="B128" i="34"/>
  <c r="B127" i="34"/>
  <c r="B126" i="34"/>
  <c r="B125" i="34"/>
  <c r="B42" i="34"/>
  <c r="B124" i="34"/>
  <c r="B123" i="34"/>
  <c r="B41" i="34"/>
  <c r="B122" i="34"/>
  <c r="B40" i="34"/>
  <c r="B121" i="34"/>
  <c r="B120" i="34"/>
  <c r="B119" i="34"/>
  <c r="B118" i="34"/>
  <c r="B39" i="34"/>
  <c r="B117" i="34"/>
  <c r="B38" i="34"/>
  <c r="B37" i="34"/>
  <c r="B116" i="34"/>
  <c r="B115" i="34"/>
  <c r="B114" i="34"/>
  <c r="B168" i="34"/>
  <c r="B36" i="34"/>
  <c r="B35" i="34"/>
  <c r="B167" i="34"/>
  <c r="B113" i="34"/>
  <c r="B112" i="34"/>
  <c r="B111" i="34"/>
  <c r="B110" i="34"/>
  <c r="B109" i="34"/>
  <c r="B108" i="34"/>
  <c r="B107" i="34"/>
  <c r="B106" i="34"/>
  <c r="B105" i="34"/>
  <c r="B104" i="34"/>
  <c r="B103" i="34"/>
  <c r="B34" i="34"/>
  <c r="B102" i="34"/>
  <c r="B101" i="34"/>
  <c r="B100" i="34"/>
  <c r="B99" i="34"/>
  <c r="B98" i="34"/>
  <c r="B97" i="34"/>
  <c r="B166" i="34"/>
  <c r="B33" i="34"/>
  <c r="B96" i="34"/>
  <c r="B32" i="34"/>
  <c r="B95" i="34"/>
  <c r="B94" i="34"/>
  <c r="B93" i="34"/>
  <c r="B92" i="34"/>
  <c r="B31" i="34"/>
  <c r="B30" i="34"/>
  <c r="B91" i="34"/>
  <c r="B90" i="34"/>
  <c r="B89" i="34"/>
  <c r="B88" i="34"/>
  <c r="B87" i="34"/>
  <c r="B86" i="34"/>
  <c r="B29" i="34"/>
  <c r="B85" i="34"/>
  <c r="B28" i="34"/>
  <c r="B84" i="34"/>
  <c r="B83" i="34"/>
  <c r="B82" i="34"/>
  <c r="B81" i="34"/>
  <c r="B80" i="34"/>
  <c r="B27" i="34"/>
  <c r="B26" i="34"/>
  <c r="B25" i="34"/>
  <c r="B24" i="34"/>
  <c r="B23" i="34"/>
  <c r="B22" i="34"/>
  <c r="B21" i="34"/>
  <c r="B20" i="34"/>
  <c r="B79" i="34"/>
  <c r="B19" i="34"/>
  <c r="B78" i="34"/>
  <c r="B18" i="34"/>
  <c r="B17" i="34"/>
  <c r="B77" i="34"/>
  <c r="B16" i="34"/>
  <c r="B61" i="34"/>
  <c r="B15" i="34"/>
  <c r="B14" i="34"/>
  <c r="B76" i="34"/>
  <c r="B13" i="34"/>
  <c r="B75" i="34"/>
  <c r="B12" i="34"/>
  <c r="B165" i="34"/>
  <c r="B74" i="34"/>
  <c r="B73" i="34"/>
  <c r="B11" i="34"/>
  <c r="B10" i="34"/>
  <c r="B72" i="34"/>
  <c r="B71" i="34"/>
  <c r="B164" i="34"/>
  <c r="B70" i="34"/>
  <c r="B69" i="34"/>
  <c r="B163" i="34"/>
  <c r="B9" i="34"/>
  <c r="B8" i="34"/>
  <c r="B60" i="34"/>
  <c r="B7" i="34"/>
  <c r="B6" i="34"/>
  <c r="B162" i="34"/>
  <c r="B5" i="34"/>
  <c r="B4" i="34"/>
  <c r="B68" i="34"/>
  <c r="B161" i="34"/>
  <c r="B67" i="34"/>
  <c r="B160" i="34"/>
  <c r="B66" i="34"/>
  <c r="B159" i="34"/>
  <c r="B3" i="34"/>
  <c r="B65" i="34"/>
  <c r="B158" i="34"/>
  <c r="B64" i="34"/>
  <c r="B2" i="34"/>
  <c r="B157" i="34"/>
  <c r="B156" i="34"/>
  <c r="B155" i="34"/>
  <c r="B154" i="34"/>
  <c r="B153" i="34"/>
  <c r="B152" i="34"/>
  <c r="B151" i="34"/>
  <c r="B150" i="34"/>
  <c r="G996" i="32" l="1"/>
  <c r="J996" i="32" s="1"/>
  <c r="G84" i="32"/>
  <c r="J84" i="32" s="1"/>
  <c r="G1079" i="32"/>
  <c r="J1079" i="32" s="1"/>
  <c r="G997" i="32"/>
  <c r="J997" i="32" s="1"/>
  <c r="G606" i="32"/>
  <c r="J606" i="32" s="1"/>
  <c r="G510" i="32"/>
  <c r="J510" i="32" s="1"/>
  <c r="G85" i="32"/>
  <c r="J85" i="32" s="1"/>
  <c r="G1080" i="32"/>
  <c r="J1080" i="32" s="1"/>
  <c r="G998" i="32"/>
  <c r="J998" i="32" s="1"/>
  <c r="G2" i="32"/>
  <c r="J2" i="32" s="1"/>
  <c r="G300" i="32"/>
  <c r="J300" i="32" s="1"/>
  <c r="G301" i="32"/>
  <c r="J301" i="32" s="1"/>
  <c r="G698" i="32"/>
  <c r="J698" i="32" s="1"/>
  <c r="G699" i="32"/>
  <c r="J699" i="32" s="1"/>
  <c r="G799" i="32"/>
  <c r="J799" i="32" s="1"/>
  <c r="G511" i="32"/>
  <c r="J511" i="32" s="1"/>
  <c r="G999" i="32"/>
  <c r="J999" i="32" s="1"/>
  <c r="G907" i="32"/>
  <c r="J907" i="32" s="1"/>
  <c r="G607" i="32"/>
  <c r="J607" i="32" s="1"/>
  <c r="G700" i="32"/>
  <c r="J700" i="32" s="1"/>
  <c r="G512" i="32"/>
  <c r="J512" i="32" s="1"/>
  <c r="G86" i="32"/>
  <c r="J86" i="32" s="1"/>
  <c r="G1081" i="32"/>
  <c r="J1081" i="32" s="1"/>
  <c r="G407" i="32"/>
  <c r="J407" i="32" s="1"/>
  <c r="G3" i="32"/>
  <c r="J3" i="32" s="1"/>
  <c r="G513" i="32"/>
  <c r="J513" i="32" s="1"/>
  <c r="G1000" i="32"/>
  <c r="J1000" i="32" s="1"/>
  <c r="G908" i="32"/>
  <c r="J908" i="32" s="1"/>
  <c r="G204" i="32"/>
  <c r="J204" i="32" s="1"/>
  <c r="G800" i="32"/>
  <c r="J800" i="32" s="1"/>
  <c r="G608" i="32"/>
  <c r="J608" i="32" s="1"/>
  <c r="G87" i="32"/>
  <c r="J87" i="32" s="1"/>
  <c r="G1082" i="32"/>
  <c r="J1082" i="32" s="1"/>
  <c r="G302" i="32"/>
  <c r="J302" i="32" s="1"/>
  <c r="G408" i="32"/>
  <c r="J408" i="32" s="1"/>
  <c r="G701" i="32"/>
  <c r="J701" i="32" s="1"/>
  <c r="G1083" i="32"/>
  <c r="J1083" i="32" s="1"/>
  <c r="G1001" i="32"/>
  <c r="J1001" i="32" s="1"/>
  <c r="G909" i="32"/>
  <c r="J909" i="32" s="1"/>
  <c r="G205" i="32"/>
  <c r="J205" i="32" s="1"/>
  <c r="G609" i="32"/>
  <c r="J609" i="32" s="1"/>
  <c r="G303" i="32"/>
  <c r="J303" i="32" s="1"/>
  <c r="G409" i="32"/>
  <c r="J409" i="32" s="1"/>
  <c r="G702" i="32"/>
  <c r="J702" i="32" s="1"/>
  <c r="G4" i="32"/>
  <c r="J4" i="32" s="1"/>
  <c r="G801" i="32"/>
  <c r="J801" i="32" s="1"/>
  <c r="G88" i="32"/>
  <c r="J88" i="32" s="1"/>
  <c r="G1084" i="32"/>
  <c r="J1084" i="32" s="1"/>
  <c r="G910" i="32"/>
  <c r="J910" i="32" s="1"/>
  <c r="G206" i="32"/>
  <c r="J206" i="32" s="1"/>
  <c r="G304" i="32"/>
  <c r="J304" i="32" s="1"/>
  <c r="G703" i="32"/>
  <c r="J703" i="32" s="1"/>
  <c r="G5" i="32"/>
  <c r="J5" i="32" s="1"/>
  <c r="G802" i="32"/>
  <c r="J802" i="32" s="1"/>
  <c r="G514" i="32"/>
  <c r="J514" i="32" s="1"/>
  <c r="G89" i="32"/>
  <c r="J89" i="32" s="1"/>
  <c r="G1002" i="32"/>
  <c r="J1002" i="32" s="1"/>
  <c r="G410" i="32"/>
  <c r="J410" i="32" s="1"/>
  <c r="G6" i="32"/>
  <c r="J6" i="32" s="1"/>
  <c r="G803" i="32"/>
  <c r="J803" i="32" s="1"/>
  <c r="G515" i="32"/>
  <c r="J515" i="32" s="1"/>
  <c r="G90" i="32"/>
  <c r="J90" i="32" s="1"/>
  <c r="G1085" i="32"/>
  <c r="J1085" i="32" s="1"/>
  <c r="G1003" i="32"/>
  <c r="J1003" i="32" s="1"/>
  <c r="G911" i="32"/>
  <c r="J911" i="32" s="1"/>
  <c r="G207" i="32"/>
  <c r="J207" i="32" s="1"/>
  <c r="G91" i="32"/>
  <c r="J91" i="32" s="1"/>
  <c r="G1086" i="32"/>
  <c r="J1086" i="32" s="1"/>
  <c r="G1004" i="32"/>
  <c r="J1004" i="32" s="1"/>
  <c r="G912" i="32"/>
  <c r="J912" i="32" s="1"/>
  <c r="G208" i="32"/>
  <c r="J208" i="32" s="1"/>
  <c r="G305" i="32"/>
  <c r="J305" i="32" s="1"/>
  <c r="G411" i="32"/>
  <c r="J411" i="32" s="1"/>
  <c r="G704" i="32"/>
  <c r="J704" i="32" s="1"/>
  <c r="G7" i="32"/>
  <c r="J7" i="32" s="1"/>
  <c r="G804" i="32"/>
  <c r="J804" i="32" s="1"/>
  <c r="G306" i="32"/>
  <c r="J306" i="32" s="1"/>
  <c r="G412" i="32"/>
  <c r="J412" i="32" s="1"/>
  <c r="G1087" i="32"/>
  <c r="J1087" i="32" s="1"/>
  <c r="G1005" i="32"/>
  <c r="J1005" i="32" s="1"/>
  <c r="G307" i="32"/>
  <c r="J307" i="32" s="1"/>
  <c r="G413" i="32"/>
  <c r="J413" i="32" s="1"/>
  <c r="G705" i="32"/>
  <c r="J705" i="32" s="1"/>
  <c r="G8" i="32"/>
  <c r="J8" i="32" s="1"/>
  <c r="G805" i="32"/>
  <c r="J805" i="32" s="1"/>
  <c r="G610" i="32"/>
  <c r="J610" i="32" s="1"/>
  <c r="G611" i="32"/>
  <c r="J611" i="32" s="1"/>
  <c r="G516" i="32"/>
  <c r="J516" i="32" s="1"/>
  <c r="G1088" i="32"/>
  <c r="J1088" i="32" s="1"/>
  <c r="G612" i="32"/>
  <c r="J612" i="32" s="1"/>
  <c r="G517" i="32"/>
  <c r="J517" i="32" s="1"/>
  <c r="G92" i="32"/>
  <c r="J92" i="32" s="1"/>
  <c r="G1089" i="32"/>
  <c r="J1089" i="32" s="1"/>
  <c r="G1006" i="32"/>
  <c r="J1006" i="32" s="1"/>
  <c r="G913" i="32"/>
  <c r="J913" i="32" s="1"/>
  <c r="G209" i="32"/>
  <c r="J209" i="32" s="1"/>
  <c r="G613" i="32"/>
  <c r="J613" i="32" s="1"/>
  <c r="G93" i="32"/>
  <c r="J93" i="32" s="1"/>
  <c r="G308" i="32"/>
  <c r="J308" i="32" s="1"/>
  <c r="G414" i="32"/>
  <c r="J414" i="32" s="1"/>
  <c r="G309" i="32"/>
  <c r="J309" i="32" s="1"/>
  <c r="G415" i="32"/>
  <c r="J415" i="32" s="1"/>
  <c r="G706" i="32"/>
  <c r="J706" i="32" s="1"/>
  <c r="G9" i="32"/>
  <c r="J9" i="32" s="1"/>
  <c r="G806" i="32"/>
  <c r="J806" i="32" s="1"/>
  <c r="G614" i="32"/>
  <c r="J614" i="32" s="1"/>
  <c r="G310" i="32"/>
  <c r="J310" i="32" s="1"/>
  <c r="G707" i="32"/>
  <c r="J707" i="32" s="1"/>
  <c r="G10" i="32"/>
  <c r="J10" i="32" s="1"/>
  <c r="G807" i="32"/>
  <c r="J807" i="32" s="1"/>
  <c r="G210" i="32"/>
  <c r="J210" i="32" s="1"/>
  <c r="G1007" i="32"/>
  <c r="J1007" i="32" s="1"/>
  <c r="G914" i="32"/>
  <c r="J914" i="32" s="1"/>
  <c r="G915" i="32"/>
  <c r="J915" i="32" s="1"/>
  <c r="G1008" i="32"/>
  <c r="J1008" i="32" s="1"/>
  <c r="G916" i="32"/>
  <c r="J916" i="32" s="1"/>
  <c r="G211" i="32"/>
  <c r="J211" i="32" s="1"/>
  <c r="G917" i="32"/>
  <c r="J917" i="32" s="1"/>
  <c r="G212" i="32"/>
  <c r="J212" i="32" s="1"/>
  <c r="G708" i="32"/>
  <c r="J708" i="32" s="1"/>
  <c r="G808" i="32"/>
  <c r="J808" i="32" s="1"/>
  <c r="G94" i="32"/>
  <c r="J94" i="32" s="1"/>
  <c r="G918" i="32"/>
  <c r="J918" i="32" s="1"/>
  <c r="G213" i="32"/>
  <c r="J213" i="32" s="1"/>
  <c r="G311" i="32"/>
  <c r="J311" i="32" s="1"/>
  <c r="G809" i="32"/>
  <c r="J809" i="32" s="1"/>
  <c r="G615" i="32"/>
  <c r="J615" i="32" s="1"/>
  <c r="G1090" i="32"/>
  <c r="J1090" i="32" s="1"/>
  <c r="G1009" i="32"/>
  <c r="J1009" i="32" s="1"/>
  <c r="G214" i="32"/>
  <c r="J214" i="32" s="1"/>
  <c r="G919" i="32"/>
  <c r="J919" i="32" s="1"/>
  <c r="G215" i="32"/>
  <c r="J215" i="32" s="1"/>
  <c r="G216" i="32"/>
  <c r="J216" i="32" s="1"/>
  <c r="G810" i="32"/>
  <c r="J810" i="32" s="1"/>
  <c r="G616" i="32"/>
  <c r="J616" i="32" s="1"/>
  <c r="G95" i="32"/>
  <c r="J95" i="32" s="1"/>
  <c r="G1010" i="32"/>
  <c r="J1010" i="32" s="1"/>
  <c r="G709" i="32"/>
  <c r="J709" i="32" s="1"/>
  <c r="G11" i="32"/>
  <c r="J11" i="32" s="1"/>
  <c r="G617" i="32"/>
  <c r="J617" i="32" s="1"/>
  <c r="G96" i="32"/>
  <c r="J96" i="32" s="1"/>
  <c r="G1091" i="32"/>
  <c r="J1091" i="32" s="1"/>
  <c r="G1011" i="32"/>
  <c r="J1011" i="32" s="1"/>
  <c r="G920" i="32"/>
  <c r="J920" i="32" s="1"/>
  <c r="G217" i="32"/>
  <c r="J217" i="32" s="1"/>
  <c r="G1092" i="32"/>
  <c r="J1092" i="32" s="1"/>
  <c r="G12" i="32"/>
  <c r="J12" i="32" s="1"/>
  <c r="G416" i="32"/>
  <c r="J416" i="32" s="1"/>
  <c r="G710" i="32"/>
  <c r="J710" i="32" s="1"/>
  <c r="G811" i="32"/>
  <c r="J811" i="32" s="1"/>
  <c r="G618" i="32"/>
  <c r="J618" i="32" s="1"/>
  <c r="G417" i="32"/>
  <c r="J417" i="32" s="1"/>
  <c r="G711" i="32"/>
  <c r="J711" i="32" s="1"/>
  <c r="G13" i="32"/>
  <c r="J13" i="32" s="1"/>
  <c r="G812" i="32"/>
  <c r="J812" i="32" s="1"/>
  <c r="G619" i="32"/>
  <c r="J619" i="32" s="1"/>
  <c r="G312" i="32"/>
  <c r="J312" i="32" s="1"/>
  <c r="G418" i="32"/>
  <c r="J418" i="32" s="1"/>
  <c r="G712" i="32"/>
  <c r="J712" i="32" s="1"/>
  <c r="G14" i="32"/>
  <c r="J14" i="32" s="1"/>
  <c r="G813" i="32"/>
  <c r="J813" i="32" s="1"/>
  <c r="G620" i="32"/>
  <c r="J620" i="32" s="1"/>
  <c r="G97" i="32"/>
  <c r="J97" i="32" s="1"/>
  <c r="G1012" i="32"/>
  <c r="J1012" i="32" s="1"/>
  <c r="G1093" i="32"/>
  <c r="J1093" i="32" s="1"/>
  <c r="G1013" i="32"/>
  <c r="J1013" i="32" s="1"/>
  <c r="G1094" i="32"/>
  <c r="J1094" i="32" s="1"/>
  <c r="G98" i="32"/>
  <c r="J98" i="32" s="1"/>
  <c r="G99" i="32"/>
  <c r="J99" i="32" s="1"/>
  <c r="G921" i="32"/>
  <c r="J921" i="32" s="1"/>
  <c r="G313" i="32"/>
  <c r="J313" i="32" s="1"/>
  <c r="G518" i="32"/>
  <c r="J518" i="32" s="1"/>
  <c r="G814" i="32"/>
  <c r="J814" i="32" s="1"/>
  <c r="G621" i="32"/>
  <c r="J621" i="32" s="1"/>
  <c r="G519" i="32"/>
  <c r="J519" i="32" s="1"/>
  <c r="G100" i="32"/>
  <c r="J100" i="32" s="1"/>
  <c r="G1095" i="32"/>
  <c r="J1095" i="32" s="1"/>
  <c r="G922" i="32"/>
  <c r="J922" i="32" s="1"/>
  <c r="G815" i="32"/>
  <c r="J815" i="32" s="1"/>
  <c r="G816" i="32"/>
  <c r="J816" i="32" s="1"/>
  <c r="G15" i="32"/>
  <c r="J15" i="32" s="1"/>
  <c r="G817" i="32"/>
  <c r="J817" i="32" s="1"/>
  <c r="G622" i="32"/>
  <c r="J622" i="32" s="1"/>
  <c r="G520" i="32"/>
  <c r="J520" i="32" s="1"/>
  <c r="G101" i="32"/>
  <c r="J101" i="32" s="1"/>
  <c r="G623" i="32"/>
  <c r="J623" i="32" s="1"/>
  <c r="G521" i="32"/>
  <c r="J521" i="32" s="1"/>
  <c r="G102" i="32"/>
  <c r="J102" i="32" s="1"/>
  <c r="G923" i="32"/>
  <c r="J923" i="32" s="1"/>
  <c r="G818" i="32"/>
  <c r="J818" i="32" s="1"/>
  <c r="G624" i="32"/>
  <c r="J624" i="32" s="1"/>
  <c r="G16" i="32"/>
  <c r="J16" i="32" s="1"/>
  <c r="G819" i="32"/>
  <c r="J819" i="32" s="1"/>
  <c r="G820" i="32"/>
  <c r="J820" i="32" s="1"/>
  <c r="G419" i="32"/>
  <c r="J419" i="32" s="1"/>
  <c r="G713" i="32"/>
  <c r="J713" i="32" s="1"/>
  <c r="G522" i="32"/>
  <c r="J522" i="32" s="1"/>
  <c r="G625" i="32"/>
  <c r="J625" i="32" s="1"/>
  <c r="G103" i="32"/>
  <c r="J103" i="32" s="1"/>
  <c r="G420" i="32"/>
  <c r="J420" i="32" s="1"/>
  <c r="G714" i="32"/>
  <c r="J714" i="32" s="1"/>
  <c r="G17" i="32"/>
  <c r="J17" i="32" s="1"/>
  <c r="G314" i="32"/>
  <c r="J314" i="32" s="1"/>
  <c r="G715" i="32"/>
  <c r="J715" i="32" s="1"/>
  <c r="G821" i="32"/>
  <c r="J821" i="32" s="1"/>
  <c r="G104" i="32"/>
  <c r="J104" i="32" s="1"/>
  <c r="G1096" i="32"/>
  <c r="J1096" i="32" s="1"/>
  <c r="G1014" i="32"/>
  <c r="J1014" i="32" s="1"/>
  <c r="G924" i="32"/>
  <c r="J924" i="32" s="1"/>
  <c r="G218" i="32"/>
  <c r="J218" i="32" s="1"/>
  <c r="G626" i="32"/>
  <c r="J626" i="32" s="1"/>
  <c r="G523" i="32"/>
  <c r="J523" i="32" s="1"/>
  <c r="G105" i="32"/>
  <c r="J105" i="32" s="1"/>
  <c r="G1097" i="32"/>
  <c r="J1097" i="32" s="1"/>
  <c r="G1015" i="32"/>
  <c r="J1015" i="32" s="1"/>
  <c r="G925" i="32"/>
  <c r="J925" i="32" s="1"/>
  <c r="G219" i="32"/>
  <c r="J219" i="32" s="1"/>
  <c r="G421" i="32"/>
  <c r="J421" i="32" s="1"/>
  <c r="G716" i="32"/>
  <c r="J716" i="32" s="1"/>
  <c r="G18" i="32"/>
  <c r="J18" i="32" s="1"/>
  <c r="G822" i="32"/>
  <c r="J822" i="32" s="1"/>
  <c r="G627" i="32"/>
  <c r="J627" i="32" s="1"/>
  <c r="G315" i="32"/>
  <c r="J315" i="32" s="1"/>
  <c r="G422" i="32"/>
  <c r="J422" i="32" s="1"/>
  <c r="G220" i="32"/>
  <c r="J220" i="32" s="1"/>
  <c r="G316" i="32"/>
  <c r="J316" i="32" s="1"/>
  <c r="G423" i="32"/>
  <c r="J423" i="32" s="1"/>
  <c r="G717" i="32"/>
  <c r="J717" i="32" s="1"/>
  <c r="G19" i="32"/>
  <c r="J19" i="32" s="1"/>
  <c r="G823" i="32"/>
  <c r="J823" i="32" s="1"/>
  <c r="G628" i="32"/>
  <c r="J628" i="32" s="1"/>
  <c r="G106" i="32"/>
  <c r="J106" i="32" s="1"/>
  <c r="G1098" i="32"/>
  <c r="J1098" i="32" s="1"/>
  <c r="G317" i="32"/>
  <c r="J317" i="32" s="1"/>
  <c r="G424" i="32"/>
  <c r="J424" i="32" s="1"/>
  <c r="G718" i="32"/>
  <c r="J718" i="32" s="1"/>
  <c r="G20" i="32"/>
  <c r="J20" i="32" s="1"/>
  <c r="G824" i="32"/>
  <c r="J824" i="32" s="1"/>
  <c r="G629" i="32"/>
  <c r="J629" i="32" s="1"/>
  <c r="G107" i="32"/>
  <c r="J107" i="32" s="1"/>
  <c r="G1099" i="32"/>
  <c r="J1099" i="32" s="1"/>
  <c r="G318" i="32"/>
  <c r="J318" i="32" s="1"/>
  <c r="G21" i="32"/>
  <c r="J21" i="32" s="1"/>
  <c r="G630" i="32"/>
  <c r="J630" i="32" s="1"/>
  <c r="G425" i="32"/>
  <c r="J425" i="32" s="1"/>
  <c r="G719" i="32"/>
  <c r="J719" i="32" s="1"/>
  <c r="G22" i="32"/>
  <c r="J22" i="32" s="1"/>
  <c r="G825" i="32"/>
  <c r="J825" i="32" s="1"/>
  <c r="G1100" i="32"/>
  <c r="J1100" i="32" s="1"/>
  <c r="G1016" i="32"/>
  <c r="J1016" i="32" s="1"/>
  <c r="G926" i="32"/>
  <c r="J926" i="32" s="1"/>
  <c r="G221" i="32"/>
  <c r="J221" i="32" s="1"/>
  <c r="G319" i="32"/>
  <c r="J319" i="32" s="1"/>
  <c r="G426" i="32"/>
  <c r="J426" i="32" s="1"/>
  <c r="G720" i="32"/>
  <c r="J720" i="32" s="1"/>
  <c r="G826" i="32"/>
  <c r="J826" i="32" s="1"/>
  <c r="G927" i="32"/>
  <c r="J927" i="32" s="1"/>
  <c r="G320" i="32"/>
  <c r="J320" i="32" s="1"/>
  <c r="G427" i="32"/>
  <c r="J427" i="32" s="1"/>
  <c r="G721" i="32"/>
  <c r="J721" i="32" s="1"/>
  <c r="G23" i="32"/>
  <c r="J23" i="32" s="1"/>
  <c r="G827" i="32"/>
  <c r="J827" i="32" s="1"/>
  <c r="G631" i="32"/>
  <c r="J631" i="32" s="1"/>
  <c r="G24" i="32"/>
  <c r="J24" i="32" s="1"/>
  <c r="G828" i="32"/>
  <c r="J828" i="32" s="1"/>
  <c r="G632" i="32"/>
  <c r="J632" i="32" s="1"/>
  <c r="G524" i="32"/>
  <c r="J524" i="32" s="1"/>
  <c r="G108" i="32"/>
  <c r="J108" i="32" s="1"/>
  <c r="G321" i="32"/>
  <c r="J321" i="32" s="1"/>
  <c r="G428" i="32"/>
  <c r="J428" i="32" s="1"/>
  <c r="G722" i="32"/>
  <c r="J722" i="32" s="1"/>
  <c r="G25" i="32"/>
  <c r="J25" i="32" s="1"/>
  <c r="G829" i="32"/>
  <c r="J829" i="32" s="1"/>
  <c r="G322" i="32"/>
  <c r="J322" i="32" s="1"/>
  <c r="G429" i="32"/>
  <c r="J429" i="32" s="1"/>
  <c r="G723" i="32"/>
  <c r="J723" i="32" s="1"/>
  <c r="G26" i="32"/>
  <c r="J26" i="32" s="1"/>
  <c r="G830" i="32"/>
  <c r="J830" i="32" s="1"/>
  <c r="G633" i="32"/>
  <c r="J633" i="32" s="1"/>
  <c r="G1101" i="32"/>
  <c r="J1101" i="32" s="1"/>
  <c r="G1017" i="32"/>
  <c r="J1017" i="32" s="1"/>
  <c r="G222" i="32"/>
  <c r="J222" i="32" s="1"/>
  <c r="G109" i="32"/>
  <c r="J109" i="32" s="1"/>
  <c r="G1018" i="32"/>
  <c r="J1018" i="32" s="1"/>
  <c r="G831" i="32"/>
  <c r="J831" i="32" s="1"/>
  <c r="G323" i="32"/>
  <c r="J323" i="32" s="1"/>
  <c r="G430" i="32"/>
  <c r="J430" i="32" s="1"/>
  <c r="G724" i="32"/>
  <c r="J724" i="32" s="1"/>
  <c r="G27" i="32"/>
  <c r="J27" i="32" s="1"/>
  <c r="G832" i="32"/>
  <c r="J832" i="32" s="1"/>
  <c r="G634" i="32"/>
  <c r="J634" i="32" s="1"/>
  <c r="G525" i="32"/>
  <c r="J525" i="32" s="1"/>
  <c r="G110" i="32"/>
  <c r="J110" i="32" s="1"/>
  <c r="G1102" i="32"/>
  <c r="J1102" i="32" s="1"/>
  <c r="G1019" i="32"/>
  <c r="J1019" i="32" s="1"/>
  <c r="G223" i="32"/>
  <c r="J223" i="32" s="1"/>
  <c r="G324" i="32"/>
  <c r="J324" i="32" s="1"/>
  <c r="G431" i="32"/>
  <c r="J431" i="32" s="1"/>
  <c r="G725" i="32"/>
  <c r="J725" i="32" s="1"/>
  <c r="G28" i="32"/>
  <c r="J28" i="32" s="1"/>
  <c r="G833" i="32"/>
  <c r="J833" i="32" s="1"/>
  <c r="G635" i="32"/>
  <c r="J635" i="32" s="1"/>
  <c r="G526" i="32"/>
  <c r="J526" i="32" s="1"/>
  <c r="G111" i="32"/>
  <c r="J111" i="32" s="1"/>
  <c r="G1103" i="32"/>
  <c r="J1103" i="32" s="1"/>
  <c r="G1020" i="32"/>
  <c r="J1020" i="32" s="1"/>
  <c r="G928" i="32"/>
  <c r="J928" i="32" s="1"/>
  <c r="G224" i="32"/>
  <c r="J224" i="32" s="1"/>
  <c r="G834" i="32"/>
  <c r="J834" i="32" s="1"/>
  <c r="G636" i="32"/>
  <c r="J636" i="32" s="1"/>
  <c r="H2" i="32" l="1"/>
  <c r="D65" i="15" l="1"/>
  <c r="D64" i="15"/>
  <c r="O64" i="15" l="1"/>
  <c r="S64" i="15" s="1"/>
  <c r="O65" i="15"/>
  <c r="S65" i="15" s="1"/>
  <c r="O6" i="15"/>
  <c r="S6" i="15" s="1"/>
  <c r="U64" i="15" l="1"/>
  <c r="U65" i="15"/>
  <c r="U6" i="15"/>
  <c r="AJ6" i="15" l="1"/>
  <c r="L158" i="15" l="1"/>
  <c r="M158" i="15" s="1"/>
  <c r="F215" i="15" l="1"/>
  <c r="L215" i="15" s="1"/>
  <c r="M215" i="15" l="1"/>
  <c r="V215" i="15"/>
  <c r="AU215" i="15"/>
  <c r="AY215" i="15" l="1"/>
  <c r="AS215" i="15"/>
  <c r="AW215" i="15"/>
  <c r="AZ215" i="15" s="1"/>
  <c r="Z215" i="15"/>
  <c r="Y215" i="15"/>
  <c r="AT215" i="15" l="1"/>
  <c r="F239" i="15" l="1"/>
  <c r="L239" i="15" s="1"/>
  <c r="AU239" i="15" l="1"/>
  <c r="V239" i="15"/>
  <c r="M239" i="15"/>
  <c r="Z239" i="15" l="1"/>
  <c r="Y239" i="15"/>
  <c r="AS239" i="15"/>
  <c r="AY239" i="15"/>
  <c r="AW239" i="15"/>
  <c r="AZ239" i="15" s="1"/>
  <c r="AT239" i="15" l="1"/>
  <c r="F211" i="15" l="1"/>
  <c r="L211" i="15" s="1"/>
  <c r="M211" i="15" l="1"/>
  <c r="V211" i="15"/>
  <c r="AU211" i="15"/>
  <c r="AW211" i="15" l="1"/>
  <c r="AZ211" i="15" s="1"/>
  <c r="AS211" i="15"/>
  <c r="AY211" i="15"/>
  <c r="Y211" i="15"/>
  <c r="Z211" i="15"/>
  <c r="AT211" i="15" l="1"/>
  <c r="F212" i="15" l="1"/>
  <c r="L212" i="15" s="1"/>
  <c r="M212" i="15" l="1"/>
  <c r="AU212" i="15"/>
  <c r="V212" i="15"/>
  <c r="AS212" i="15" l="1"/>
  <c r="AT212" i="15" s="1"/>
  <c r="AY212" i="15"/>
  <c r="AW212" i="15"/>
  <c r="AZ212" i="15" s="1"/>
  <c r="Z212" i="15"/>
  <c r="Y212" i="15"/>
  <c r="Q91" i="41" l="1"/>
  <c r="Q10" i="41" l="1"/>
  <c r="H165" i="15" l="1"/>
  <c r="H125" i="15"/>
  <c r="H129" i="15"/>
  <c r="H106" i="15"/>
  <c r="H111" i="15"/>
  <c r="H208" i="15"/>
  <c r="H102" i="15"/>
  <c r="H139" i="15"/>
  <c r="H161" i="15"/>
  <c r="H110" i="15"/>
  <c r="H209" i="15"/>
  <c r="H80" i="15"/>
  <c r="H143" i="15"/>
  <c r="H76" i="15"/>
  <c r="H95" i="15"/>
  <c r="H171" i="15"/>
  <c r="H123" i="15"/>
  <c r="H132" i="15"/>
  <c r="H75" i="15"/>
  <c r="H130" i="15"/>
  <c r="H135" i="15"/>
  <c r="H117" i="15"/>
  <c r="H120" i="15"/>
  <c r="H136" i="15"/>
  <c r="H170" i="15"/>
  <c r="H156" i="15"/>
  <c r="H149" i="15"/>
  <c r="H145" i="15"/>
  <c r="H90" i="15"/>
  <c r="H68" i="15"/>
  <c r="H77" i="15"/>
  <c r="H126" i="15"/>
  <c r="H91" i="15"/>
  <c r="H113" i="15"/>
  <c r="H97" i="15"/>
  <c r="H83" i="15"/>
  <c r="H105" i="15"/>
  <c r="H71" i="15"/>
  <c r="H65" i="15"/>
  <c r="H84" i="15"/>
  <c r="H103" i="15"/>
  <c r="H87" i="15"/>
  <c r="H137" i="15"/>
  <c r="H163" i="15"/>
  <c r="H78" i="15"/>
  <c r="H64" i="15"/>
  <c r="H116" i="15"/>
  <c r="H70" i="15"/>
  <c r="H98" i="15"/>
  <c r="H238" i="15"/>
  <c r="H168" i="15"/>
  <c r="H69" i="15"/>
  <c r="H86" i="15"/>
  <c r="H151" i="15"/>
  <c r="H82" i="15"/>
  <c r="H79" i="15"/>
  <c r="H89" i="15"/>
  <c r="H160" i="15"/>
  <c r="H124" i="15"/>
  <c r="H74" i="15"/>
  <c r="H93" i="15"/>
  <c r="H131" i="15"/>
  <c r="H164" i="15"/>
  <c r="H99" i="15"/>
  <c r="H109" i="15"/>
  <c r="H128" i="15"/>
  <c r="H158" i="15"/>
  <c r="H144" i="15"/>
  <c r="J144" i="15"/>
  <c r="H92" i="15"/>
  <c r="H134" i="15"/>
  <c r="H108" i="15"/>
  <c r="H152" i="15"/>
  <c r="H157" i="15"/>
  <c r="H96" i="15"/>
  <c r="H122" i="15"/>
  <c r="H104" i="15"/>
  <c r="H162" i="15"/>
  <c r="H119" i="15"/>
  <c r="H153" i="15"/>
  <c r="H101" i="15"/>
  <c r="H94" i="15"/>
  <c r="H121" i="15"/>
  <c r="H214" i="15"/>
  <c r="H166" i="15"/>
  <c r="H167" i="15"/>
  <c r="H127" i="15"/>
  <c r="H100" i="15"/>
  <c r="H107" i="15"/>
  <c r="H142" i="15"/>
  <c r="H114" i="15"/>
  <c r="H147" i="15"/>
  <c r="H150" i="15"/>
  <c r="H148" i="15"/>
  <c r="J148" i="15"/>
  <c r="H112" i="15"/>
  <c r="J112" i="15"/>
  <c r="J140" i="15"/>
  <c r="H140" i="15"/>
  <c r="H154" i="15"/>
  <c r="H88" i="15"/>
  <c r="H66" i="15"/>
  <c r="H85" i="15"/>
  <c r="H146" i="15"/>
  <c r="H138" i="15"/>
  <c r="H72" i="15"/>
  <c r="H141" i="15"/>
  <c r="H133" i="15"/>
  <c r="H73" i="15" l="1"/>
  <c r="AB73" i="15" s="1"/>
  <c r="H67" i="15"/>
  <c r="I91" i="15"/>
  <c r="AK91" i="15" s="1"/>
  <c r="J195" i="15"/>
  <c r="J185" i="15"/>
  <c r="J189" i="15"/>
  <c r="J216" i="15"/>
  <c r="J172" i="15"/>
  <c r="J6" i="15"/>
  <c r="J44" i="15"/>
  <c r="J15" i="15"/>
  <c r="J45" i="15"/>
  <c r="J197" i="15"/>
  <c r="J34" i="15"/>
  <c r="J191" i="15"/>
  <c r="J33" i="15"/>
  <c r="J188" i="15"/>
  <c r="J42" i="15"/>
  <c r="J21" i="15"/>
  <c r="J224" i="15"/>
  <c r="J220" i="15"/>
  <c r="J10" i="15"/>
  <c r="J37" i="15"/>
  <c r="J26" i="15"/>
  <c r="J47" i="15"/>
  <c r="J28" i="15"/>
  <c r="J39" i="15"/>
  <c r="J24" i="15"/>
  <c r="J12" i="15"/>
  <c r="J38" i="15"/>
  <c r="J7" i="15"/>
  <c r="J11" i="15"/>
  <c r="J14" i="15"/>
  <c r="J31" i="15"/>
  <c r="J9" i="15"/>
  <c r="J192" i="15"/>
  <c r="J190" i="15"/>
  <c r="J25" i="15"/>
  <c r="J46" i="15"/>
  <c r="J49" i="15"/>
  <c r="J181" i="15"/>
  <c r="J41" i="15"/>
  <c r="J204" i="15"/>
  <c r="J59" i="15"/>
  <c r="J225" i="15"/>
  <c r="J5" i="15"/>
  <c r="J223" i="15"/>
  <c r="J30" i="15"/>
  <c r="J56" i="15"/>
  <c r="J29" i="15"/>
  <c r="J194" i="15"/>
  <c r="J60" i="15"/>
  <c r="J20" i="15"/>
  <c r="J51" i="15"/>
  <c r="J17" i="15"/>
  <c r="J63" i="15"/>
  <c r="J203" i="15"/>
  <c r="J179" i="15"/>
  <c r="J22" i="15"/>
  <c r="J180" i="15"/>
  <c r="J58" i="15"/>
  <c r="J200" i="15"/>
  <c r="J199" i="15"/>
  <c r="J53" i="15"/>
  <c r="J57" i="15"/>
  <c r="J196" i="15"/>
  <c r="J43" i="15"/>
  <c r="J178" i="15"/>
  <c r="J219" i="15"/>
  <c r="J174" i="15"/>
  <c r="J8" i="15"/>
  <c r="J36" i="15"/>
  <c r="J61" i="15"/>
  <c r="J54" i="15"/>
  <c r="J40" i="15"/>
  <c r="J27" i="15"/>
  <c r="J18" i="15"/>
  <c r="J52" i="15"/>
  <c r="J206" i="15"/>
  <c r="J175" i="15"/>
  <c r="J16" i="15"/>
  <c r="J62" i="15"/>
  <c r="J218" i="15"/>
  <c r="J193" i="15"/>
  <c r="J222" i="15"/>
  <c r="J201" i="15"/>
  <c r="J177" i="15"/>
  <c r="J184" i="15"/>
  <c r="J202" i="15"/>
  <c r="J221" i="15"/>
  <c r="J173" i="15"/>
  <c r="J186" i="15"/>
  <c r="J187" i="15"/>
  <c r="J198" i="15"/>
  <c r="J23" i="15"/>
  <c r="J182" i="15"/>
  <c r="J19" i="15"/>
  <c r="J226" i="15"/>
  <c r="J207" i="15"/>
  <c r="J176" i="15"/>
  <c r="J32" i="15"/>
  <c r="J35" i="15"/>
  <c r="J183" i="15"/>
  <c r="J13" i="15"/>
  <c r="J205" i="15"/>
  <c r="J48" i="15"/>
  <c r="J210" i="15"/>
  <c r="J50" i="15"/>
  <c r="J55" i="15"/>
  <c r="J217" i="15"/>
  <c r="J155" i="15"/>
  <c r="J150" i="15"/>
  <c r="AB150" i="15"/>
  <c r="X150" i="15"/>
  <c r="AX150" i="15"/>
  <c r="W150" i="15"/>
  <c r="AA150" i="15"/>
  <c r="J151" i="15"/>
  <c r="J71" i="15"/>
  <c r="J128" i="15"/>
  <c r="J152" i="15"/>
  <c r="J163" i="15"/>
  <c r="J131" i="15"/>
  <c r="J84" i="15"/>
  <c r="J93" i="15"/>
  <c r="J126" i="15"/>
  <c r="J67" i="15"/>
  <c r="J132" i="15"/>
  <c r="J208" i="15"/>
  <c r="I67" i="15"/>
  <c r="AK67" i="15" s="1"/>
  <c r="J169" i="15"/>
  <c r="J209" i="15"/>
  <c r="J130" i="15"/>
  <c r="J160" i="15"/>
  <c r="J115" i="15"/>
  <c r="J79" i="15"/>
  <c r="J105" i="15"/>
  <c r="J96" i="15"/>
  <c r="J158" i="15"/>
  <c r="J159" i="15"/>
  <c r="J81" i="15"/>
  <c r="J116" i="15"/>
  <c r="J133" i="15"/>
  <c r="J118" i="15"/>
  <c r="J107" i="15"/>
  <c r="J108" i="15"/>
  <c r="J117" i="15"/>
  <c r="J75" i="15"/>
  <c r="J170" i="15"/>
  <c r="J149" i="15"/>
  <c r="J214" i="15"/>
  <c r="J142" i="15"/>
  <c r="AX140" i="15"/>
  <c r="AA112" i="15"/>
  <c r="J143" i="15"/>
  <c r="J125" i="15"/>
  <c r="J165" i="15"/>
  <c r="J68" i="15"/>
  <c r="J145" i="15"/>
  <c r="J121" i="15"/>
  <c r="I73" i="15"/>
  <c r="AK73" i="15" s="1"/>
  <c r="J86" i="15"/>
  <c r="J77" i="15"/>
  <c r="J69" i="15"/>
  <c r="J78" i="15"/>
  <c r="J66" i="15"/>
  <c r="J137" i="15"/>
  <c r="J92" i="15"/>
  <c r="J88" i="15"/>
  <c r="J120" i="15"/>
  <c r="J82" i="15"/>
  <c r="J100" i="15"/>
  <c r="J129" i="15"/>
  <c r="J164" i="15"/>
  <c r="J83" i="15"/>
  <c r="J64" i="15"/>
  <c r="J73" i="15"/>
  <c r="J139" i="15"/>
  <c r="J127" i="15"/>
  <c r="J147" i="15"/>
  <c r="J135" i="15"/>
  <c r="J167" i="15"/>
  <c r="J146" i="15"/>
  <c r="J154" i="15"/>
  <c r="J91" i="15"/>
  <c r="J113" i="15"/>
  <c r="J65" i="15"/>
  <c r="J80" i="15"/>
  <c r="J157" i="15"/>
  <c r="J98" i="15"/>
  <c r="J123" i="15"/>
  <c r="J102" i="15"/>
  <c r="J97" i="15"/>
  <c r="J138" i="15"/>
  <c r="J124" i="15"/>
  <c r="J161" i="15"/>
  <c r="J153" i="15"/>
  <c r="J238" i="15"/>
  <c r="J87" i="15"/>
  <c r="J94" i="15"/>
  <c r="AA91" i="15"/>
  <c r="AX91" i="15"/>
  <c r="AB91" i="15"/>
  <c r="W91" i="15"/>
  <c r="X91" i="15"/>
  <c r="J103" i="15"/>
  <c r="J76" i="15"/>
  <c r="J111" i="15"/>
  <c r="J134" i="15"/>
  <c r="J136" i="15"/>
  <c r="J122" i="15"/>
  <c r="J114" i="15"/>
  <c r="J141" i="15"/>
  <c r="J171" i="15"/>
  <c r="J106" i="15"/>
  <c r="J99" i="15"/>
  <c r="J90" i="15"/>
  <c r="J101" i="15"/>
  <c r="J168" i="15"/>
  <c r="J85" i="15"/>
  <c r="J72" i="15"/>
  <c r="J104" i="15"/>
  <c r="J162" i="15"/>
  <c r="J70" i="15"/>
  <c r="J166" i="15"/>
  <c r="J89" i="15"/>
  <c r="J119" i="15"/>
  <c r="J110" i="15"/>
  <c r="J109" i="15"/>
  <c r="J74" i="15"/>
  <c r="J95" i="15"/>
  <c r="J156" i="15"/>
  <c r="G112" i="15" l="1"/>
  <c r="G140" i="15"/>
  <c r="G142" i="15"/>
  <c r="I93" i="15"/>
  <c r="AK93" i="15" s="1"/>
  <c r="AL93" i="15" s="1"/>
  <c r="AI93" i="15" s="1"/>
  <c r="AO93" i="15" s="1"/>
  <c r="I198" i="15"/>
  <c r="AK198" i="15" s="1"/>
  <c r="AL198" i="15" s="1"/>
  <c r="AI198" i="15" s="1"/>
  <c r="AO198" i="15" s="1"/>
  <c r="I217" i="15"/>
  <c r="AK217" i="15" s="1"/>
  <c r="AL217" i="15" s="1"/>
  <c r="AI217" i="15" s="1"/>
  <c r="AO217" i="15" s="1"/>
  <c r="I179" i="15"/>
  <c r="AK179" i="15" s="1"/>
  <c r="AM179" i="15" s="1"/>
  <c r="AN179" i="15" s="1"/>
  <c r="I150" i="15"/>
  <c r="AK150" i="15" s="1"/>
  <c r="AM150" i="15" s="1"/>
  <c r="AN150" i="15" s="1"/>
  <c r="I108" i="15"/>
  <c r="AK108" i="15" s="1"/>
  <c r="AM108" i="15" s="1"/>
  <c r="AN108" i="15" s="1"/>
  <c r="I84" i="15"/>
  <c r="AK84" i="15" s="1"/>
  <c r="AL84" i="15" s="1"/>
  <c r="AI84" i="15" s="1"/>
  <c r="AO84" i="15" s="1"/>
  <c r="I126" i="15"/>
  <c r="AK126" i="15" s="1"/>
  <c r="AM126" i="15" s="1"/>
  <c r="AN126" i="15" s="1"/>
  <c r="I71" i="15"/>
  <c r="AK71" i="15" s="1"/>
  <c r="AM71" i="15" s="1"/>
  <c r="AN71" i="15" s="1"/>
  <c r="I190" i="15"/>
  <c r="AK190" i="15" s="1"/>
  <c r="AL190" i="15" s="1"/>
  <c r="AI190" i="15" s="1"/>
  <c r="AO190" i="15" s="1"/>
  <c r="I192" i="15"/>
  <c r="AK192" i="15" s="1"/>
  <c r="AL192" i="15" s="1"/>
  <c r="AI192" i="15" s="1"/>
  <c r="AO192" i="15" s="1"/>
  <c r="I204" i="15"/>
  <c r="AK204" i="15" s="1"/>
  <c r="AM204" i="15" s="1"/>
  <c r="AN204" i="15" s="1"/>
  <c r="I209" i="15"/>
  <c r="AK209" i="15" s="1"/>
  <c r="AM209" i="15" s="1"/>
  <c r="AN209" i="15" s="1"/>
  <c r="I185" i="15"/>
  <c r="AK185" i="15" s="1"/>
  <c r="AL185" i="15" s="1"/>
  <c r="AI185" i="15" s="1"/>
  <c r="AO185" i="15" s="1"/>
  <c r="I225" i="15"/>
  <c r="AK225" i="15" s="1"/>
  <c r="AL225" i="15" s="1"/>
  <c r="AI225" i="15" s="1"/>
  <c r="AO225" i="15" s="1"/>
  <c r="I159" i="15"/>
  <c r="AK159" i="15" s="1"/>
  <c r="AM159" i="15" s="1"/>
  <c r="AN159" i="15" s="1"/>
  <c r="I170" i="15"/>
  <c r="AK170" i="15" s="1"/>
  <c r="AL170" i="15" s="1"/>
  <c r="AI170" i="15" s="1"/>
  <c r="AO170" i="15" s="1"/>
  <c r="I79" i="15"/>
  <c r="AK79" i="15" s="1"/>
  <c r="AL79" i="15" s="1"/>
  <c r="AI79" i="15" s="1"/>
  <c r="AO79" i="15" s="1"/>
  <c r="I187" i="15"/>
  <c r="AK187" i="15" s="1"/>
  <c r="AM187" i="15" s="1"/>
  <c r="AN187" i="15" s="1"/>
  <c r="I197" i="15"/>
  <c r="AK197" i="15" s="1"/>
  <c r="AL197" i="15" s="1"/>
  <c r="AI197" i="15" s="1"/>
  <c r="AO197" i="15" s="1"/>
  <c r="I188" i="15"/>
  <c r="AK188" i="15" s="1"/>
  <c r="AM188" i="15" s="1"/>
  <c r="AN188" i="15" s="1"/>
  <c r="I183" i="15"/>
  <c r="AK183" i="15" s="1"/>
  <c r="AM183" i="15" s="1"/>
  <c r="AN183" i="15" s="1"/>
  <c r="I218" i="15"/>
  <c r="AK218" i="15" s="1"/>
  <c r="AM218" i="15" s="1"/>
  <c r="AN218" i="15" s="1"/>
  <c r="I194" i="15"/>
  <c r="AK194" i="15" s="1"/>
  <c r="AM194" i="15" s="1"/>
  <c r="AN194" i="15" s="1"/>
  <c r="I191" i="15"/>
  <c r="AK191" i="15" s="1"/>
  <c r="AM191" i="15" s="1"/>
  <c r="AN191" i="15" s="1"/>
  <c r="I224" i="15"/>
  <c r="AK224" i="15" s="1"/>
  <c r="AL224" i="15" s="1"/>
  <c r="AI224" i="15" s="1"/>
  <c r="AO224" i="15" s="1"/>
  <c r="I223" i="15"/>
  <c r="AK223" i="15" s="1"/>
  <c r="AL223" i="15" s="1"/>
  <c r="AI223" i="15" s="1"/>
  <c r="AO223" i="15" s="1"/>
  <c r="I226" i="15"/>
  <c r="AK226" i="15" s="1"/>
  <c r="AL226" i="15" s="1"/>
  <c r="AI226" i="15" s="1"/>
  <c r="AO226" i="15" s="1"/>
  <c r="I202" i="15"/>
  <c r="AK202" i="15" s="1"/>
  <c r="AL202" i="15" s="1"/>
  <c r="AI202" i="15" s="1"/>
  <c r="AO202" i="15" s="1"/>
  <c r="I181" i="15"/>
  <c r="AK181" i="15" s="1"/>
  <c r="AL181" i="15" s="1"/>
  <c r="AI181" i="15" s="1"/>
  <c r="AO181" i="15" s="1"/>
  <c r="I131" i="15"/>
  <c r="AK131" i="15" s="1"/>
  <c r="AL131" i="15" s="1"/>
  <c r="AI131" i="15" s="1"/>
  <c r="AO131" i="15" s="1"/>
  <c r="I219" i="15"/>
  <c r="AK219" i="15" s="1"/>
  <c r="AM219" i="15" s="1"/>
  <c r="AN219" i="15" s="1"/>
  <c r="I117" i="15"/>
  <c r="AK117" i="15" s="1"/>
  <c r="AM117" i="15" s="1"/>
  <c r="AN117" i="15" s="1"/>
  <c r="I96" i="15"/>
  <c r="AK96" i="15" s="1"/>
  <c r="AM96" i="15" s="1"/>
  <c r="AN96" i="15" s="1"/>
  <c r="I163" i="15"/>
  <c r="AK163" i="15" s="1"/>
  <c r="AL163" i="15" s="1"/>
  <c r="AI163" i="15" s="1"/>
  <c r="I115" i="15"/>
  <c r="AK115" i="15" s="1"/>
  <c r="AM115" i="15" s="1"/>
  <c r="AN115" i="15" s="1"/>
  <c r="I216" i="15"/>
  <c r="AK216" i="15" s="1"/>
  <c r="AM216" i="15" s="1"/>
  <c r="AN216" i="15" s="1"/>
  <c r="I200" i="15"/>
  <c r="AK200" i="15" s="1"/>
  <c r="AM200" i="15" s="1"/>
  <c r="AN200" i="15" s="1"/>
  <c r="I174" i="15"/>
  <c r="AK174" i="15" s="1"/>
  <c r="AL174" i="15" s="1"/>
  <c r="AI174" i="15" s="1"/>
  <c r="AO174" i="15" s="1"/>
  <c r="I169" i="15"/>
  <c r="AK169" i="15" s="1"/>
  <c r="AM169" i="15" s="1"/>
  <c r="AN169" i="15" s="1"/>
  <c r="I118" i="15"/>
  <c r="AK118" i="15" s="1"/>
  <c r="AL118" i="15" s="1"/>
  <c r="AI118" i="15" s="1"/>
  <c r="AO118" i="15" s="1"/>
  <c r="I105" i="15"/>
  <c r="AK105" i="15" s="1"/>
  <c r="AL105" i="15" s="1"/>
  <c r="AI105" i="15" s="1"/>
  <c r="AO105" i="15" s="1"/>
  <c r="I189" i="15"/>
  <c r="AK189" i="15" s="1"/>
  <c r="AL189" i="15" s="1"/>
  <c r="AI189" i="15" s="1"/>
  <c r="AO189" i="15" s="1"/>
  <c r="I220" i="15"/>
  <c r="AK220" i="15" s="1"/>
  <c r="AM220" i="15" s="1"/>
  <c r="AN220" i="15" s="1"/>
  <c r="I130" i="15"/>
  <c r="AK130" i="15" s="1"/>
  <c r="AL130" i="15" s="1"/>
  <c r="AI130" i="15" s="1"/>
  <c r="AO130" i="15" s="1"/>
  <c r="I199" i="15"/>
  <c r="AK199" i="15" s="1"/>
  <c r="AM199" i="15" s="1"/>
  <c r="AN199" i="15" s="1"/>
  <c r="I203" i="15"/>
  <c r="AK203" i="15" s="1"/>
  <c r="AM203" i="15" s="1"/>
  <c r="AN203" i="15" s="1"/>
  <c r="I75" i="15"/>
  <c r="AK75" i="15" s="1"/>
  <c r="AL75" i="15" s="1"/>
  <c r="AI75" i="15" s="1"/>
  <c r="AO75" i="15" s="1"/>
  <c r="I132" i="15"/>
  <c r="AK132" i="15" s="1"/>
  <c r="AL132" i="15" s="1"/>
  <c r="AI132" i="15" s="1"/>
  <c r="AO132" i="15" s="1"/>
  <c r="I208" i="15"/>
  <c r="AK208" i="15" s="1"/>
  <c r="AM208" i="15" s="1"/>
  <c r="AN208" i="15" s="1"/>
  <c r="I116" i="15"/>
  <c r="AK116" i="15" s="1"/>
  <c r="AL116" i="15" s="1"/>
  <c r="AI116" i="15" s="1"/>
  <c r="AO116" i="15" s="1"/>
  <c r="I195" i="15"/>
  <c r="AK195" i="15" s="1"/>
  <c r="AL195" i="15" s="1"/>
  <c r="AI195" i="15" s="1"/>
  <c r="AO195" i="15" s="1"/>
  <c r="I140" i="15"/>
  <c r="AK140" i="15" s="1"/>
  <c r="AM140" i="15" s="1"/>
  <c r="AN140" i="15" s="1"/>
  <c r="I152" i="15"/>
  <c r="AK152" i="15" s="1"/>
  <c r="AL152" i="15" s="1"/>
  <c r="AI152" i="15" s="1"/>
  <c r="AO152" i="15" s="1"/>
  <c r="I180" i="15"/>
  <c r="AK180" i="15" s="1"/>
  <c r="AL180" i="15" s="1"/>
  <c r="AI180" i="15" s="1"/>
  <c r="AO180" i="15" s="1"/>
  <c r="I112" i="15"/>
  <c r="AK112" i="15" s="1"/>
  <c r="AL112" i="15" s="1"/>
  <c r="AI112" i="15" s="1"/>
  <c r="AO112" i="15" s="1"/>
  <c r="I149" i="15"/>
  <c r="AK149" i="15" s="1"/>
  <c r="AL149" i="15" s="1"/>
  <c r="AI149" i="15" s="1"/>
  <c r="AO149" i="15" s="1"/>
  <c r="I81" i="15"/>
  <c r="AK81" i="15" s="1"/>
  <c r="AL81" i="15" s="1"/>
  <c r="AI81" i="15" s="1"/>
  <c r="AO81" i="15" s="1"/>
  <c r="I158" i="15"/>
  <c r="AK158" i="15" s="1"/>
  <c r="AL158" i="15" s="1"/>
  <c r="AI158" i="15" s="1"/>
  <c r="AO158" i="15" s="1"/>
  <c r="I186" i="15"/>
  <c r="AK186" i="15" s="1"/>
  <c r="AM186" i="15" s="1"/>
  <c r="AN186" i="15" s="1"/>
  <c r="I201" i="15"/>
  <c r="AK201" i="15" s="1"/>
  <c r="AL201" i="15" s="1"/>
  <c r="AI201" i="15" s="1"/>
  <c r="AO201" i="15" s="1"/>
  <c r="I182" i="15"/>
  <c r="AK182" i="15" s="1"/>
  <c r="AM182" i="15" s="1"/>
  <c r="AN182" i="15" s="1"/>
  <c r="I172" i="15"/>
  <c r="AK172" i="15" s="1"/>
  <c r="AL172" i="15" s="1"/>
  <c r="AI172" i="15" s="1"/>
  <c r="AO172" i="15" s="1"/>
  <c r="I178" i="15"/>
  <c r="AK178" i="15" s="1"/>
  <c r="AL178" i="15" s="1"/>
  <c r="AI178" i="15" s="1"/>
  <c r="AO178" i="15" s="1"/>
  <c r="I107" i="15"/>
  <c r="AK107" i="15" s="1"/>
  <c r="AM107" i="15" s="1"/>
  <c r="AN107" i="15" s="1"/>
  <c r="I128" i="15"/>
  <c r="AK128" i="15" s="1"/>
  <c r="AM128" i="15" s="1"/>
  <c r="AN128" i="15" s="1"/>
  <c r="I173" i="15"/>
  <c r="AK173" i="15" s="1"/>
  <c r="AM173" i="15" s="1"/>
  <c r="AN173" i="15" s="1"/>
  <c r="I184" i="15"/>
  <c r="AK184" i="15" s="1"/>
  <c r="AL184" i="15" s="1"/>
  <c r="AI184" i="15" s="1"/>
  <c r="AO184" i="15" s="1"/>
  <c r="I222" i="15"/>
  <c r="AK222" i="15" s="1"/>
  <c r="AM222" i="15" s="1"/>
  <c r="AN222" i="15" s="1"/>
  <c r="I196" i="15"/>
  <c r="AK196" i="15" s="1"/>
  <c r="AM196" i="15" s="1"/>
  <c r="AN196" i="15" s="1"/>
  <c r="I133" i="15"/>
  <c r="AK133" i="15" s="1"/>
  <c r="AM133" i="15" s="1"/>
  <c r="AN133" i="15" s="1"/>
  <c r="I160" i="15"/>
  <c r="AK160" i="15" s="1"/>
  <c r="AL160" i="15" s="1"/>
  <c r="AI160" i="15" s="1"/>
  <c r="AO160" i="15" s="1"/>
  <c r="I151" i="15"/>
  <c r="AK151" i="15" s="1"/>
  <c r="AL151" i="15" s="1"/>
  <c r="AI151" i="15" s="1"/>
  <c r="AO151" i="15" s="1"/>
  <c r="I221" i="15"/>
  <c r="AK221" i="15" s="1"/>
  <c r="AL221" i="15" s="1"/>
  <c r="AI221" i="15" s="1"/>
  <c r="AO221" i="15" s="1"/>
  <c r="I177" i="15"/>
  <c r="AK177" i="15" s="1"/>
  <c r="AM177" i="15" s="1"/>
  <c r="AN177" i="15" s="1"/>
  <c r="I193" i="15"/>
  <c r="AK193" i="15" s="1"/>
  <c r="AL193" i="15" s="1"/>
  <c r="AI193" i="15" s="1"/>
  <c r="AO193" i="15" s="1"/>
  <c r="I55" i="15"/>
  <c r="AK55" i="15" s="1"/>
  <c r="AM55" i="15" s="1"/>
  <c r="AN55" i="15" s="1"/>
  <c r="I175" i="15"/>
  <c r="AK175" i="15" s="1"/>
  <c r="AM175" i="15" s="1"/>
  <c r="AN175" i="15" s="1"/>
  <c r="I176" i="15"/>
  <c r="AK176" i="15" s="1"/>
  <c r="AM176" i="15" s="1"/>
  <c r="AN176" i="15" s="1"/>
  <c r="X184" i="15"/>
  <c r="W184" i="15"/>
  <c r="AX184" i="15"/>
  <c r="AA184" i="15"/>
  <c r="AB184" i="15"/>
  <c r="X222" i="15"/>
  <c r="AB222" i="15"/>
  <c r="W222" i="15"/>
  <c r="AX222" i="15"/>
  <c r="AA222" i="15"/>
  <c r="X15" i="15"/>
  <c r="AB15" i="15"/>
  <c r="W15" i="15"/>
  <c r="AX15" i="15"/>
  <c r="AA15" i="15"/>
  <c r="G187" i="15"/>
  <c r="G221" i="15"/>
  <c r="G177" i="15"/>
  <c r="AX196" i="15"/>
  <c r="AA196" i="15"/>
  <c r="X196" i="15"/>
  <c r="AB196" i="15"/>
  <c r="W196" i="15"/>
  <c r="I22" i="15"/>
  <c r="AK22" i="15" s="1"/>
  <c r="G178" i="15"/>
  <c r="G196" i="15"/>
  <c r="I40" i="15"/>
  <c r="AK40" i="15" s="1"/>
  <c r="G180" i="15"/>
  <c r="AB174" i="15"/>
  <c r="X174" i="15"/>
  <c r="AA174" i="15"/>
  <c r="W174" i="15"/>
  <c r="AX174" i="15"/>
  <c r="X223" i="15"/>
  <c r="AB223" i="15"/>
  <c r="AX223" i="15"/>
  <c r="AA223" i="15"/>
  <c r="W223" i="15"/>
  <c r="G56" i="15"/>
  <c r="G5" i="15"/>
  <c r="I17" i="15"/>
  <c r="AK17" i="15" s="1"/>
  <c r="W29" i="15"/>
  <c r="AX29" i="15"/>
  <c r="AB29" i="15"/>
  <c r="X29" i="15"/>
  <c r="AA29" i="15"/>
  <c r="G31" i="15"/>
  <c r="AB191" i="15"/>
  <c r="X191" i="15"/>
  <c r="AX191" i="15"/>
  <c r="W191" i="15"/>
  <c r="AA191" i="15"/>
  <c r="G39" i="15"/>
  <c r="W207" i="15"/>
  <c r="AX207" i="15"/>
  <c r="X207" i="15"/>
  <c r="AA207" i="15"/>
  <c r="AB207" i="15"/>
  <c r="AA11" i="15"/>
  <c r="W11" i="15"/>
  <c r="AB11" i="15"/>
  <c r="X11" i="15"/>
  <c r="AX11" i="15"/>
  <c r="AA38" i="15"/>
  <c r="W38" i="15"/>
  <c r="X38" i="15"/>
  <c r="AX38" i="15"/>
  <c r="AB38" i="15"/>
  <c r="AB224" i="15"/>
  <c r="X224" i="15"/>
  <c r="W224" i="15"/>
  <c r="AX224" i="15"/>
  <c r="AA224" i="15"/>
  <c r="W220" i="15"/>
  <c r="AX220" i="15"/>
  <c r="AA220" i="15"/>
  <c r="X220" i="15"/>
  <c r="AB220" i="15"/>
  <c r="AA51" i="15"/>
  <c r="W51" i="15"/>
  <c r="X51" i="15"/>
  <c r="AB51" i="15"/>
  <c r="AX51" i="15"/>
  <c r="I29" i="15"/>
  <c r="AK29" i="15" s="1"/>
  <c r="G190" i="15"/>
  <c r="G7" i="15"/>
  <c r="I207" i="15"/>
  <c r="AK207" i="15" s="1"/>
  <c r="I11" i="15"/>
  <c r="AK11" i="15" s="1"/>
  <c r="I38" i="15"/>
  <c r="AK38" i="15" s="1"/>
  <c r="X173" i="15"/>
  <c r="AB173" i="15"/>
  <c r="AA173" i="15"/>
  <c r="AX173" i="15"/>
  <c r="W173" i="15"/>
  <c r="AB193" i="15"/>
  <c r="AX193" i="15"/>
  <c r="X193" i="15"/>
  <c r="AA193" i="15"/>
  <c r="W193" i="15"/>
  <c r="AA57" i="15"/>
  <c r="AX57" i="15"/>
  <c r="W57" i="15"/>
  <c r="X57" i="15"/>
  <c r="AB57" i="15"/>
  <c r="AX5" i="15"/>
  <c r="X5" i="15"/>
  <c r="AB5" i="15"/>
  <c r="AA5" i="15"/>
  <c r="W5" i="15"/>
  <c r="X12" i="15"/>
  <c r="AA12" i="15"/>
  <c r="AX12" i="15"/>
  <c r="AB12" i="15"/>
  <c r="W12" i="15"/>
  <c r="G51" i="15"/>
  <c r="G41" i="15"/>
  <c r="AX45" i="15"/>
  <c r="AA45" i="15"/>
  <c r="X45" i="15"/>
  <c r="AB45" i="15"/>
  <c r="W45" i="15"/>
  <c r="G220" i="15"/>
  <c r="G21" i="15"/>
  <c r="G182" i="15"/>
  <c r="I210" i="15"/>
  <c r="AK210" i="15" s="1"/>
  <c r="W205" i="15"/>
  <c r="AX205" i="15"/>
  <c r="AA205" i="15"/>
  <c r="X205" i="15"/>
  <c r="AB205" i="15"/>
  <c r="AA190" i="15"/>
  <c r="X190" i="15"/>
  <c r="AB190" i="15"/>
  <c r="AX190" i="15"/>
  <c r="W190" i="15"/>
  <c r="W53" i="15"/>
  <c r="AB53" i="15"/>
  <c r="AX53" i="15"/>
  <c r="AA53" i="15"/>
  <c r="X53" i="15"/>
  <c r="G54" i="15"/>
  <c r="I47" i="15"/>
  <c r="AK47" i="15" s="1"/>
  <c r="X16" i="15"/>
  <c r="W16" i="15"/>
  <c r="AA16" i="15"/>
  <c r="AX16" i="15"/>
  <c r="AB16" i="15"/>
  <c r="AX18" i="15"/>
  <c r="AB18" i="15"/>
  <c r="W18" i="15"/>
  <c r="X18" i="15"/>
  <c r="AA18" i="15"/>
  <c r="X192" i="15"/>
  <c r="W192" i="15"/>
  <c r="AX192" i="15"/>
  <c r="AB192" i="15"/>
  <c r="AA192" i="15"/>
  <c r="X225" i="15"/>
  <c r="AB225" i="15"/>
  <c r="AX225" i="15"/>
  <c r="AA225" i="15"/>
  <c r="W225" i="15"/>
  <c r="AX32" i="15"/>
  <c r="X32" i="15"/>
  <c r="AA32" i="15"/>
  <c r="W32" i="15"/>
  <c r="AB32" i="15"/>
  <c r="AB56" i="15"/>
  <c r="W56" i="15"/>
  <c r="AX56" i="15"/>
  <c r="X56" i="15"/>
  <c r="AA56" i="15"/>
  <c r="G14" i="15"/>
  <c r="I42" i="15"/>
  <c r="AK42" i="15" s="1"/>
  <c r="G12" i="15"/>
  <c r="I45" i="15"/>
  <c r="AK45" i="15" s="1"/>
  <c r="W176" i="15"/>
  <c r="AB176" i="15"/>
  <c r="AX176" i="15"/>
  <c r="X176" i="15"/>
  <c r="AA176" i="15"/>
  <c r="AB8" i="15"/>
  <c r="AA8" i="15"/>
  <c r="W8" i="15"/>
  <c r="AX8" i="15"/>
  <c r="X8" i="15"/>
  <c r="G197" i="15"/>
  <c r="G185" i="15"/>
  <c r="AB187" i="15"/>
  <c r="X187" i="15"/>
  <c r="AA187" i="15"/>
  <c r="AX187" i="15"/>
  <c r="W187" i="15"/>
  <c r="G210" i="15"/>
  <c r="G205" i="15"/>
  <c r="G35" i="15"/>
  <c r="G186" i="15"/>
  <c r="G202" i="15"/>
  <c r="AB48" i="15"/>
  <c r="AA48" i="15"/>
  <c r="X48" i="15"/>
  <c r="W48" i="15"/>
  <c r="AX48" i="15"/>
  <c r="I205" i="15"/>
  <c r="AK205" i="15" s="1"/>
  <c r="G18" i="15"/>
  <c r="I53" i="15"/>
  <c r="AK53" i="15" s="1"/>
  <c r="G36" i="15"/>
  <c r="I16" i="15"/>
  <c r="AK16" i="15" s="1"/>
  <c r="I18" i="15"/>
  <c r="AK18" i="15" s="1"/>
  <c r="G58" i="15"/>
  <c r="X36" i="15"/>
  <c r="AX36" i="15"/>
  <c r="AA36" i="15"/>
  <c r="W36" i="15"/>
  <c r="AB36" i="15"/>
  <c r="X204" i="15"/>
  <c r="AB204" i="15"/>
  <c r="W204" i="15"/>
  <c r="AA204" i="15"/>
  <c r="AX204" i="15"/>
  <c r="G29" i="15"/>
  <c r="G30" i="15"/>
  <c r="I32" i="15"/>
  <c r="AK32" i="15" s="1"/>
  <c r="I56" i="15"/>
  <c r="AK56" i="15" s="1"/>
  <c r="G28" i="15"/>
  <c r="I8" i="15"/>
  <c r="AK8" i="15" s="1"/>
  <c r="G33" i="15"/>
  <c r="G44" i="15"/>
  <c r="W179" i="15"/>
  <c r="AB179" i="15"/>
  <c r="AX179" i="15"/>
  <c r="X179" i="15"/>
  <c r="AA179" i="15"/>
  <c r="AB63" i="15"/>
  <c r="X63" i="15"/>
  <c r="AA63" i="15"/>
  <c r="W63" i="15"/>
  <c r="AX63" i="15"/>
  <c r="W20" i="15"/>
  <c r="AX20" i="15"/>
  <c r="X20" i="15"/>
  <c r="AB20" i="15"/>
  <c r="AA20" i="15"/>
  <c r="G181" i="15"/>
  <c r="AX44" i="15"/>
  <c r="AA44" i="15"/>
  <c r="AB44" i="15"/>
  <c r="X44" i="15"/>
  <c r="W44" i="15"/>
  <c r="G11" i="15"/>
  <c r="G38" i="15"/>
  <c r="G224" i="15"/>
  <c r="X9" i="15"/>
  <c r="AB9" i="15"/>
  <c r="W9" i="15"/>
  <c r="AA9" i="15"/>
  <c r="AX9" i="15"/>
  <c r="AB41" i="15"/>
  <c r="X41" i="15"/>
  <c r="AA41" i="15"/>
  <c r="AX41" i="15"/>
  <c r="W41" i="15"/>
  <c r="X203" i="15"/>
  <c r="AB203" i="15"/>
  <c r="AX203" i="15"/>
  <c r="W203" i="15"/>
  <c r="AA203" i="15"/>
  <c r="I63" i="15"/>
  <c r="AK63" i="15" s="1"/>
  <c r="I20" i="15"/>
  <c r="AK20" i="15" s="1"/>
  <c r="I44" i="15"/>
  <c r="AK44" i="15" s="1"/>
  <c r="G192" i="15"/>
  <c r="X197" i="15"/>
  <c r="AX197" i="15"/>
  <c r="AA197" i="15"/>
  <c r="AB197" i="15"/>
  <c r="W197" i="15"/>
  <c r="G37" i="15"/>
  <c r="I9" i="15"/>
  <c r="AK9" i="15" s="1"/>
  <c r="X7" i="15"/>
  <c r="AX7" i="15"/>
  <c r="W7" i="15"/>
  <c r="AA7" i="15"/>
  <c r="AB7" i="15"/>
  <c r="W24" i="15"/>
  <c r="AB24" i="15"/>
  <c r="AA24" i="15"/>
  <c r="AX24" i="15"/>
  <c r="X24" i="15"/>
  <c r="G172" i="15"/>
  <c r="X62" i="15"/>
  <c r="AB62" i="15"/>
  <c r="AX62" i="15"/>
  <c r="AA62" i="15"/>
  <c r="W62" i="15"/>
  <c r="I23" i="15"/>
  <c r="AK23" i="15" s="1"/>
  <c r="G193" i="15"/>
  <c r="I37" i="15"/>
  <c r="AK37" i="15" s="1"/>
  <c r="I58" i="15"/>
  <c r="AK58" i="15" s="1"/>
  <c r="G174" i="15"/>
  <c r="G22" i="15"/>
  <c r="G194" i="15"/>
  <c r="I51" i="15"/>
  <c r="AK51" i="15" s="1"/>
  <c r="G189" i="15"/>
  <c r="W198" i="15"/>
  <c r="AX198" i="15"/>
  <c r="AA198" i="15"/>
  <c r="AB198" i="15"/>
  <c r="X198" i="15"/>
  <c r="AB210" i="15"/>
  <c r="W210" i="15"/>
  <c r="AA210" i="15"/>
  <c r="AX210" i="15"/>
  <c r="X210" i="15"/>
  <c r="I57" i="15"/>
  <c r="AK57" i="15" s="1"/>
  <c r="I12" i="15"/>
  <c r="AK12" i="15" s="1"/>
  <c r="I48" i="15"/>
  <c r="AK48" i="15" s="1"/>
  <c r="W54" i="15"/>
  <c r="AX54" i="15"/>
  <c r="AA54" i="15"/>
  <c r="AB54" i="15"/>
  <c r="X54" i="15"/>
  <c r="G217" i="15"/>
  <c r="AM202" i="15"/>
  <c r="AN202" i="15" s="1"/>
  <c r="G19" i="15"/>
  <c r="G173" i="15"/>
  <c r="I50" i="15"/>
  <c r="AK50" i="15" s="1"/>
  <c r="G201" i="15"/>
  <c r="AA46" i="15"/>
  <c r="AX46" i="15"/>
  <c r="AB46" i="15"/>
  <c r="W46" i="15"/>
  <c r="X46" i="15"/>
  <c r="G16" i="15"/>
  <c r="I43" i="15"/>
  <c r="AK43" i="15" s="1"/>
  <c r="I54" i="15"/>
  <c r="AK54" i="15" s="1"/>
  <c r="I26" i="15"/>
  <c r="AK26" i="15" s="1"/>
  <c r="I30" i="15"/>
  <c r="AK30" i="15" s="1"/>
  <c r="G20" i="15"/>
  <c r="I41" i="15"/>
  <c r="AK41" i="15" s="1"/>
  <c r="AB60" i="15"/>
  <c r="X60" i="15"/>
  <c r="AX60" i="15"/>
  <c r="W60" i="15"/>
  <c r="AA60" i="15"/>
  <c r="AX13" i="15"/>
  <c r="AB13" i="15"/>
  <c r="W13" i="15"/>
  <c r="X13" i="15"/>
  <c r="AA13" i="15"/>
  <c r="AB6" i="15"/>
  <c r="X6" i="15"/>
  <c r="AA6" i="15"/>
  <c r="W6" i="15"/>
  <c r="AX6" i="15"/>
  <c r="W188" i="15"/>
  <c r="AA188" i="15"/>
  <c r="AB188" i="15"/>
  <c r="X188" i="15"/>
  <c r="AX188" i="15"/>
  <c r="G47" i="15"/>
  <c r="AX19" i="15"/>
  <c r="X19" i="15"/>
  <c r="AA19" i="15"/>
  <c r="W19" i="15"/>
  <c r="AB19" i="15"/>
  <c r="AA31" i="15"/>
  <c r="W31" i="15"/>
  <c r="AX31" i="15"/>
  <c r="X31" i="15"/>
  <c r="AB31" i="15"/>
  <c r="I7" i="15"/>
  <c r="AK7" i="15" s="1"/>
  <c r="I24" i="15"/>
  <c r="AK24" i="15" s="1"/>
  <c r="AB183" i="15"/>
  <c r="AX183" i="15"/>
  <c r="X183" i="15"/>
  <c r="AA183" i="15"/>
  <c r="W183" i="15"/>
  <c r="I62" i="15"/>
  <c r="AK62" i="15" s="1"/>
  <c r="AB23" i="15"/>
  <c r="AX23" i="15"/>
  <c r="W23" i="15"/>
  <c r="X23" i="15"/>
  <c r="AA23" i="15"/>
  <c r="AX189" i="15"/>
  <c r="AA189" i="15"/>
  <c r="W189" i="15"/>
  <c r="AB189" i="15"/>
  <c r="X189" i="15"/>
  <c r="G52" i="15"/>
  <c r="AA221" i="15"/>
  <c r="AB221" i="15"/>
  <c r="W221" i="15"/>
  <c r="X221" i="15"/>
  <c r="AX221" i="15"/>
  <c r="G183" i="15"/>
  <c r="AX55" i="15"/>
  <c r="X55" i="15"/>
  <c r="AA55" i="15"/>
  <c r="W55" i="15"/>
  <c r="AB55" i="15"/>
  <c r="AX52" i="15"/>
  <c r="W52" i="15"/>
  <c r="X52" i="15"/>
  <c r="AB52" i="15"/>
  <c r="AA52" i="15"/>
  <c r="G200" i="15"/>
  <c r="AX35" i="15"/>
  <c r="AA35" i="15"/>
  <c r="X35" i="15"/>
  <c r="AB35" i="15"/>
  <c r="W35" i="15"/>
  <c r="G188" i="15"/>
  <c r="W217" i="15"/>
  <c r="X217" i="15"/>
  <c r="AA217" i="15"/>
  <c r="AB217" i="15"/>
  <c r="AX217" i="15"/>
  <c r="W185" i="15"/>
  <c r="AB185" i="15"/>
  <c r="AX185" i="15"/>
  <c r="X185" i="15"/>
  <c r="AA185" i="15"/>
  <c r="G57" i="15"/>
  <c r="G225" i="15"/>
  <c r="X42" i="15"/>
  <c r="AB42" i="15"/>
  <c r="AA42" i="15"/>
  <c r="W42" i="15"/>
  <c r="AX42" i="15"/>
  <c r="I34" i="15"/>
  <c r="AK34" i="15" s="1"/>
  <c r="I35" i="15"/>
  <c r="AK35" i="15" s="1"/>
  <c r="AX49" i="15"/>
  <c r="AB49" i="15"/>
  <c r="W49" i="15"/>
  <c r="AA49" i="15"/>
  <c r="X49" i="15"/>
  <c r="G206" i="15"/>
  <c r="AB199" i="15"/>
  <c r="W199" i="15"/>
  <c r="X199" i="15"/>
  <c r="AA199" i="15"/>
  <c r="AX199" i="15"/>
  <c r="G53" i="15"/>
  <c r="AB202" i="15"/>
  <c r="X202" i="15"/>
  <c r="AX202" i="15"/>
  <c r="W202" i="15"/>
  <c r="AA202" i="15"/>
  <c r="G13" i="15"/>
  <c r="X50" i="15"/>
  <c r="AB50" i="15"/>
  <c r="AA50" i="15"/>
  <c r="W50" i="15"/>
  <c r="AX50" i="15"/>
  <c r="I49" i="15"/>
  <c r="AK49" i="15" s="1"/>
  <c r="G61" i="15"/>
  <c r="I206" i="15"/>
  <c r="AK206" i="15" s="1"/>
  <c r="G43" i="15"/>
  <c r="X26" i="15"/>
  <c r="AA26" i="15"/>
  <c r="AB26" i="15"/>
  <c r="AX26" i="15"/>
  <c r="W26" i="15"/>
  <c r="G50" i="15"/>
  <c r="G32" i="15"/>
  <c r="I46" i="15"/>
  <c r="AK46" i="15" s="1"/>
  <c r="X219" i="15"/>
  <c r="AX219" i="15"/>
  <c r="AA219" i="15"/>
  <c r="AB219" i="15"/>
  <c r="W219" i="15"/>
  <c r="G40" i="15"/>
  <c r="X180" i="15"/>
  <c r="W180" i="15"/>
  <c r="AA180" i="15"/>
  <c r="AB180" i="15"/>
  <c r="AX180" i="15"/>
  <c r="G219" i="15"/>
  <c r="X27" i="15"/>
  <c r="AA27" i="15"/>
  <c r="AX27" i="15"/>
  <c r="W27" i="15"/>
  <c r="AB27" i="15"/>
  <c r="G199" i="15"/>
  <c r="AB61" i="15"/>
  <c r="X61" i="15"/>
  <c r="AA61" i="15"/>
  <c r="W61" i="15"/>
  <c r="AX61" i="15"/>
  <c r="G203" i="15"/>
  <c r="X59" i="15"/>
  <c r="AB59" i="15"/>
  <c r="AA59" i="15"/>
  <c r="W59" i="15"/>
  <c r="AX59" i="15"/>
  <c r="G223" i="15"/>
  <c r="G59" i="15"/>
  <c r="I60" i="15"/>
  <c r="AK60" i="15" s="1"/>
  <c r="I13" i="15"/>
  <c r="AK13" i="15" s="1"/>
  <c r="I6" i="15"/>
  <c r="AK6" i="15" s="1"/>
  <c r="G9" i="15"/>
  <c r="X21" i="15"/>
  <c r="W21" i="15"/>
  <c r="AB21" i="15"/>
  <c r="AA21" i="15"/>
  <c r="AX21" i="15"/>
  <c r="W28" i="15"/>
  <c r="AB28" i="15"/>
  <c r="X28" i="15"/>
  <c r="AA28" i="15"/>
  <c r="AX28" i="15"/>
  <c r="I19" i="15"/>
  <c r="AK19" i="15" s="1"/>
  <c r="I31" i="15"/>
  <c r="AK31" i="15" s="1"/>
  <c r="G191" i="15"/>
  <c r="W39" i="15"/>
  <c r="AA39" i="15"/>
  <c r="AB39" i="15"/>
  <c r="AX39" i="15"/>
  <c r="X39" i="15"/>
  <c r="AX58" i="15"/>
  <c r="W58" i="15"/>
  <c r="AA58" i="15"/>
  <c r="AB58" i="15"/>
  <c r="X58" i="15"/>
  <c r="AB25" i="15"/>
  <c r="AA25" i="15"/>
  <c r="X25" i="15"/>
  <c r="W25" i="15"/>
  <c r="AX25" i="15"/>
  <c r="AA34" i="15"/>
  <c r="X34" i="15"/>
  <c r="AX34" i="15"/>
  <c r="W34" i="15"/>
  <c r="AB34" i="15"/>
  <c r="X226" i="15"/>
  <c r="AB226" i="15"/>
  <c r="AX226" i="15"/>
  <c r="AA226" i="15"/>
  <c r="W226" i="15"/>
  <c r="G6" i="15"/>
  <c r="I5" i="15"/>
  <c r="AK5" i="15" s="1"/>
  <c r="I25" i="15"/>
  <c r="AK25" i="15" s="1"/>
  <c r="G204" i="15"/>
  <c r="G55" i="15"/>
  <c r="G226" i="15"/>
  <c r="I36" i="15"/>
  <c r="AK36" i="15" s="1"/>
  <c r="W30" i="15"/>
  <c r="AA30" i="15"/>
  <c r="AB30" i="15"/>
  <c r="X30" i="15"/>
  <c r="AX30" i="15"/>
  <c r="AX186" i="15"/>
  <c r="X186" i="15"/>
  <c r="W186" i="15"/>
  <c r="AA186" i="15"/>
  <c r="AB186" i="15"/>
  <c r="AX201" i="15"/>
  <c r="AB201" i="15"/>
  <c r="X201" i="15"/>
  <c r="W201" i="15"/>
  <c r="AA201" i="15"/>
  <c r="AA10" i="15"/>
  <c r="AB10" i="15"/>
  <c r="W10" i="15"/>
  <c r="X10" i="15"/>
  <c r="AX10" i="15"/>
  <c r="G198" i="15"/>
  <c r="G184" i="15"/>
  <c r="G218" i="15"/>
  <c r="G27" i="15"/>
  <c r="I27" i="15"/>
  <c r="AK27" i="15" s="1"/>
  <c r="I61" i="15"/>
  <c r="AK61" i="15" s="1"/>
  <c r="G179" i="15"/>
  <c r="I59" i="15"/>
  <c r="AK59" i="15" s="1"/>
  <c r="AA181" i="15"/>
  <c r="X181" i="15"/>
  <c r="AX181" i="15"/>
  <c r="AB181" i="15"/>
  <c r="W181" i="15"/>
  <c r="AA194" i="15"/>
  <c r="X194" i="15"/>
  <c r="AB194" i="15"/>
  <c r="W194" i="15"/>
  <c r="AX194" i="15"/>
  <c r="G49" i="15"/>
  <c r="I21" i="15"/>
  <c r="AK21" i="15" s="1"/>
  <c r="AX33" i="15"/>
  <c r="W33" i="15"/>
  <c r="AA33" i="15"/>
  <c r="AB33" i="15"/>
  <c r="X33" i="15"/>
  <c r="G24" i="15"/>
  <c r="I28" i="15"/>
  <c r="AK28" i="15" s="1"/>
  <c r="AA195" i="15"/>
  <c r="W195" i="15"/>
  <c r="X195" i="15"/>
  <c r="AX195" i="15"/>
  <c r="AB195" i="15"/>
  <c r="X14" i="15"/>
  <c r="W14" i="15"/>
  <c r="AX14" i="15"/>
  <c r="AA14" i="15"/>
  <c r="AB14" i="15"/>
  <c r="G42" i="15"/>
  <c r="I39" i="15"/>
  <c r="AK39" i="15" s="1"/>
  <c r="AX218" i="15"/>
  <c r="AB218" i="15"/>
  <c r="W218" i="15"/>
  <c r="X218" i="15"/>
  <c r="AA218" i="15"/>
  <c r="G216" i="15"/>
  <c r="G195" i="15"/>
  <c r="I15" i="15"/>
  <c r="AK15" i="15" s="1"/>
  <c r="X37" i="15"/>
  <c r="AA37" i="15"/>
  <c r="W37" i="15"/>
  <c r="AX37" i="15"/>
  <c r="AB37" i="15"/>
  <c r="W177" i="15"/>
  <c r="AA177" i="15"/>
  <c r="AX177" i="15"/>
  <c r="X177" i="15"/>
  <c r="AB177" i="15"/>
  <c r="G207" i="15"/>
  <c r="G175" i="15"/>
  <c r="AA175" i="15"/>
  <c r="W175" i="15"/>
  <c r="AX175" i="15"/>
  <c r="AB175" i="15"/>
  <c r="X175" i="15"/>
  <c r="G46" i="15"/>
  <c r="G15" i="15"/>
  <c r="AB47" i="15"/>
  <c r="X47" i="15"/>
  <c r="AX47" i="15"/>
  <c r="W47" i="15"/>
  <c r="AA47" i="15"/>
  <c r="I52" i="15"/>
  <c r="AK52" i="15" s="1"/>
  <c r="G23" i="15"/>
  <c r="G62" i="15"/>
  <c r="AB206" i="15"/>
  <c r="X206" i="15"/>
  <c r="W206" i="15"/>
  <c r="AA206" i="15"/>
  <c r="AX206" i="15"/>
  <c r="G48" i="15"/>
  <c r="AA43" i="15"/>
  <c r="AB43" i="15"/>
  <c r="W43" i="15"/>
  <c r="X43" i="15"/>
  <c r="AX43" i="15"/>
  <c r="G63" i="15"/>
  <c r="X182" i="15"/>
  <c r="W182" i="15"/>
  <c r="AX182" i="15"/>
  <c r="AB182" i="15"/>
  <c r="AA182" i="15"/>
  <c r="I10" i="15"/>
  <c r="AK10" i="15" s="1"/>
  <c r="G176" i="15"/>
  <c r="AX216" i="15"/>
  <c r="X216" i="15"/>
  <c r="AA216" i="15"/>
  <c r="W216" i="15"/>
  <c r="AB216" i="15"/>
  <c r="G222" i="15"/>
  <c r="W172" i="15"/>
  <c r="X172" i="15"/>
  <c r="AX172" i="15"/>
  <c r="AA172" i="15"/>
  <c r="AB172" i="15"/>
  <c r="AA178" i="15"/>
  <c r="AB178" i="15"/>
  <c r="W178" i="15"/>
  <c r="X178" i="15"/>
  <c r="AX178" i="15"/>
  <c r="X200" i="15"/>
  <c r="AA200" i="15"/>
  <c r="AB200" i="15"/>
  <c r="AX200" i="15"/>
  <c r="W200" i="15"/>
  <c r="AB22" i="15"/>
  <c r="AA22" i="15"/>
  <c r="AX22" i="15"/>
  <c r="X22" i="15"/>
  <c r="W22" i="15"/>
  <c r="G8" i="15"/>
  <c r="AB40" i="15"/>
  <c r="AX40" i="15"/>
  <c r="AA40" i="15"/>
  <c r="W40" i="15"/>
  <c r="X40" i="15"/>
  <c r="G17" i="15"/>
  <c r="G60" i="15"/>
  <c r="AA17" i="15"/>
  <c r="AB17" i="15"/>
  <c r="W17" i="15"/>
  <c r="AX17" i="15"/>
  <c r="X17" i="15"/>
  <c r="G25" i="15"/>
  <c r="I33" i="15"/>
  <c r="AK33" i="15" s="1"/>
  <c r="G26" i="15"/>
  <c r="G10" i="15"/>
  <c r="I14" i="15"/>
  <c r="AK14" i="15" s="1"/>
  <c r="G34" i="15"/>
  <c r="G45" i="15"/>
  <c r="G150" i="15"/>
  <c r="AB151" i="15"/>
  <c r="W151" i="15"/>
  <c r="AX151" i="15"/>
  <c r="AA151" i="15"/>
  <c r="X151" i="15"/>
  <c r="G151" i="15"/>
  <c r="I148" i="15"/>
  <c r="AK148" i="15" s="1"/>
  <c r="AL148" i="15" s="1"/>
  <c r="AI148" i="15" s="1"/>
  <c r="AO148" i="15" s="1"/>
  <c r="AB71" i="15"/>
  <c r="W71" i="15"/>
  <c r="X71" i="15"/>
  <c r="AX71" i="15"/>
  <c r="AA71" i="15"/>
  <c r="G71" i="15"/>
  <c r="G126" i="15"/>
  <c r="AB126" i="15"/>
  <c r="AX126" i="15"/>
  <c r="X126" i="15"/>
  <c r="AA126" i="15"/>
  <c r="W126" i="15"/>
  <c r="G163" i="15"/>
  <c r="G108" i="15"/>
  <c r="G116" i="15"/>
  <c r="AB170" i="15"/>
  <c r="X170" i="15"/>
  <c r="AX170" i="15"/>
  <c r="AA170" i="15"/>
  <c r="W170" i="15"/>
  <c r="G208" i="15"/>
  <c r="AX132" i="15"/>
  <c r="AB132" i="15"/>
  <c r="X132" i="15"/>
  <c r="W132" i="15"/>
  <c r="AA132" i="15"/>
  <c r="X79" i="15"/>
  <c r="AB79" i="15"/>
  <c r="AA79" i="15"/>
  <c r="AX79" i="15"/>
  <c r="W79" i="15"/>
  <c r="G107" i="15"/>
  <c r="AX116" i="15"/>
  <c r="AB116" i="15"/>
  <c r="X116" i="15"/>
  <c r="W116" i="15"/>
  <c r="AA116" i="15"/>
  <c r="X130" i="15"/>
  <c r="AX130" i="15"/>
  <c r="AA130" i="15"/>
  <c r="AB130" i="15"/>
  <c r="W130" i="15"/>
  <c r="G128" i="15"/>
  <c r="G75" i="15"/>
  <c r="X152" i="15"/>
  <c r="W152" i="15"/>
  <c r="AX152" i="15"/>
  <c r="AA152" i="15"/>
  <c r="AB152" i="15"/>
  <c r="X75" i="15"/>
  <c r="AA75" i="15"/>
  <c r="AB75" i="15"/>
  <c r="W75" i="15"/>
  <c r="AX75" i="15"/>
  <c r="G93" i="15"/>
  <c r="X131" i="15"/>
  <c r="AA131" i="15"/>
  <c r="AX131" i="15"/>
  <c r="W131" i="15"/>
  <c r="AB131" i="15"/>
  <c r="AB208" i="15"/>
  <c r="W208" i="15"/>
  <c r="X208" i="15"/>
  <c r="AA208" i="15"/>
  <c r="AX208" i="15"/>
  <c r="G81" i="15"/>
  <c r="W81" i="15"/>
  <c r="AA81" i="15"/>
  <c r="AB81" i="15"/>
  <c r="X81" i="15"/>
  <c r="AX81" i="15"/>
  <c r="G160" i="15"/>
  <c r="W117" i="15"/>
  <c r="AX117" i="15"/>
  <c r="AA117" i="15"/>
  <c r="AB117" i="15"/>
  <c r="X117" i="15"/>
  <c r="G132" i="15"/>
  <c r="G105" i="15"/>
  <c r="AA115" i="15"/>
  <c r="X115" i="15"/>
  <c r="AB115" i="15"/>
  <c r="W115" i="15"/>
  <c r="AX115" i="15"/>
  <c r="G159" i="15"/>
  <c r="AB163" i="15"/>
  <c r="AX163" i="15"/>
  <c r="X163" i="15"/>
  <c r="AA163" i="15"/>
  <c r="W163" i="15"/>
  <c r="G118" i="15"/>
  <c r="G158" i="15"/>
  <c r="AB158" i="15"/>
  <c r="W158" i="15"/>
  <c r="AX158" i="15"/>
  <c r="AA158" i="15"/>
  <c r="X158" i="15"/>
  <c r="G130" i="15"/>
  <c r="G84" i="15"/>
  <c r="AB96" i="15"/>
  <c r="AA96" i="15"/>
  <c r="X96" i="15"/>
  <c r="AX96" i="15"/>
  <c r="W96" i="15"/>
  <c r="AB118" i="15"/>
  <c r="X118" i="15"/>
  <c r="W118" i="15"/>
  <c r="AA118" i="15"/>
  <c r="AX118" i="15"/>
  <c r="G79" i="15"/>
  <c r="G169" i="15"/>
  <c r="X105" i="15"/>
  <c r="W105" i="15"/>
  <c r="AX105" i="15"/>
  <c r="AB105" i="15"/>
  <c r="AA105" i="15"/>
  <c r="G170" i="15"/>
  <c r="X128" i="15"/>
  <c r="AA128" i="15"/>
  <c r="AX128" i="15"/>
  <c r="AB128" i="15"/>
  <c r="W128" i="15"/>
  <c r="AB159" i="15"/>
  <c r="W159" i="15"/>
  <c r="AX159" i="15"/>
  <c r="AA159" i="15"/>
  <c r="X159" i="15"/>
  <c r="AB84" i="15"/>
  <c r="AX84" i="15"/>
  <c r="X84" i="15"/>
  <c r="W84" i="15"/>
  <c r="AA84" i="15"/>
  <c r="G117" i="15"/>
  <c r="W107" i="15"/>
  <c r="X107" i="15"/>
  <c r="AA107" i="15"/>
  <c r="AX107" i="15"/>
  <c r="AB107" i="15"/>
  <c r="V158" i="15"/>
  <c r="AU158" i="15"/>
  <c r="G67" i="15"/>
  <c r="AX73" i="15"/>
  <c r="AB209" i="15"/>
  <c r="AX209" i="15"/>
  <c r="W209" i="15"/>
  <c r="X209" i="15"/>
  <c r="AA209" i="15"/>
  <c r="X169" i="15"/>
  <c r="AA169" i="15"/>
  <c r="AX169" i="15"/>
  <c r="AB169" i="15"/>
  <c r="W169" i="15"/>
  <c r="AB93" i="15"/>
  <c r="AA93" i="15"/>
  <c r="W93" i="15"/>
  <c r="AX93" i="15"/>
  <c r="X93" i="15"/>
  <c r="G133" i="15"/>
  <c r="G96" i="15"/>
  <c r="AL67" i="15"/>
  <c r="AI67" i="15" s="1"/>
  <c r="AO67" i="15" s="1"/>
  <c r="AM67" i="15"/>
  <c r="AN67" i="15" s="1"/>
  <c r="W108" i="15"/>
  <c r="AA108" i="15"/>
  <c r="AB108" i="15"/>
  <c r="AX108" i="15"/>
  <c r="X108" i="15"/>
  <c r="AA133" i="15"/>
  <c r="AB133" i="15"/>
  <c r="W133" i="15"/>
  <c r="X133" i="15"/>
  <c r="AX133" i="15"/>
  <c r="G115" i="15"/>
  <c r="G209" i="15"/>
  <c r="AB67" i="15"/>
  <c r="AA67" i="15"/>
  <c r="X67" i="15"/>
  <c r="W67" i="15"/>
  <c r="AX67" i="15"/>
  <c r="G131" i="15"/>
  <c r="G152" i="15"/>
  <c r="W160" i="15"/>
  <c r="AA160" i="15"/>
  <c r="AB160" i="15"/>
  <c r="X160" i="15"/>
  <c r="AX160" i="15"/>
  <c r="AB149" i="15"/>
  <c r="X149" i="15"/>
  <c r="W149" i="15"/>
  <c r="AX149" i="15"/>
  <c r="AA149" i="15"/>
  <c r="X73" i="15"/>
  <c r="G149" i="15"/>
  <c r="W73" i="15"/>
  <c r="AA73" i="15"/>
  <c r="G148" i="15"/>
  <c r="X148" i="15"/>
  <c r="AB148" i="15"/>
  <c r="AX148" i="15"/>
  <c r="AA148" i="15"/>
  <c r="W148" i="15"/>
  <c r="W112" i="15"/>
  <c r="AB112" i="15"/>
  <c r="X112" i="15"/>
  <c r="AA140" i="15"/>
  <c r="AX112" i="15"/>
  <c r="AB140" i="15"/>
  <c r="X140" i="15"/>
  <c r="W140" i="15"/>
  <c r="G119" i="15"/>
  <c r="G171" i="15"/>
  <c r="I157" i="15"/>
  <c r="AK157" i="15" s="1"/>
  <c r="I77" i="15"/>
  <c r="AK77" i="15" s="1"/>
  <c r="G99" i="15"/>
  <c r="I99" i="15"/>
  <c r="AK99" i="15" s="1"/>
  <c r="AX156" i="15"/>
  <c r="W156" i="15"/>
  <c r="AB156" i="15"/>
  <c r="AA156" i="15"/>
  <c r="X156" i="15"/>
  <c r="G143" i="15"/>
  <c r="I80" i="15"/>
  <c r="AK80" i="15" s="1"/>
  <c r="I135" i="15"/>
  <c r="AK135" i="15" s="1"/>
  <c r="AX161" i="15"/>
  <c r="X161" i="15"/>
  <c r="AA161" i="15"/>
  <c r="AB161" i="15"/>
  <c r="W161" i="15"/>
  <c r="AA80" i="15"/>
  <c r="AX80" i="15"/>
  <c r="AB80" i="15"/>
  <c r="W80" i="15"/>
  <c r="X80" i="15"/>
  <c r="I144" i="15"/>
  <c r="AK144" i="15" s="1"/>
  <c r="AX97" i="15"/>
  <c r="AA97" i="15"/>
  <c r="AB97" i="15"/>
  <c r="X97" i="15"/>
  <c r="W97" i="15"/>
  <c r="G64" i="15"/>
  <c r="I69" i="15"/>
  <c r="AK69" i="15" s="1"/>
  <c r="I125" i="15"/>
  <c r="AK125" i="15" s="1"/>
  <c r="G214" i="15"/>
  <c r="AB103" i="15"/>
  <c r="AX103" i="15"/>
  <c r="AA103" i="15"/>
  <c r="W103" i="15"/>
  <c r="X103" i="15"/>
  <c r="G89" i="15"/>
  <c r="I65" i="15"/>
  <c r="AK65" i="15" s="1"/>
  <c r="G104" i="15"/>
  <c r="I85" i="15"/>
  <c r="AK85" i="15" s="1"/>
  <c r="AX68" i="15"/>
  <c r="AB68" i="15"/>
  <c r="AA68" i="15"/>
  <c r="X68" i="15"/>
  <c r="W68" i="15"/>
  <c r="G114" i="15"/>
  <c r="I78" i="15"/>
  <c r="AK78" i="15" s="1"/>
  <c r="AA166" i="15"/>
  <c r="AX166" i="15"/>
  <c r="AB166" i="15"/>
  <c r="W166" i="15"/>
  <c r="X166" i="15"/>
  <c r="I138" i="15"/>
  <c r="AK138" i="15" s="1"/>
  <c r="I97" i="15"/>
  <c r="AK97" i="15" s="1"/>
  <c r="AM91" i="15"/>
  <c r="AN91" i="15" s="1"/>
  <c r="AL91" i="15"/>
  <c r="AI91" i="15" s="1"/>
  <c r="AO91" i="15" s="1"/>
  <c r="AB145" i="15"/>
  <c r="AX145" i="15"/>
  <c r="AA145" i="15"/>
  <c r="X145" i="15"/>
  <c r="W145" i="15"/>
  <c r="AA127" i="15"/>
  <c r="AX127" i="15"/>
  <c r="AB127" i="15"/>
  <c r="X127" i="15"/>
  <c r="W127" i="15"/>
  <c r="I155" i="15"/>
  <c r="AK155" i="15" s="1"/>
  <c r="AX69" i="15"/>
  <c r="AA69" i="15"/>
  <c r="AB69" i="15"/>
  <c r="W69" i="15"/>
  <c r="X69" i="15"/>
  <c r="G92" i="15"/>
  <c r="G137" i="15"/>
  <c r="AX153" i="15"/>
  <c r="X153" i="15"/>
  <c r="AB153" i="15"/>
  <c r="AA153" i="15"/>
  <c r="W153" i="15"/>
  <c r="G77" i="15"/>
  <c r="G165" i="15"/>
  <c r="AB125" i="15"/>
  <c r="AX125" i="15"/>
  <c r="AA125" i="15"/>
  <c r="W125" i="15"/>
  <c r="X125" i="15"/>
  <c r="AX134" i="15"/>
  <c r="AB134" i="15"/>
  <c r="AA134" i="15"/>
  <c r="W134" i="15"/>
  <c r="X134" i="15"/>
  <c r="W65" i="15"/>
  <c r="AB65" i="15"/>
  <c r="AX65" i="15"/>
  <c r="AA65" i="15"/>
  <c r="X65" i="15"/>
  <c r="W167" i="15"/>
  <c r="AB167" i="15"/>
  <c r="AA167" i="15"/>
  <c r="X167" i="15"/>
  <c r="AX167" i="15"/>
  <c r="AX147" i="15"/>
  <c r="AB147" i="15"/>
  <c r="AA147" i="15"/>
  <c r="W147" i="15"/>
  <c r="X147" i="15"/>
  <c r="I137" i="15"/>
  <c r="AK137" i="15" s="1"/>
  <c r="I74" i="15"/>
  <c r="AK74" i="15" s="1"/>
  <c r="I166" i="15"/>
  <c r="AK166" i="15" s="1"/>
  <c r="I82" i="15"/>
  <c r="AK82" i="15" s="1"/>
  <c r="G102" i="15"/>
  <c r="G65" i="15"/>
  <c r="I168" i="15"/>
  <c r="AK168" i="15" s="1"/>
  <c r="G147" i="15"/>
  <c r="I127" i="15"/>
  <c r="AK127" i="15" s="1"/>
  <c r="I146" i="15"/>
  <c r="AK146" i="15" s="1"/>
  <c r="G82" i="15"/>
  <c r="AA136" i="15"/>
  <c r="AB136" i="15"/>
  <c r="AX136" i="15"/>
  <c r="W136" i="15"/>
  <c r="X136" i="15"/>
  <c r="I171" i="15"/>
  <c r="AK171" i="15" s="1"/>
  <c r="I66" i="15"/>
  <c r="AK66" i="15" s="1"/>
  <c r="AB83" i="15"/>
  <c r="AX83" i="15"/>
  <c r="AA83" i="15"/>
  <c r="W83" i="15"/>
  <c r="X83" i="15"/>
  <c r="AB94" i="15"/>
  <c r="AX94" i="15"/>
  <c r="AA94" i="15"/>
  <c r="X94" i="15"/>
  <c r="W94" i="15"/>
  <c r="AX139" i="15"/>
  <c r="AA139" i="15"/>
  <c r="AB139" i="15"/>
  <c r="W139" i="15"/>
  <c r="X139" i="15"/>
  <c r="AA146" i="15"/>
  <c r="AB146" i="15"/>
  <c r="AX146" i="15"/>
  <c r="X146" i="15"/>
  <c r="W146" i="15"/>
  <c r="I110" i="15"/>
  <c r="AK110" i="15" s="1"/>
  <c r="W171" i="15"/>
  <c r="AX171" i="15"/>
  <c r="AB171" i="15"/>
  <c r="AA171" i="15"/>
  <c r="X171" i="15"/>
  <c r="AA66" i="15"/>
  <c r="AB66" i="15"/>
  <c r="AX66" i="15"/>
  <c r="X66" i="15"/>
  <c r="W66" i="15"/>
  <c r="AA100" i="15"/>
  <c r="AX100" i="15"/>
  <c r="AB100" i="15"/>
  <c r="X100" i="15"/>
  <c r="W100" i="15"/>
  <c r="AB88" i="15"/>
  <c r="AX88" i="15"/>
  <c r="AA88" i="15"/>
  <c r="X88" i="15"/>
  <c r="W88" i="15"/>
  <c r="G111" i="15"/>
  <c r="G124" i="15"/>
  <c r="AA122" i="15"/>
  <c r="AX122" i="15"/>
  <c r="AB122" i="15"/>
  <c r="X122" i="15"/>
  <c r="W122" i="15"/>
  <c r="I102" i="15"/>
  <c r="AK102" i="15" s="1"/>
  <c r="I134" i="15"/>
  <c r="AK134" i="15" s="1"/>
  <c r="G68" i="15"/>
  <c r="G156" i="15"/>
  <c r="G85" i="15"/>
  <c r="G136" i="15"/>
  <c r="AX144" i="15"/>
  <c r="AA144" i="15"/>
  <c r="AB144" i="15"/>
  <c r="W144" i="15"/>
  <c r="X144" i="15"/>
  <c r="I64" i="15"/>
  <c r="AK64" i="15" s="1"/>
  <c r="AX99" i="15"/>
  <c r="AA99" i="15"/>
  <c r="AB99" i="15"/>
  <c r="W99" i="15"/>
  <c r="X99" i="15"/>
  <c r="I156" i="15"/>
  <c r="AK156" i="15" s="1"/>
  <c r="AA89" i="15"/>
  <c r="AB89" i="15"/>
  <c r="AX89" i="15"/>
  <c r="X89" i="15"/>
  <c r="W89" i="15"/>
  <c r="I68" i="15"/>
  <c r="AK68" i="15" s="1"/>
  <c r="G153" i="15"/>
  <c r="G109" i="15"/>
  <c r="I147" i="15"/>
  <c r="AK147" i="15" s="1"/>
  <c r="AB74" i="15"/>
  <c r="AX74" i="15"/>
  <c r="AA74" i="15"/>
  <c r="X74" i="15"/>
  <c r="W74" i="15"/>
  <c r="G146" i="15"/>
  <c r="I136" i="15"/>
  <c r="AK136" i="15" s="1"/>
  <c r="I104" i="15"/>
  <c r="AK104" i="15" s="1"/>
  <c r="I113" i="15"/>
  <c r="AK113" i="15" s="1"/>
  <c r="AA238" i="15"/>
  <c r="AX238" i="15"/>
  <c r="AB238" i="15"/>
  <c r="W238" i="15"/>
  <c r="X238" i="15"/>
  <c r="G106" i="15"/>
  <c r="G122" i="15"/>
  <c r="G134" i="15"/>
  <c r="G103" i="15"/>
  <c r="G94" i="15"/>
  <c r="I164" i="15"/>
  <c r="AK164" i="15" s="1"/>
  <c r="AB121" i="15"/>
  <c r="AA121" i="15"/>
  <c r="AX121" i="15"/>
  <c r="W121" i="15"/>
  <c r="X121" i="15"/>
  <c r="I165" i="15"/>
  <c r="AK165" i="15" s="1"/>
  <c r="AB141" i="15"/>
  <c r="AA141" i="15"/>
  <c r="AX141" i="15"/>
  <c r="W141" i="15"/>
  <c r="X141" i="15"/>
  <c r="I142" i="15"/>
  <c r="AK142" i="15" s="1"/>
  <c r="I101" i="15"/>
  <c r="AK101" i="15" s="1"/>
  <c r="I129" i="15"/>
  <c r="AK129" i="15" s="1"/>
  <c r="G73" i="15"/>
  <c r="I154" i="15"/>
  <c r="AK154" i="15" s="1"/>
  <c r="G129" i="15"/>
  <c r="I109" i="15"/>
  <c r="AK109" i="15" s="1"/>
  <c r="AB110" i="15"/>
  <c r="AA110" i="15"/>
  <c r="AX110" i="15"/>
  <c r="X110" i="15"/>
  <c r="W110" i="15"/>
  <c r="AX143" i="15"/>
  <c r="AA143" i="15"/>
  <c r="AB143" i="15"/>
  <c r="X143" i="15"/>
  <c r="W143" i="15"/>
  <c r="AA95" i="15"/>
  <c r="AX95" i="15"/>
  <c r="AB95" i="15"/>
  <c r="X95" i="15"/>
  <c r="W95" i="15"/>
  <c r="AX111" i="15"/>
  <c r="AB111" i="15"/>
  <c r="AA111" i="15"/>
  <c r="W111" i="15"/>
  <c r="X111" i="15"/>
  <c r="I120" i="15"/>
  <c r="AK120" i="15" s="1"/>
  <c r="AL120" i="15" s="1"/>
  <c r="I92" i="15"/>
  <c r="AK92" i="15" s="1"/>
  <c r="G154" i="15"/>
  <c r="G100" i="15"/>
  <c r="AX135" i="15"/>
  <c r="AB135" i="15"/>
  <c r="AA135" i="15"/>
  <c r="W135" i="15"/>
  <c r="X135" i="15"/>
  <c r="AB64" i="15"/>
  <c r="AA64" i="15"/>
  <c r="AX64" i="15"/>
  <c r="W64" i="15"/>
  <c r="X64" i="15"/>
  <c r="I161" i="15"/>
  <c r="AK161" i="15" s="1"/>
  <c r="I123" i="15"/>
  <c r="AK123" i="15" s="1"/>
  <c r="G144" i="15"/>
  <c r="G164" i="15"/>
  <c r="AX70" i="15"/>
  <c r="AA70" i="15"/>
  <c r="AB70" i="15"/>
  <c r="X70" i="15"/>
  <c r="W70" i="15"/>
  <c r="G168" i="15"/>
  <c r="AB138" i="15"/>
  <c r="AX138" i="15"/>
  <c r="AA138" i="15"/>
  <c r="X138" i="15"/>
  <c r="W138" i="15"/>
  <c r="AB155" i="15"/>
  <c r="AX155" i="15"/>
  <c r="AA155" i="15"/>
  <c r="X155" i="15"/>
  <c r="W155" i="15"/>
  <c r="AB113" i="15"/>
  <c r="AX113" i="15"/>
  <c r="AA113" i="15"/>
  <c r="X113" i="15"/>
  <c r="W113" i="15"/>
  <c r="AX137" i="15"/>
  <c r="AB137" i="15"/>
  <c r="AA137" i="15"/>
  <c r="W137" i="15"/>
  <c r="X137" i="15"/>
  <c r="AA82" i="15"/>
  <c r="AX82" i="15"/>
  <c r="AB82" i="15"/>
  <c r="W82" i="15"/>
  <c r="X82" i="15"/>
  <c r="AA129" i="15"/>
  <c r="AB129" i="15"/>
  <c r="AX129" i="15"/>
  <c r="X129" i="15"/>
  <c r="W129" i="15"/>
  <c r="G74" i="15"/>
  <c r="G238" i="15"/>
  <c r="AX165" i="15"/>
  <c r="AB165" i="15"/>
  <c r="AA165" i="15"/>
  <c r="W165" i="15"/>
  <c r="X165" i="15"/>
  <c r="AA142" i="15"/>
  <c r="AX142" i="15"/>
  <c r="AB142" i="15"/>
  <c r="X142" i="15"/>
  <c r="W142" i="15"/>
  <c r="I87" i="15"/>
  <c r="AK87" i="15" s="1"/>
  <c r="AA101" i="15"/>
  <c r="AX101" i="15"/>
  <c r="AB101" i="15"/>
  <c r="X101" i="15"/>
  <c r="W101" i="15"/>
  <c r="G167" i="15"/>
  <c r="G155" i="15"/>
  <c r="I72" i="15"/>
  <c r="AK72" i="15" s="1"/>
  <c r="G88" i="15"/>
  <c r="AB109" i="15"/>
  <c r="AX109" i="15"/>
  <c r="AA109" i="15"/>
  <c r="X109" i="15"/>
  <c r="W109" i="15"/>
  <c r="G66" i="15"/>
  <c r="G78" i="15"/>
  <c r="G86" i="15"/>
  <c r="I143" i="15"/>
  <c r="AK143" i="15" s="1"/>
  <c r="I95" i="15"/>
  <c r="AK95" i="15" s="1"/>
  <c r="AA92" i="15"/>
  <c r="AX92" i="15"/>
  <c r="AB92" i="15"/>
  <c r="W92" i="15"/>
  <c r="X92" i="15"/>
  <c r="G141" i="15"/>
  <c r="I124" i="15"/>
  <c r="AK124" i="15" s="1"/>
  <c r="I94" i="15"/>
  <c r="AK94" i="15" s="1"/>
  <c r="AA157" i="15"/>
  <c r="AX157" i="15"/>
  <c r="X157" i="15"/>
  <c r="AB157" i="15"/>
  <c r="W157" i="15"/>
  <c r="AX102" i="15"/>
  <c r="AB102" i="15"/>
  <c r="AA102" i="15"/>
  <c r="W102" i="15"/>
  <c r="X102" i="15"/>
  <c r="G120" i="15"/>
  <c r="AX162" i="15"/>
  <c r="AA162" i="15"/>
  <c r="AB162" i="15"/>
  <c r="X162" i="15"/>
  <c r="W162" i="15"/>
  <c r="AX123" i="15"/>
  <c r="AB123" i="15"/>
  <c r="AA123" i="15"/>
  <c r="W123" i="15"/>
  <c r="X123" i="15"/>
  <c r="AX86" i="15"/>
  <c r="AB86" i="15"/>
  <c r="AA86" i="15"/>
  <c r="X86" i="15"/>
  <c r="W86" i="15"/>
  <c r="I103" i="15"/>
  <c r="AK103" i="15" s="1"/>
  <c r="AB85" i="15"/>
  <c r="AA85" i="15"/>
  <c r="AX85" i="15"/>
  <c r="W85" i="15"/>
  <c r="X85" i="15"/>
  <c r="G76" i="15"/>
  <c r="G138" i="15"/>
  <c r="G80" i="15"/>
  <c r="I145" i="15"/>
  <c r="AK145" i="15" s="1"/>
  <c r="I86" i="15"/>
  <c r="AK86" i="15" s="1"/>
  <c r="G70" i="15"/>
  <c r="G110" i="15"/>
  <c r="G166" i="15"/>
  <c r="I114" i="15"/>
  <c r="AK114" i="15" s="1"/>
  <c r="G161" i="15"/>
  <c r="G97" i="15"/>
  <c r="G123" i="15"/>
  <c r="G157" i="15"/>
  <c r="AB87" i="15"/>
  <c r="AA87" i="15"/>
  <c r="AX87" i="15"/>
  <c r="W87" i="15"/>
  <c r="X87" i="15"/>
  <c r="G127" i="15"/>
  <c r="I90" i="15"/>
  <c r="AK90" i="15" s="1"/>
  <c r="AB72" i="15"/>
  <c r="AX72" i="15"/>
  <c r="AA72" i="15"/>
  <c r="X72" i="15"/>
  <c r="W72" i="15"/>
  <c r="I76" i="15"/>
  <c r="AK76" i="15" s="1"/>
  <c r="G145" i="15"/>
  <c r="G125" i="15"/>
  <c r="AA119" i="15"/>
  <c r="AB119" i="15"/>
  <c r="AX119" i="15"/>
  <c r="W119" i="15"/>
  <c r="X119" i="15"/>
  <c r="I98" i="15"/>
  <c r="AK98" i="15" s="1"/>
  <c r="I214" i="15"/>
  <c r="AK214" i="15" s="1"/>
  <c r="G98" i="15"/>
  <c r="I106" i="15"/>
  <c r="AK106" i="15" s="1"/>
  <c r="I83" i="15"/>
  <c r="AK83" i="15" s="1"/>
  <c r="AA214" i="15"/>
  <c r="AB214" i="15"/>
  <c r="AX214" i="15"/>
  <c r="X214" i="15"/>
  <c r="W214" i="15"/>
  <c r="I88" i="15"/>
  <c r="AK88" i="15" s="1"/>
  <c r="AB106" i="15"/>
  <c r="AA106" i="15"/>
  <c r="AX106" i="15"/>
  <c r="W106" i="15"/>
  <c r="X106" i="15"/>
  <c r="G162" i="15"/>
  <c r="I70" i="15"/>
  <c r="AK70" i="15" s="1"/>
  <c r="I122" i="15"/>
  <c r="AK122" i="15" s="1"/>
  <c r="AM73" i="15"/>
  <c r="AN73" i="15" s="1"/>
  <c r="AL73" i="15"/>
  <c r="AI73" i="15" s="1"/>
  <c r="AO73" i="15" s="1"/>
  <c r="AA77" i="15"/>
  <c r="AB77" i="15"/>
  <c r="AX77" i="15"/>
  <c r="W77" i="15"/>
  <c r="X77" i="15"/>
  <c r="I89" i="15"/>
  <c r="AK89" i="15" s="1"/>
  <c r="G135" i="15"/>
  <c r="I139" i="15"/>
  <c r="AK139" i="15" s="1"/>
  <c r="G121" i="15"/>
  <c r="I162" i="15"/>
  <c r="AK162" i="15" s="1"/>
  <c r="AX78" i="15"/>
  <c r="AA78" i="15"/>
  <c r="AB78" i="15"/>
  <c r="X78" i="15"/>
  <c r="W78" i="15"/>
  <c r="I153" i="15"/>
  <c r="AK153" i="15" s="1"/>
  <c r="G95" i="15"/>
  <c r="G101" i="15"/>
  <c r="I167" i="15"/>
  <c r="AK167" i="15" s="1"/>
  <c r="AB164" i="15"/>
  <c r="AA164" i="15"/>
  <c r="X164" i="15"/>
  <c r="AX164" i="15"/>
  <c r="W164" i="15"/>
  <c r="I121" i="15"/>
  <c r="AK121" i="15" s="1"/>
  <c r="I141" i="15"/>
  <c r="AK141" i="15" s="1"/>
  <c r="AX168" i="15"/>
  <c r="AA168" i="15"/>
  <c r="AB168" i="15"/>
  <c r="W168" i="15"/>
  <c r="X168" i="15"/>
  <c r="AB154" i="15"/>
  <c r="AX154" i="15"/>
  <c r="AA154" i="15"/>
  <c r="X154" i="15"/>
  <c r="W154" i="15"/>
  <c r="AX104" i="15"/>
  <c r="AA104" i="15"/>
  <c r="AB104" i="15"/>
  <c r="X104" i="15"/>
  <c r="W104" i="15"/>
  <c r="I238" i="15"/>
  <c r="AK238" i="15" s="1"/>
  <c r="G72" i="15"/>
  <c r="G90" i="15"/>
  <c r="AB114" i="15"/>
  <c r="AX114" i="15"/>
  <c r="AA114" i="15"/>
  <c r="X114" i="15"/>
  <c r="W114" i="15"/>
  <c r="I100" i="15"/>
  <c r="AK100" i="15" s="1"/>
  <c r="AB98" i="15"/>
  <c r="AX98" i="15"/>
  <c r="AA98" i="15"/>
  <c r="W98" i="15"/>
  <c r="X98" i="15"/>
  <c r="G87" i="15"/>
  <c r="G113" i="15"/>
  <c r="G91" i="15"/>
  <c r="G139" i="15"/>
  <c r="AX90" i="15"/>
  <c r="AB90" i="15"/>
  <c r="AA90" i="15"/>
  <c r="X90" i="15"/>
  <c r="W90" i="15"/>
  <c r="G83" i="15"/>
  <c r="AB124" i="15"/>
  <c r="AA124" i="15"/>
  <c r="AX124" i="15"/>
  <c r="W124" i="15"/>
  <c r="X124" i="15"/>
  <c r="I111" i="15"/>
  <c r="AK111" i="15" s="1"/>
  <c r="AX120" i="15"/>
  <c r="AB120" i="15"/>
  <c r="AA120" i="15"/>
  <c r="X120" i="15"/>
  <c r="W120" i="15"/>
  <c r="AB76" i="15"/>
  <c r="AA76" i="15"/>
  <c r="AX76" i="15"/>
  <c r="W76" i="15"/>
  <c r="X76" i="15"/>
  <c r="G69" i="15"/>
  <c r="I119" i="15"/>
  <c r="AK119" i="15" s="1"/>
  <c r="AL219" i="15" l="1"/>
  <c r="AI219" i="15" s="1"/>
  <c r="AO219" i="15" s="1"/>
  <c r="AQ219" i="15" s="1"/>
  <c r="AR219" i="15" s="1"/>
  <c r="AM118" i="15"/>
  <c r="AN118" i="15" s="1"/>
  <c r="AM170" i="15"/>
  <c r="AN170" i="15" s="1"/>
  <c r="AL182" i="15"/>
  <c r="AI182" i="15" s="1"/>
  <c r="AO182" i="15" s="1"/>
  <c r="AV182" i="15" s="1"/>
  <c r="AL216" i="15"/>
  <c r="AI216" i="15" s="1"/>
  <c r="AO216" i="15" s="1"/>
  <c r="AV216" i="15" s="1"/>
  <c r="AM185" i="15"/>
  <c r="AN185" i="15" s="1"/>
  <c r="AL173" i="15"/>
  <c r="AI173" i="15" s="1"/>
  <c r="AO173" i="15" s="1"/>
  <c r="AV173" i="15" s="1"/>
  <c r="AL108" i="15"/>
  <c r="AI108" i="15" s="1"/>
  <c r="AO108" i="15" s="1"/>
  <c r="AM184" i="15"/>
  <c r="AN184" i="15" s="1"/>
  <c r="AL203" i="15"/>
  <c r="AI203" i="15" s="1"/>
  <c r="AO203" i="15" s="1"/>
  <c r="AO163" i="15"/>
  <c r="AL188" i="15"/>
  <c r="AI188" i="15" s="1"/>
  <c r="AO188" i="15" s="1"/>
  <c r="AQ188" i="15" s="1"/>
  <c r="AR188" i="15" s="1"/>
  <c r="AL187" i="15"/>
  <c r="AI187" i="15" s="1"/>
  <c r="AO187" i="15" s="1"/>
  <c r="AV187" i="15" s="1"/>
  <c r="AM217" i="15"/>
  <c r="AN217" i="15" s="1"/>
  <c r="AM105" i="15"/>
  <c r="AN105" i="15" s="1"/>
  <c r="AL186" i="15"/>
  <c r="AI186" i="15" s="1"/>
  <c r="AO186" i="15" s="1"/>
  <c r="AL191" i="15"/>
  <c r="AI191" i="15" s="1"/>
  <c r="AO191" i="15" s="1"/>
  <c r="AQ191" i="15" s="1"/>
  <c r="AR191" i="15" s="1"/>
  <c r="AM163" i="15"/>
  <c r="AN163" i="15" s="1"/>
  <c r="AL177" i="15"/>
  <c r="AI177" i="15" s="1"/>
  <c r="AO177" i="15" s="1"/>
  <c r="AQ177" i="15" s="1"/>
  <c r="AR177" i="15" s="1"/>
  <c r="AL117" i="15"/>
  <c r="AI117" i="15" s="1"/>
  <c r="AO117" i="15" s="1"/>
  <c r="AL222" i="15"/>
  <c r="AI222" i="15" s="1"/>
  <c r="AO222" i="15" s="1"/>
  <c r="AP222" i="15" s="1"/>
  <c r="AL107" i="15"/>
  <c r="AI107" i="15" s="1"/>
  <c r="AO107" i="15" s="1"/>
  <c r="AM226" i="15"/>
  <c r="AN226" i="15" s="1"/>
  <c r="AL159" i="15"/>
  <c r="AI159" i="15" s="1"/>
  <c r="AO159" i="15" s="1"/>
  <c r="AL169" i="15"/>
  <c r="AI169" i="15" s="1"/>
  <c r="AO169" i="15" s="1"/>
  <c r="AQ169" i="15" s="1"/>
  <c r="AR169" i="15" s="1"/>
  <c r="AM223" i="15"/>
  <c r="AN223" i="15" s="1"/>
  <c r="AM197" i="15"/>
  <c r="AN197" i="15" s="1"/>
  <c r="AM149" i="15"/>
  <c r="AN149" i="15" s="1"/>
  <c r="AM160" i="15"/>
  <c r="AN160" i="15" s="1"/>
  <c r="AL71" i="15"/>
  <c r="AI71" i="15" s="1"/>
  <c r="AO71" i="15" s="1"/>
  <c r="AL199" i="15"/>
  <c r="AI199" i="15" s="1"/>
  <c r="AO199" i="15" s="1"/>
  <c r="AM93" i="15"/>
  <c r="AN93" i="15" s="1"/>
  <c r="AL175" i="15"/>
  <c r="AI175" i="15" s="1"/>
  <c r="AO175" i="15" s="1"/>
  <c r="AQ175" i="15" s="1"/>
  <c r="AR175" i="15" s="1"/>
  <c r="AM132" i="15"/>
  <c r="AN132" i="15" s="1"/>
  <c r="AM151" i="15"/>
  <c r="AN151" i="15" s="1"/>
  <c r="AM116" i="15"/>
  <c r="AN116" i="15" s="1"/>
  <c r="AL220" i="15"/>
  <c r="AI220" i="15" s="1"/>
  <c r="AO220" i="15" s="1"/>
  <c r="AQ220" i="15" s="1"/>
  <c r="AR220" i="15" s="1"/>
  <c r="AL218" i="15"/>
  <c r="AI218" i="15" s="1"/>
  <c r="AO218" i="15" s="1"/>
  <c r="AP218" i="15" s="1"/>
  <c r="AL200" i="15"/>
  <c r="AI200" i="15" s="1"/>
  <c r="AO200" i="15" s="1"/>
  <c r="AL115" i="15"/>
  <c r="AI115" i="15" s="1"/>
  <c r="AO115" i="15" s="1"/>
  <c r="AM180" i="15"/>
  <c r="AN180" i="15" s="1"/>
  <c r="AM193" i="15"/>
  <c r="AN193" i="15" s="1"/>
  <c r="AL128" i="15"/>
  <c r="AI128" i="15" s="1"/>
  <c r="AO128" i="15" s="1"/>
  <c r="AQ128" i="15" s="1"/>
  <c r="AR128" i="15" s="1"/>
  <c r="AM224" i="15"/>
  <c r="AN224" i="15" s="1"/>
  <c r="AM195" i="15"/>
  <c r="AN195" i="15" s="1"/>
  <c r="AL176" i="15"/>
  <c r="AI176" i="15" s="1"/>
  <c r="AO176" i="15" s="1"/>
  <c r="AL140" i="15"/>
  <c r="AI140" i="15" s="1"/>
  <c r="AO140" i="15" s="1"/>
  <c r="AQ140" i="15" s="1"/>
  <c r="AR140" i="15" s="1"/>
  <c r="AM130" i="15"/>
  <c r="AN130" i="15" s="1"/>
  <c r="AM225" i="15"/>
  <c r="AN225" i="15" s="1"/>
  <c r="AM81" i="15"/>
  <c r="AN81" i="15" s="1"/>
  <c r="AM190" i="15"/>
  <c r="AN190" i="15" s="1"/>
  <c r="AM131" i="15"/>
  <c r="AN131" i="15" s="1"/>
  <c r="AL150" i="15"/>
  <c r="AI150" i="15" s="1"/>
  <c r="AO150" i="15" s="1"/>
  <c r="AL194" i="15"/>
  <c r="AI194" i="15" s="1"/>
  <c r="AO194" i="15" s="1"/>
  <c r="AV194" i="15" s="1"/>
  <c r="AM221" i="15"/>
  <c r="AN221" i="15" s="1"/>
  <c r="AM198" i="15"/>
  <c r="AN198" i="15" s="1"/>
  <c r="AL204" i="15"/>
  <c r="AI204" i="15" s="1"/>
  <c r="AO204" i="15" s="1"/>
  <c r="AM84" i="15"/>
  <c r="AN84" i="15" s="1"/>
  <c r="AM178" i="15"/>
  <c r="AN178" i="15" s="1"/>
  <c r="AM79" i="15"/>
  <c r="AN79" i="15" s="1"/>
  <c r="AM189" i="15"/>
  <c r="AN189" i="15" s="1"/>
  <c r="AL209" i="15"/>
  <c r="AI209" i="15" s="1"/>
  <c r="AO209" i="15" s="1"/>
  <c r="AP209" i="15" s="1"/>
  <c r="AM158" i="15"/>
  <c r="AN158" i="15" s="1"/>
  <c r="AL55" i="15"/>
  <c r="AI55" i="15" s="1"/>
  <c r="AO55" i="15" s="1"/>
  <c r="AM174" i="15"/>
  <c r="AN174" i="15" s="1"/>
  <c r="AL133" i="15"/>
  <c r="AI133" i="15" s="1"/>
  <c r="AO133" i="15" s="1"/>
  <c r="AM201" i="15"/>
  <c r="AN201" i="15" s="1"/>
  <c r="AM181" i="15"/>
  <c r="AN181" i="15" s="1"/>
  <c r="AL96" i="15"/>
  <c r="AI96" i="15" s="1"/>
  <c r="AO96" i="15" s="1"/>
  <c r="AL208" i="15"/>
  <c r="AI208" i="15" s="1"/>
  <c r="AO208" i="15" s="1"/>
  <c r="AP208" i="15" s="1"/>
  <c r="AM192" i="15"/>
  <c r="AN192" i="15" s="1"/>
  <c r="AM112" i="15"/>
  <c r="AN112" i="15" s="1"/>
  <c r="AL183" i="15"/>
  <c r="AI183" i="15" s="1"/>
  <c r="AO183" i="15" s="1"/>
  <c r="AQ183" i="15" s="1"/>
  <c r="AR183" i="15" s="1"/>
  <c r="AM152" i="15"/>
  <c r="AN152" i="15" s="1"/>
  <c r="AM172" i="15"/>
  <c r="AN172" i="15" s="1"/>
  <c r="AL179" i="15"/>
  <c r="AI179" i="15" s="1"/>
  <c r="AO179" i="15" s="1"/>
  <c r="AQ179" i="15" s="1"/>
  <c r="AR179" i="15" s="1"/>
  <c r="AM75" i="15"/>
  <c r="AN75" i="15" s="1"/>
  <c r="AL126" i="15"/>
  <c r="AI126" i="15" s="1"/>
  <c r="AO126" i="15" s="1"/>
  <c r="AL196" i="15"/>
  <c r="AI196" i="15" s="1"/>
  <c r="AO196" i="15" s="1"/>
  <c r="AP196" i="15" s="1"/>
  <c r="AL12" i="15"/>
  <c r="AI12" i="15" s="1"/>
  <c r="AO12" i="15" s="1"/>
  <c r="AM12" i="15"/>
  <c r="AN12" i="15" s="1"/>
  <c r="AV192" i="15"/>
  <c r="AP192" i="15"/>
  <c r="AQ192" i="15"/>
  <c r="AR192" i="15" s="1"/>
  <c r="AQ172" i="15"/>
  <c r="AR172" i="15" s="1"/>
  <c r="AV172" i="15"/>
  <c r="AP172" i="15"/>
  <c r="AM7" i="15"/>
  <c r="AN7" i="15" s="1"/>
  <c r="AL7" i="15"/>
  <c r="AI7" i="15" s="1"/>
  <c r="AO7" i="15" s="1"/>
  <c r="AM22" i="15"/>
  <c r="AN22" i="15" s="1"/>
  <c r="AL22" i="15"/>
  <c r="AI22" i="15" s="1"/>
  <c r="AO22" i="15" s="1"/>
  <c r="AM54" i="15"/>
  <c r="AN54" i="15" s="1"/>
  <c r="AL54" i="15"/>
  <c r="AI54" i="15" s="1"/>
  <c r="AO54" i="15" s="1"/>
  <c r="AM15" i="15"/>
  <c r="AN15" i="15" s="1"/>
  <c r="AL15" i="15"/>
  <c r="AI15" i="15" s="1"/>
  <c r="AO15" i="15" s="1"/>
  <c r="AP226" i="15"/>
  <c r="AQ226" i="15"/>
  <c r="AR226" i="15" s="1"/>
  <c r="AV226" i="15"/>
  <c r="AL60" i="15"/>
  <c r="AI60" i="15" s="1"/>
  <c r="AO60" i="15" s="1"/>
  <c r="AM60" i="15"/>
  <c r="AN60" i="15" s="1"/>
  <c r="AL62" i="15"/>
  <c r="AI62" i="15" s="1"/>
  <c r="AO62" i="15" s="1"/>
  <c r="AM62" i="15"/>
  <c r="AN62" i="15" s="1"/>
  <c r="AV197" i="15"/>
  <c r="AQ197" i="15"/>
  <c r="AR197" i="15" s="1"/>
  <c r="AP197" i="15"/>
  <c r="AM9" i="15"/>
  <c r="AN9" i="15" s="1"/>
  <c r="AL9" i="15"/>
  <c r="AI9" i="15" s="1"/>
  <c r="AO9" i="15" s="1"/>
  <c r="AL44" i="15"/>
  <c r="AI44" i="15" s="1"/>
  <c r="AO44" i="15" s="1"/>
  <c r="AM44" i="15"/>
  <c r="AN44" i="15" s="1"/>
  <c r="AL53" i="15"/>
  <c r="AI53" i="15" s="1"/>
  <c r="AO53" i="15" s="1"/>
  <c r="AM53" i="15"/>
  <c r="AN53" i="15" s="1"/>
  <c r="AL210" i="15"/>
  <c r="AI210" i="15" s="1"/>
  <c r="AO210" i="15" s="1"/>
  <c r="AM210" i="15"/>
  <c r="AN210" i="15" s="1"/>
  <c r="AL11" i="15"/>
  <c r="AI11" i="15" s="1"/>
  <c r="AO11" i="15" s="1"/>
  <c r="AM11" i="15"/>
  <c r="AN11" i="15" s="1"/>
  <c r="AM29" i="15"/>
  <c r="AN29" i="15" s="1"/>
  <c r="AL29" i="15"/>
  <c r="AI29" i="15" s="1"/>
  <c r="AO29" i="15" s="1"/>
  <c r="AP174" i="15"/>
  <c r="AQ174" i="15"/>
  <c r="AR174" i="15" s="1"/>
  <c r="AV174" i="15"/>
  <c r="AL10" i="15"/>
  <c r="AI10" i="15" s="1"/>
  <c r="AO10" i="15" s="1"/>
  <c r="AM10" i="15"/>
  <c r="AN10" i="15" s="1"/>
  <c r="AQ184" i="15"/>
  <c r="AR184" i="15" s="1"/>
  <c r="AP184" i="15"/>
  <c r="AV184" i="15"/>
  <c r="AV180" i="15"/>
  <c r="AP180" i="15"/>
  <c r="AQ180" i="15"/>
  <c r="AR180" i="15" s="1"/>
  <c r="AM41" i="15"/>
  <c r="AN41" i="15" s="1"/>
  <c r="AL41" i="15"/>
  <c r="AI41" i="15" s="1"/>
  <c r="AO41" i="15" s="1"/>
  <c r="AL51" i="15"/>
  <c r="AI51" i="15" s="1"/>
  <c r="AO51" i="15" s="1"/>
  <c r="AM51" i="15"/>
  <c r="AN51" i="15" s="1"/>
  <c r="AL42" i="15"/>
  <c r="AI42" i="15" s="1"/>
  <c r="AO42" i="15" s="1"/>
  <c r="AM42" i="15"/>
  <c r="AN42" i="15" s="1"/>
  <c r="AP189" i="15"/>
  <c r="AV189" i="15"/>
  <c r="AQ189" i="15"/>
  <c r="AR189" i="15" s="1"/>
  <c r="AL27" i="15"/>
  <c r="AI27" i="15" s="1"/>
  <c r="AO27" i="15" s="1"/>
  <c r="AM27" i="15"/>
  <c r="AN27" i="15" s="1"/>
  <c r="AQ201" i="15"/>
  <c r="AR201" i="15" s="1"/>
  <c r="AV201" i="15"/>
  <c r="AP201" i="15"/>
  <c r="AM52" i="15"/>
  <c r="AN52" i="15" s="1"/>
  <c r="AL52" i="15"/>
  <c r="AM39" i="15"/>
  <c r="AN39" i="15" s="1"/>
  <c r="AL39" i="15"/>
  <c r="AI39" i="15" s="1"/>
  <c r="AO39" i="15" s="1"/>
  <c r="AL21" i="15"/>
  <c r="AI21" i="15" s="1"/>
  <c r="AO21" i="15" s="1"/>
  <c r="AM21" i="15"/>
  <c r="AN21" i="15" s="1"/>
  <c r="AL31" i="15"/>
  <c r="AI31" i="15" s="1"/>
  <c r="AO31" i="15" s="1"/>
  <c r="AM31" i="15"/>
  <c r="AN31" i="15" s="1"/>
  <c r="AM43" i="15"/>
  <c r="AN43" i="15" s="1"/>
  <c r="AL43" i="15"/>
  <c r="AI43" i="15" s="1"/>
  <c r="AO43" i="15" s="1"/>
  <c r="AM50" i="15"/>
  <c r="AN50" i="15" s="1"/>
  <c r="AL50" i="15"/>
  <c r="AI50" i="15" s="1"/>
  <c r="AO50" i="15" s="1"/>
  <c r="AL20" i="15"/>
  <c r="AI20" i="15" s="1"/>
  <c r="AO20" i="15" s="1"/>
  <c r="AM20" i="15"/>
  <c r="AN20" i="15" s="1"/>
  <c r="AP217" i="15"/>
  <c r="AV217" i="15"/>
  <c r="AQ217" i="15"/>
  <c r="AR217" i="15" s="1"/>
  <c r="AL207" i="15"/>
  <c r="AI207" i="15" s="1"/>
  <c r="AO207" i="15" s="1"/>
  <c r="AM207" i="15"/>
  <c r="AN207" i="15" s="1"/>
  <c r="AL40" i="15"/>
  <c r="AI40" i="15" s="1"/>
  <c r="AO40" i="15" s="1"/>
  <c r="AM40" i="15"/>
  <c r="AN40" i="15" s="1"/>
  <c r="AM206" i="15"/>
  <c r="AN206" i="15" s="1"/>
  <c r="AL206" i="15"/>
  <c r="AI206" i="15" s="1"/>
  <c r="AO206" i="15" s="1"/>
  <c r="AL13" i="15"/>
  <c r="AI13" i="15" s="1"/>
  <c r="AO13" i="15" s="1"/>
  <c r="AM13" i="15"/>
  <c r="AN13" i="15" s="1"/>
  <c r="AV195" i="15"/>
  <c r="AQ195" i="15"/>
  <c r="AR195" i="15" s="1"/>
  <c r="AP195" i="15"/>
  <c r="AP193" i="15"/>
  <c r="AV193" i="15"/>
  <c r="AQ193" i="15"/>
  <c r="AR193" i="15" s="1"/>
  <c r="AL49" i="15"/>
  <c r="AI49" i="15" s="1"/>
  <c r="AO49" i="15" s="1"/>
  <c r="AM49" i="15"/>
  <c r="AN49" i="15" s="1"/>
  <c r="AM23" i="15"/>
  <c r="AN23" i="15" s="1"/>
  <c r="AL23" i="15"/>
  <c r="AI23" i="15" s="1"/>
  <c r="AO23" i="15" s="1"/>
  <c r="AL47" i="15"/>
  <c r="AI47" i="15" s="1"/>
  <c r="AO47" i="15" s="1"/>
  <c r="AM47" i="15"/>
  <c r="AN47" i="15" s="1"/>
  <c r="AL6" i="15"/>
  <c r="AI6" i="15" s="1"/>
  <c r="AO6" i="15" s="1"/>
  <c r="AM6" i="15"/>
  <c r="AN6" i="15" s="1"/>
  <c r="AM26" i="15"/>
  <c r="AN26" i="15" s="1"/>
  <c r="AL26" i="15"/>
  <c r="AI26" i="15" s="1"/>
  <c r="AO26" i="15" s="1"/>
  <c r="AM8" i="15"/>
  <c r="AN8" i="15" s="1"/>
  <c r="AL8" i="15"/>
  <c r="AI8" i="15" s="1"/>
  <c r="AO8" i="15" s="1"/>
  <c r="AM37" i="15"/>
  <c r="AN37" i="15" s="1"/>
  <c r="AL37" i="15"/>
  <c r="AI37" i="15" s="1"/>
  <c r="AO37" i="15" s="1"/>
  <c r="AM28" i="15"/>
  <c r="AN28" i="15" s="1"/>
  <c r="AL28" i="15"/>
  <c r="AI28" i="15" s="1"/>
  <c r="AO28" i="15" s="1"/>
  <c r="AM63" i="15"/>
  <c r="AN63" i="15" s="1"/>
  <c r="AL63" i="15"/>
  <c r="AI63" i="15" s="1"/>
  <c r="AO63" i="15" s="1"/>
  <c r="AQ185" i="15"/>
  <c r="AR185" i="15" s="1"/>
  <c r="AP185" i="15"/>
  <c r="AV185" i="15"/>
  <c r="AL59" i="15"/>
  <c r="AI59" i="15" s="1"/>
  <c r="AO59" i="15" s="1"/>
  <c r="AM59" i="15"/>
  <c r="AN59" i="15" s="1"/>
  <c r="AL36" i="15"/>
  <c r="AI36" i="15" s="1"/>
  <c r="AO36" i="15" s="1"/>
  <c r="AM36" i="15"/>
  <c r="AN36" i="15" s="1"/>
  <c r="F5" i="15"/>
  <c r="L5" i="15" s="1"/>
  <c r="AM56" i="15"/>
  <c r="AN56" i="15" s="1"/>
  <c r="AL56" i="15"/>
  <c r="AI56" i="15" s="1"/>
  <c r="AO56" i="15" s="1"/>
  <c r="AL18" i="15"/>
  <c r="AI18" i="15" s="1"/>
  <c r="AO18" i="15" s="1"/>
  <c r="AM18" i="15"/>
  <c r="AN18" i="15" s="1"/>
  <c r="AQ221" i="15"/>
  <c r="AR221" i="15" s="1"/>
  <c r="AV221" i="15"/>
  <c r="AP221" i="15"/>
  <c r="AM61" i="15"/>
  <c r="AN61" i="15" s="1"/>
  <c r="AL61" i="15"/>
  <c r="AI61" i="15" s="1"/>
  <c r="AO61" i="15" s="1"/>
  <c r="AM45" i="15"/>
  <c r="AN45" i="15" s="1"/>
  <c r="AL45" i="15"/>
  <c r="AI45" i="15" s="1"/>
  <c r="AO45" i="15" s="1"/>
  <c r="AL38" i="15"/>
  <c r="AI38" i="15" s="1"/>
  <c r="AO38" i="15" s="1"/>
  <c r="AM38" i="15"/>
  <c r="AN38" i="15" s="1"/>
  <c r="AQ223" i="15"/>
  <c r="AR223" i="15" s="1"/>
  <c r="AV223" i="15"/>
  <c r="AP223" i="15"/>
  <c r="AM34" i="15"/>
  <c r="AN34" i="15" s="1"/>
  <c r="AL34" i="15"/>
  <c r="AI34" i="15" s="1"/>
  <c r="AO34" i="15" s="1"/>
  <c r="AM25" i="15"/>
  <c r="AN25" i="15" s="1"/>
  <c r="AL25" i="15"/>
  <c r="AI25" i="15" s="1"/>
  <c r="AO25" i="15" s="1"/>
  <c r="AQ190" i="15"/>
  <c r="AR190" i="15" s="1"/>
  <c r="AP190" i="15"/>
  <c r="AV190" i="15"/>
  <c r="AM5" i="15"/>
  <c r="AN5" i="15" s="1"/>
  <c r="AL5" i="15"/>
  <c r="AI5" i="15" s="1"/>
  <c r="AO5" i="15" s="1"/>
  <c r="AV181" i="15"/>
  <c r="AP181" i="15"/>
  <c r="AQ181" i="15"/>
  <c r="AR181" i="15" s="1"/>
  <c r="AM46" i="15"/>
  <c r="AN46" i="15" s="1"/>
  <c r="AL46" i="15"/>
  <c r="AI46" i="15" s="1"/>
  <c r="AO46" i="15" s="1"/>
  <c r="AM30" i="15"/>
  <c r="AN30" i="15" s="1"/>
  <c r="AL30" i="15"/>
  <c r="AI30" i="15" s="1"/>
  <c r="AO30" i="15" s="1"/>
  <c r="AL48" i="15"/>
  <c r="AI48" i="15" s="1"/>
  <c r="AO48" i="15" s="1"/>
  <c r="AM48" i="15"/>
  <c r="AN48" i="15" s="1"/>
  <c r="AQ225" i="15"/>
  <c r="AR225" i="15" s="1"/>
  <c r="AV225" i="15"/>
  <c r="AP225" i="15"/>
  <c r="AL205" i="15"/>
  <c r="AI205" i="15" s="1"/>
  <c r="AO205" i="15" s="1"/>
  <c r="AM205" i="15"/>
  <c r="AN205" i="15" s="1"/>
  <c r="AV224" i="15"/>
  <c r="AQ224" i="15"/>
  <c r="AR224" i="15" s="1"/>
  <c r="AP224" i="15"/>
  <c r="AQ178" i="15"/>
  <c r="AR178" i="15" s="1"/>
  <c r="AP178" i="15"/>
  <c r="AV178" i="15"/>
  <c r="AV202" i="15"/>
  <c r="AP202" i="15"/>
  <c r="AQ202" i="15"/>
  <c r="AR202" i="15" s="1"/>
  <c r="AL35" i="15"/>
  <c r="AI35" i="15" s="1"/>
  <c r="AO35" i="15" s="1"/>
  <c r="AM35" i="15"/>
  <c r="AN35" i="15" s="1"/>
  <c r="AM58" i="15"/>
  <c r="AN58" i="15" s="1"/>
  <c r="AL58" i="15"/>
  <c r="AI58" i="15" s="1"/>
  <c r="AO58" i="15" s="1"/>
  <c r="AM14" i="15"/>
  <c r="AN14" i="15" s="1"/>
  <c r="AL14" i="15"/>
  <c r="AI14" i="15" s="1"/>
  <c r="AO14" i="15" s="1"/>
  <c r="AL57" i="15"/>
  <c r="AI57" i="15" s="1"/>
  <c r="AO57" i="15" s="1"/>
  <c r="AM57" i="15"/>
  <c r="AN57" i="15" s="1"/>
  <c r="AM19" i="15"/>
  <c r="AN19" i="15" s="1"/>
  <c r="AL19" i="15"/>
  <c r="AI19" i="15" s="1"/>
  <c r="AO19" i="15" s="1"/>
  <c r="AL33" i="15"/>
  <c r="AI33" i="15" s="1"/>
  <c r="AO33" i="15" s="1"/>
  <c r="AM33" i="15"/>
  <c r="AN33" i="15" s="1"/>
  <c r="AL24" i="15"/>
  <c r="AI24" i="15" s="1"/>
  <c r="AO24" i="15" s="1"/>
  <c r="AM24" i="15"/>
  <c r="AN24" i="15" s="1"/>
  <c r="AM32" i="15"/>
  <c r="AN32" i="15" s="1"/>
  <c r="AL32" i="15"/>
  <c r="AI32" i="15" s="1"/>
  <c r="AO32" i="15" s="1"/>
  <c r="AL16" i="15"/>
  <c r="AI16" i="15" s="1"/>
  <c r="AO16" i="15" s="1"/>
  <c r="AM16" i="15"/>
  <c r="AN16" i="15" s="1"/>
  <c r="AQ198" i="15"/>
  <c r="AR198" i="15" s="1"/>
  <c r="AV198" i="15"/>
  <c r="AP198" i="15"/>
  <c r="AL17" i="15"/>
  <c r="AI17" i="15" s="1"/>
  <c r="AO17" i="15" s="1"/>
  <c r="AM17" i="15"/>
  <c r="AN17" i="15" s="1"/>
  <c r="AV151" i="15"/>
  <c r="AP151" i="15"/>
  <c r="AQ151" i="15"/>
  <c r="AR151" i="15" s="1"/>
  <c r="AM148" i="15"/>
  <c r="AN148" i="15" s="1"/>
  <c r="Z158" i="15"/>
  <c r="Y158" i="15"/>
  <c r="AQ105" i="15"/>
  <c r="AR105" i="15" s="1"/>
  <c r="AV105" i="15"/>
  <c r="AP105" i="15"/>
  <c r="AP84" i="15"/>
  <c r="AQ84" i="15"/>
  <c r="AR84" i="15" s="1"/>
  <c r="AV84" i="15"/>
  <c r="AV152" i="15"/>
  <c r="AQ152" i="15"/>
  <c r="AR152" i="15" s="1"/>
  <c r="AP152" i="15"/>
  <c r="AQ170" i="15"/>
  <c r="AR170" i="15" s="1"/>
  <c r="AV170" i="15"/>
  <c r="AP170" i="15"/>
  <c r="AV67" i="15"/>
  <c r="AQ67" i="15"/>
  <c r="AR67" i="15" s="1"/>
  <c r="AP67" i="15"/>
  <c r="AP131" i="15"/>
  <c r="AQ131" i="15"/>
  <c r="AR131" i="15" s="1"/>
  <c r="AV131" i="15"/>
  <c r="AY158" i="15"/>
  <c r="AS158" i="15"/>
  <c r="AV130" i="15"/>
  <c r="AP130" i="15"/>
  <c r="AQ130" i="15"/>
  <c r="AR130" i="15" s="1"/>
  <c r="AP158" i="15"/>
  <c r="AV158" i="15"/>
  <c r="AW158" i="15" s="1"/>
  <c r="AZ158" i="15" s="1"/>
  <c r="AQ158" i="15"/>
  <c r="AR158" i="15" s="1"/>
  <c r="AP160" i="15"/>
  <c r="AQ160" i="15"/>
  <c r="AR160" i="15" s="1"/>
  <c r="AV160" i="15"/>
  <c r="AV81" i="15"/>
  <c r="AP81" i="15"/>
  <c r="AQ81" i="15"/>
  <c r="AR81" i="15" s="1"/>
  <c r="AV118" i="15"/>
  <c r="AP118" i="15"/>
  <c r="AQ118" i="15"/>
  <c r="AR118" i="15" s="1"/>
  <c r="AQ132" i="15"/>
  <c r="AR132" i="15" s="1"/>
  <c r="AP132" i="15"/>
  <c r="AV132" i="15"/>
  <c r="AQ93" i="15"/>
  <c r="AR93" i="15" s="1"/>
  <c r="AV93" i="15"/>
  <c r="AP93" i="15"/>
  <c r="AV79" i="15"/>
  <c r="AQ79" i="15"/>
  <c r="AR79" i="15" s="1"/>
  <c r="AP79" i="15"/>
  <c r="AP116" i="15"/>
  <c r="AV116" i="15"/>
  <c r="AQ116" i="15"/>
  <c r="AR116" i="15" s="1"/>
  <c r="AV75" i="15"/>
  <c r="AQ75" i="15"/>
  <c r="AR75" i="15" s="1"/>
  <c r="AP75" i="15"/>
  <c r="AP149" i="15"/>
  <c r="AV149" i="15"/>
  <c r="AQ149" i="15"/>
  <c r="AR149" i="15" s="1"/>
  <c r="AV148" i="15"/>
  <c r="AP148" i="15"/>
  <c r="AQ148" i="15"/>
  <c r="AR148" i="15" s="1"/>
  <c r="AM89" i="15"/>
  <c r="AN89" i="15" s="1"/>
  <c r="AL89" i="15"/>
  <c r="AI89" i="15" s="1"/>
  <c r="AO89" i="15" s="1"/>
  <c r="AL166" i="15"/>
  <c r="AI166" i="15" s="1"/>
  <c r="AO166" i="15" s="1"/>
  <c r="AM166" i="15"/>
  <c r="AN166" i="15" s="1"/>
  <c r="AM78" i="15"/>
  <c r="AN78" i="15" s="1"/>
  <c r="AL78" i="15"/>
  <c r="AI78" i="15" s="1"/>
  <c r="AO78" i="15" s="1"/>
  <c r="AM157" i="15"/>
  <c r="AN157" i="15" s="1"/>
  <c r="AL157" i="15"/>
  <c r="AI157" i="15" s="1"/>
  <c r="AO157" i="15" s="1"/>
  <c r="AM123" i="15"/>
  <c r="AN123" i="15" s="1"/>
  <c r="AL123" i="15"/>
  <c r="AI123" i="15" s="1"/>
  <c r="AO123" i="15" s="1"/>
  <c r="AM214" i="15"/>
  <c r="AN214" i="15" s="1"/>
  <c r="AL214" i="15"/>
  <c r="AI214" i="15" s="1"/>
  <c r="AO214" i="15" s="1"/>
  <c r="AM109" i="15"/>
  <c r="AN109" i="15" s="1"/>
  <c r="AL109" i="15"/>
  <c r="AI109" i="15" s="1"/>
  <c r="AO109" i="15" s="1"/>
  <c r="AM85" i="15"/>
  <c r="AN85" i="15" s="1"/>
  <c r="AL85" i="15"/>
  <c r="AI85" i="15" s="1"/>
  <c r="AO85" i="15" s="1"/>
  <c r="AM72" i="15"/>
  <c r="AN72" i="15" s="1"/>
  <c r="AL72" i="15"/>
  <c r="AI72" i="15" s="1"/>
  <c r="AO72" i="15" s="1"/>
  <c r="AM146" i="15"/>
  <c r="AN146" i="15" s="1"/>
  <c r="AL146" i="15"/>
  <c r="AI146" i="15" s="1"/>
  <c r="AO146" i="15" s="1"/>
  <c r="AM167" i="15"/>
  <c r="AN167" i="15" s="1"/>
  <c r="AL167" i="15"/>
  <c r="AI167" i="15" s="1"/>
  <c r="AO167" i="15" s="1"/>
  <c r="AM87" i="15"/>
  <c r="AN87" i="15" s="1"/>
  <c r="AL87" i="15"/>
  <c r="AI87" i="15" s="1"/>
  <c r="AO87" i="15" s="1"/>
  <c r="AP112" i="15"/>
  <c r="AQ112" i="15"/>
  <c r="AR112" i="15" s="1"/>
  <c r="AV112" i="15"/>
  <c r="AL164" i="15"/>
  <c r="AI164" i="15" s="1"/>
  <c r="AO164" i="15" s="1"/>
  <c r="AM164" i="15"/>
  <c r="AN164" i="15" s="1"/>
  <c r="AM113" i="15"/>
  <c r="AN113" i="15" s="1"/>
  <c r="AL113" i="15"/>
  <c r="AI113" i="15" s="1"/>
  <c r="AO113" i="15" s="1"/>
  <c r="AM64" i="15"/>
  <c r="AN64" i="15" s="1"/>
  <c r="AL64" i="15"/>
  <c r="AI64" i="15" s="1"/>
  <c r="AO64" i="15" s="1"/>
  <c r="AM65" i="15"/>
  <c r="AN65" i="15" s="1"/>
  <c r="AL65" i="15"/>
  <c r="AI65" i="15" s="1"/>
  <c r="AO65" i="15" s="1"/>
  <c r="AM125" i="15"/>
  <c r="AN125" i="15" s="1"/>
  <c r="AL125" i="15"/>
  <c r="AI125" i="15" s="1"/>
  <c r="AO125" i="15" s="1"/>
  <c r="AM68" i="15"/>
  <c r="AN68" i="15" s="1"/>
  <c r="AL68" i="15"/>
  <c r="AI68" i="15" s="1"/>
  <c r="AO68" i="15" s="1"/>
  <c r="AM74" i="15"/>
  <c r="AN74" i="15" s="1"/>
  <c r="AL74" i="15"/>
  <c r="AI74" i="15" s="1"/>
  <c r="AO74" i="15" s="1"/>
  <c r="AP73" i="15"/>
  <c r="AV73" i="15"/>
  <c r="AQ73" i="15"/>
  <c r="AR73" i="15" s="1"/>
  <c r="AM104" i="15"/>
  <c r="AN104" i="15" s="1"/>
  <c r="AL104" i="15"/>
  <c r="AI104" i="15" s="1"/>
  <c r="AO104" i="15" s="1"/>
  <c r="AM127" i="15"/>
  <c r="AN127" i="15" s="1"/>
  <c r="AL127" i="15"/>
  <c r="AI127" i="15" s="1"/>
  <c r="AO127" i="15" s="1"/>
  <c r="AM137" i="15"/>
  <c r="AN137" i="15" s="1"/>
  <c r="AL137" i="15"/>
  <c r="AI137" i="15" s="1"/>
  <c r="AO137" i="15" s="1"/>
  <c r="AM97" i="15"/>
  <c r="AN97" i="15" s="1"/>
  <c r="AL97" i="15"/>
  <c r="AI97" i="15" s="1"/>
  <c r="AO97" i="15" s="1"/>
  <c r="AM99" i="15"/>
  <c r="AN99" i="15" s="1"/>
  <c r="AL99" i="15"/>
  <c r="AI99" i="15" s="1"/>
  <c r="AO99" i="15" s="1"/>
  <c r="AM143" i="15"/>
  <c r="AN143" i="15" s="1"/>
  <c r="AL143" i="15"/>
  <c r="AI143" i="15" s="1"/>
  <c r="AO143" i="15" s="1"/>
  <c r="AM98" i="15"/>
  <c r="AN98" i="15" s="1"/>
  <c r="AL98" i="15"/>
  <c r="AI98" i="15" s="1"/>
  <c r="AO98" i="15" s="1"/>
  <c r="AP91" i="15"/>
  <c r="AQ91" i="15"/>
  <c r="AR91" i="15" s="1"/>
  <c r="AV91" i="15"/>
  <c r="AM154" i="15"/>
  <c r="AN154" i="15" s="1"/>
  <c r="AL154" i="15"/>
  <c r="AI154" i="15" s="1"/>
  <c r="AO154" i="15" s="1"/>
  <c r="AM90" i="15"/>
  <c r="AN90" i="15" s="1"/>
  <c r="AL90" i="15"/>
  <c r="AI90" i="15" s="1"/>
  <c r="AO90" i="15" s="1"/>
  <c r="AM238" i="15"/>
  <c r="AN238" i="15" s="1"/>
  <c r="AL238" i="15"/>
  <c r="AI238" i="15" s="1"/>
  <c r="AO238" i="15" s="1"/>
  <c r="AM142" i="15"/>
  <c r="AN142" i="15" s="1"/>
  <c r="AL142" i="15"/>
  <c r="AI142" i="15" s="1"/>
  <c r="AO142" i="15" s="1"/>
  <c r="AM139" i="15"/>
  <c r="AN139" i="15" s="1"/>
  <c r="AL139" i="15"/>
  <c r="AI139" i="15" s="1"/>
  <c r="AO139" i="15" s="1"/>
  <c r="AM141" i="15"/>
  <c r="AN141" i="15" s="1"/>
  <c r="AL141" i="15"/>
  <c r="AI141" i="15" s="1"/>
  <c r="AO141" i="15" s="1"/>
  <c r="AM122" i="15"/>
  <c r="AN122" i="15" s="1"/>
  <c r="AL122" i="15"/>
  <c r="AI122" i="15" s="1"/>
  <c r="AO122" i="15" s="1"/>
  <c r="AM83" i="15"/>
  <c r="AN83" i="15" s="1"/>
  <c r="AL83" i="15"/>
  <c r="AI83" i="15" s="1"/>
  <c r="AO83" i="15" s="1"/>
  <c r="AM86" i="15"/>
  <c r="AN86" i="15" s="1"/>
  <c r="AL86" i="15"/>
  <c r="AI86" i="15" s="1"/>
  <c r="AO86" i="15" s="1"/>
  <c r="AM92" i="15"/>
  <c r="AN92" i="15" s="1"/>
  <c r="AL92" i="15"/>
  <c r="AI92" i="15" s="1"/>
  <c r="AO92" i="15" s="1"/>
  <c r="AM147" i="15"/>
  <c r="AN147" i="15" s="1"/>
  <c r="AL147" i="15"/>
  <c r="AI147" i="15" s="1"/>
  <c r="AO147" i="15" s="1"/>
  <c r="AM138" i="15"/>
  <c r="AN138" i="15" s="1"/>
  <c r="AL138" i="15"/>
  <c r="AI138" i="15" s="1"/>
  <c r="AO138" i="15" s="1"/>
  <c r="AM144" i="15"/>
  <c r="AN144" i="15" s="1"/>
  <c r="AL144" i="15"/>
  <c r="AI144" i="15" s="1"/>
  <c r="AO144" i="15" s="1"/>
  <c r="AM135" i="15"/>
  <c r="AN135" i="15" s="1"/>
  <c r="AL135" i="15"/>
  <c r="AI135" i="15" s="1"/>
  <c r="AO135" i="15" s="1"/>
  <c r="AM168" i="15"/>
  <c r="AN168" i="15" s="1"/>
  <c r="AL168" i="15"/>
  <c r="AI168" i="15" s="1"/>
  <c r="AO168" i="15" s="1"/>
  <c r="AM119" i="15"/>
  <c r="AN119" i="15" s="1"/>
  <c r="AL119" i="15"/>
  <c r="AI119" i="15" s="1"/>
  <c r="AO119" i="15" s="1"/>
  <c r="AM120" i="15"/>
  <c r="AN120" i="15" s="1"/>
  <c r="AI120" i="15"/>
  <c r="AO120" i="15" s="1"/>
  <c r="AM136" i="15"/>
  <c r="AN136" i="15" s="1"/>
  <c r="AL136" i="15"/>
  <c r="AI136" i="15" s="1"/>
  <c r="AO136" i="15" s="1"/>
  <c r="AM156" i="15"/>
  <c r="AN156" i="15" s="1"/>
  <c r="AL156" i="15"/>
  <c r="AI156" i="15" s="1"/>
  <c r="AO156" i="15" s="1"/>
  <c r="AM155" i="15"/>
  <c r="AN155" i="15" s="1"/>
  <c r="AL155" i="15"/>
  <c r="AI155" i="15" s="1"/>
  <c r="AO155" i="15" s="1"/>
  <c r="AM69" i="15"/>
  <c r="AN69" i="15" s="1"/>
  <c r="AL69" i="15"/>
  <c r="AI69" i="15" s="1"/>
  <c r="AO69" i="15" s="1"/>
  <c r="AM100" i="15"/>
  <c r="AN100" i="15" s="1"/>
  <c r="AL100" i="15"/>
  <c r="AI100" i="15" s="1"/>
  <c r="AO100" i="15" s="1"/>
  <c r="AM101" i="15"/>
  <c r="AN101" i="15" s="1"/>
  <c r="AL101" i="15"/>
  <c r="AI101" i="15" s="1"/>
  <c r="AO101" i="15" s="1"/>
  <c r="AL161" i="15"/>
  <c r="AI161" i="15" s="1"/>
  <c r="AO161" i="15" s="1"/>
  <c r="AM161" i="15"/>
  <c r="AN161" i="15" s="1"/>
  <c r="AM111" i="15"/>
  <c r="AN111" i="15" s="1"/>
  <c r="AL111" i="15"/>
  <c r="AI111" i="15" s="1"/>
  <c r="AO111" i="15" s="1"/>
  <c r="AM94" i="15"/>
  <c r="AN94" i="15" s="1"/>
  <c r="AL94" i="15"/>
  <c r="AI94" i="15" s="1"/>
  <c r="AO94" i="15" s="1"/>
  <c r="AM114" i="15"/>
  <c r="AN114" i="15" s="1"/>
  <c r="AL114" i="15"/>
  <c r="AI114" i="15" s="1"/>
  <c r="AO114" i="15" s="1"/>
  <c r="AM153" i="15"/>
  <c r="AN153" i="15" s="1"/>
  <c r="AL153" i="15"/>
  <c r="AI153" i="15" s="1"/>
  <c r="AO153" i="15" s="1"/>
  <c r="AL88" i="15"/>
  <c r="AI88" i="15" s="1"/>
  <c r="AO88" i="15" s="1"/>
  <c r="AM88" i="15"/>
  <c r="AN88" i="15" s="1"/>
  <c r="AM145" i="15"/>
  <c r="AN145" i="15" s="1"/>
  <c r="AL145" i="15"/>
  <c r="AI145" i="15" s="1"/>
  <c r="AO145" i="15" s="1"/>
  <c r="AM95" i="15"/>
  <c r="AN95" i="15" s="1"/>
  <c r="AL95" i="15"/>
  <c r="AI95" i="15" s="1"/>
  <c r="AO95" i="15" s="1"/>
  <c r="AM129" i="15"/>
  <c r="AN129" i="15" s="1"/>
  <c r="AL129" i="15"/>
  <c r="AI129" i="15" s="1"/>
  <c r="AO129" i="15" s="1"/>
  <c r="AM165" i="15"/>
  <c r="AN165" i="15" s="1"/>
  <c r="AL165" i="15"/>
  <c r="AI165" i="15" s="1"/>
  <c r="AO165" i="15" s="1"/>
  <c r="AM110" i="15"/>
  <c r="AN110" i="15" s="1"/>
  <c r="AL110" i="15"/>
  <c r="AI110" i="15" s="1"/>
  <c r="AO110" i="15" s="1"/>
  <c r="AM66" i="15"/>
  <c r="AN66" i="15" s="1"/>
  <c r="AL66" i="15"/>
  <c r="AI66" i="15" s="1"/>
  <c r="AO66" i="15" s="1"/>
  <c r="AM80" i="15"/>
  <c r="AN80" i="15" s="1"/>
  <c r="AL80" i="15"/>
  <c r="AI80" i="15" s="1"/>
  <c r="AO80" i="15" s="1"/>
  <c r="AM102" i="15"/>
  <c r="AN102" i="15" s="1"/>
  <c r="AL102" i="15"/>
  <c r="AI102" i="15" s="1"/>
  <c r="AO102" i="15" s="1"/>
  <c r="AM162" i="15"/>
  <c r="AN162" i="15" s="1"/>
  <c r="AL162" i="15"/>
  <c r="AI162" i="15" s="1"/>
  <c r="AO162" i="15" s="1"/>
  <c r="AM76" i="15"/>
  <c r="AN76" i="15" s="1"/>
  <c r="AL76" i="15"/>
  <c r="AI76" i="15" s="1"/>
  <c r="AO76" i="15" s="1"/>
  <c r="AM121" i="15"/>
  <c r="AN121" i="15" s="1"/>
  <c r="AL121" i="15"/>
  <c r="AI121" i="15" s="1"/>
  <c r="AO121" i="15"/>
  <c r="AM106" i="15"/>
  <c r="AN106" i="15" s="1"/>
  <c r="AL106" i="15"/>
  <c r="AI106" i="15" s="1"/>
  <c r="AO106" i="15" s="1"/>
  <c r="AM70" i="15"/>
  <c r="AN70" i="15" s="1"/>
  <c r="AL70" i="15"/>
  <c r="AI70" i="15" s="1"/>
  <c r="AO70" i="15" s="1"/>
  <c r="AM103" i="15"/>
  <c r="AN103" i="15" s="1"/>
  <c r="AL103" i="15"/>
  <c r="AI103" i="15" s="1"/>
  <c r="AO103" i="15" s="1"/>
  <c r="AM124" i="15"/>
  <c r="AN124" i="15" s="1"/>
  <c r="AL124" i="15"/>
  <c r="AI124" i="15" s="1"/>
  <c r="AO124" i="15" s="1"/>
  <c r="AM134" i="15"/>
  <c r="AN134" i="15" s="1"/>
  <c r="AL134" i="15"/>
  <c r="AI134" i="15" s="1"/>
  <c r="AO134" i="15" s="1"/>
  <c r="AM171" i="15"/>
  <c r="AN171" i="15" s="1"/>
  <c r="AL171" i="15"/>
  <c r="AI171" i="15" s="1"/>
  <c r="AO171" i="15" s="1"/>
  <c r="AM82" i="15"/>
  <c r="AN82" i="15" s="1"/>
  <c r="AL82" i="15"/>
  <c r="AI82" i="15" s="1"/>
  <c r="AO82" i="15" s="1"/>
  <c r="AM77" i="15"/>
  <c r="AN77" i="15" s="1"/>
  <c r="AL77" i="15"/>
  <c r="AI77" i="15" s="1"/>
  <c r="AO77" i="15" s="1"/>
  <c r="AQ216" i="15" l="1"/>
  <c r="AR216" i="15" s="1"/>
  <c r="AV219" i="15"/>
  <c r="AP216" i="15"/>
  <c r="AP219" i="15"/>
  <c r="AP108" i="15"/>
  <c r="AV108" i="15"/>
  <c r="AQ108" i="15"/>
  <c r="AR108" i="15" s="1"/>
  <c r="AP182" i="15"/>
  <c r="AP203" i="15"/>
  <c r="AQ182" i="15"/>
  <c r="AR182" i="15" s="1"/>
  <c r="AQ173" i="15"/>
  <c r="AR173" i="15" s="1"/>
  <c r="AP173" i="15"/>
  <c r="AQ163" i="15"/>
  <c r="AR163" i="15" s="1"/>
  <c r="AP163" i="15"/>
  <c r="AV203" i="15"/>
  <c r="AQ186" i="15"/>
  <c r="AR186" i="15" s="1"/>
  <c r="AP186" i="15"/>
  <c r="AQ203" i="15"/>
  <c r="AR203" i="15" s="1"/>
  <c r="AV188" i="15"/>
  <c r="AP187" i="15"/>
  <c r="AQ187" i="15"/>
  <c r="AR187" i="15" s="1"/>
  <c r="AP188" i="15"/>
  <c r="AV163" i="15"/>
  <c r="AP169" i="15"/>
  <c r="AV169" i="15"/>
  <c r="AV177" i="15"/>
  <c r="AP177" i="15"/>
  <c r="AV200" i="15"/>
  <c r="AQ200" i="15"/>
  <c r="AR200" i="15" s="1"/>
  <c r="AP200" i="15"/>
  <c r="AV117" i="15"/>
  <c r="AV159" i="15"/>
  <c r="AV186" i="15"/>
  <c r="AP159" i="15"/>
  <c r="AP115" i="15"/>
  <c r="AQ115" i="15"/>
  <c r="AR115" i="15" s="1"/>
  <c r="AV115" i="15"/>
  <c r="AV191" i="15"/>
  <c r="AP117" i="15"/>
  <c r="AP191" i="15"/>
  <c r="AQ222" i="15"/>
  <c r="AR222" i="15" s="1"/>
  <c r="AQ117" i="15"/>
  <c r="AR117" i="15" s="1"/>
  <c r="AV222" i="15"/>
  <c r="AP128" i="15"/>
  <c r="AQ159" i="15"/>
  <c r="AR159" i="15" s="1"/>
  <c r="AP199" i="15"/>
  <c r="AQ199" i="15"/>
  <c r="AR199" i="15" s="1"/>
  <c r="AV199" i="15"/>
  <c r="AV196" i="15"/>
  <c r="AV128" i="15"/>
  <c r="AV107" i="15"/>
  <c r="AQ107" i="15"/>
  <c r="AR107" i="15" s="1"/>
  <c r="AP107" i="15"/>
  <c r="AV176" i="15"/>
  <c r="AV71" i="15"/>
  <c r="AQ71" i="15"/>
  <c r="AR71" i="15" s="1"/>
  <c r="AP71" i="15"/>
  <c r="AP175" i="15"/>
  <c r="AQ196" i="15"/>
  <c r="AR196" i="15" s="1"/>
  <c r="AP96" i="15"/>
  <c r="AP140" i="15"/>
  <c r="AV96" i="15"/>
  <c r="AQ208" i="15"/>
  <c r="AR208" i="15" s="1"/>
  <c r="AQ204" i="15"/>
  <c r="AR204" i="15" s="1"/>
  <c r="AV175" i="15"/>
  <c r="AP204" i="15"/>
  <c r="AV208" i="15"/>
  <c r="AV204" i="15"/>
  <c r="AV140" i="15"/>
  <c r="AP176" i="15"/>
  <c r="AQ96" i="15"/>
  <c r="AR96" i="15" s="1"/>
  <c r="AQ176" i="15"/>
  <c r="AR176" i="15" s="1"/>
  <c r="AV220" i="15"/>
  <c r="AV218" i="15"/>
  <c r="AP220" i="15"/>
  <c r="AQ209" i="15"/>
  <c r="AR209" i="15" s="1"/>
  <c r="AV209" i="15"/>
  <c r="AQ218" i="15"/>
  <c r="AR218" i="15" s="1"/>
  <c r="AP179" i="15"/>
  <c r="AV183" i="15"/>
  <c r="AV133" i="15"/>
  <c r="AQ126" i="15"/>
  <c r="AR126" i="15" s="1"/>
  <c r="AV179" i="15"/>
  <c r="AP55" i="15"/>
  <c r="AP183" i="15"/>
  <c r="AV150" i="15"/>
  <c r="AP126" i="15"/>
  <c r="AQ150" i="15"/>
  <c r="AR150" i="15" s="1"/>
  <c r="AP133" i="15"/>
  <c r="AQ133" i="15"/>
  <c r="AR133" i="15" s="1"/>
  <c r="AQ55" i="15"/>
  <c r="AR55" i="15" s="1"/>
  <c r="AQ194" i="15"/>
  <c r="AR194" i="15" s="1"/>
  <c r="AP194" i="15"/>
  <c r="AV55" i="15"/>
  <c r="AV126" i="15"/>
  <c r="AP150" i="15"/>
  <c r="AI52" i="15"/>
  <c r="AO52" i="15" s="1"/>
  <c r="AP53" i="15"/>
  <c r="AQ53" i="15"/>
  <c r="AR53" i="15" s="1"/>
  <c r="AV53" i="15"/>
  <c r="AU5" i="15"/>
  <c r="M5" i="15"/>
  <c r="V5" i="15"/>
  <c r="AQ8" i="15"/>
  <c r="AR8" i="15" s="1"/>
  <c r="AP8" i="15"/>
  <c r="AV8" i="15"/>
  <c r="AQ13" i="15"/>
  <c r="AR13" i="15" s="1"/>
  <c r="AV13" i="15"/>
  <c r="AP13" i="15"/>
  <c r="AV22" i="15"/>
  <c r="AP22" i="15"/>
  <c r="AQ22" i="15"/>
  <c r="AR22" i="15" s="1"/>
  <c r="AP17" i="15"/>
  <c r="AV17" i="15"/>
  <c r="AQ17" i="15"/>
  <c r="AR17" i="15" s="1"/>
  <c r="AV16" i="15"/>
  <c r="AQ16" i="15"/>
  <c r="AR16" i="15" s="1"/>
  <c r="AP16" i="15"/>
  <c r="AQ14" i="15"/>
  <c r="AR14" i="15" s="1"/>
  <c r="AP14" i="15"/>
  <c r="AV14" i="15"/>
  <c r="AV35" i="15"/>
  <c r="AP35" i="15"/>
  <c r="AQ35" i="15"/>
  <c r="AR35" i="15" s="1"/>
  <c r="AP30" i="15"/>
  <c r="AQ30" i="15"/>
  <c r="AR30" i="15" s="1"/>
  <c r="AV30" i="15"/>
  <c r="AQ45" i="15"/>
  <c r="AR45" i="15" s="1"/>
  <c r="AV45" i="15"/>
  <c r="AP45" i="15"/>
  <c r="AP42" i="15"/>
  <c r="AQ42" i="15"/>
  <c r="AR42" i="15" s="1"/>
  <c r="AV42" i="15"/>
  <c r="AQ44" i="15"/>
  <c r="AR44" i="15" s="1"/>
  <c r="AP44" i="15"/>
  <c r="AV44" i="15"/>
  <c r="AV15" i="15"/>
  <c r="AP15" i="15"/>
  <c r="AQ15" i="15"/>
  <c r="AR15" i="15" s="1"/>
  <c r="AV57" i="15"/>
  <c r="AP57" i="15"/>
  <c r="AQ57" i="15"/>
  <c r="AR57" i="15" s="1"/>
  <c r="AP11" i="15"/>
  <c r="AV11" i="15"/>
  <c r="AQ11" i="15"/>
  <c r="AR11" i="15" s="1"/>
  <c r="AV48" i="15"/>
  <c r="AQ48" i="15"/>
  <c r="AR48" i="15" s="1"/>
  <c r="AP48" i="15"/>
  <c r="AP32" i="15"/>
  <c r="AV32" i="15"/>
  <c r="AQ32" i="15"/>
  <c r="AR32" i="15" s="1"/>
  <c r="AP34" i="15"/>
  <c r="AV34" i="15"/>
  <c r="AQ34" i="15"/>
  <c r="AR34" i="15" s="1"/>
  <c r="AQ23" i="15"/>
  <c r="AR23" i="15" s="1"/>
  <c r="AV23" i="15"/>
  <c r="AP23" i="15"/>
  <c r="AV49" i="15"/>
  <c r="AP49" i="15"/>
  <c r="AQ49" i="15"/>
  <c r="AR49" i="15" s="1"/>
  <c r="AQ21" i="15"/>
  <c r="AR21" i="15" s="1"/>
  <c r="AV21" i="15"/>
  <c r="AP21" i="15"/>
  <c r="AV41" i="15"/>
  <c r="AQ41" i="15"/>
  <c r="AR41" i="15" s="1"/>
  <c r="AP41" i="15"/>
  <c r="AQ210" i="15"/>
  <c r="AR210" i="15" s="1"/>
  <c r="AP210" i="15"/>
  <c r="AV210" i="15"/>
  <c r="AP9" i="15"/>
  <c r="AV9" i="15"/>
  <c r="AQ9" i="15"/>
  <c r="AR9" i="15" s="1"/>
  <c r="AQ18" i="15"/>
  <c r="AR18" i="15" s="1"/>
  <c r="AV18" i="15"/>
  <c r="AP18" i="15"/>
  <c r="AQ40" i="15"/>
  <c r="AR40" i="15" s="1"/>
  <c r="AV40" i="15"/>
  <c r="AP40" i="15"/>
  <c r="AQ20" i="15"/>
  <c r="AR20" i="15" s="1"/>
  <c r="AV20" i="15"/>
  <c r="AP20" i="15"/>
  <c r="AP39" i="15"/>
  <c r="AQ39" i="15"/>
  <c r="AR39" i="15" s="1"/>
  <c r="AV39" i="15"/>
  <c r="AV62" i="15"/>
  <c r="AQ62" i="15"/>
  <c r="AR62" i="15" s="1"/>
  <c r="AP62" i="15"/>
  <c r="AP25" i="15"/>
  <c r="AV25" i="15"/>
  <c r="AQ25" i="15"/>
  <c r="AR25" i="15" s="1"/>
  <c r="AQ38" i="15"/>
  <c r="AR38" i="15" s="1"/>
  <c r="AV38" i="15"/>
  <c r="AP38" i="15"/>
  <c r="AV56" i="15"/>
  <c r="AQ56" i="15"/>
  <c r="AR56" i="15" s="1"/>
  <c r="AP56" i="15"/>
  <c r="AQ27" i="15"/>
  <c r="AR27" i="15" s="1"/>
  <c r="AP27" i="15"/>
  <c r="AV27" i="15"/>
  <c r="AP60" i="15"/>
  <c r="AQ60" i="15"/>
  <c r="AR60" i="15" s="1"/>
  <c r="AV60" i="15"/>
  <c r="AQ205" i="15"/>
  <c r="AR205" i="15" s="1"/>
  <c r="AV205" i="15"/>
  <c r="AP205" i="15"/>
  <c r="AV206" i="15"/>
  <c r="AP206" i="15"/>
  <c r="AQ206" i="15"/>
  <c r="AR206" i="15" s="1"/>
  <c r="AP33" i="15"/>
  <c r="AQ33" i="15"/>
  <c r="AR33" i="15" s="1"/>
  <c r="AV33" i="15"/>
  <c r="AQ61" i="15"/>
  <c r="AR61" i="15" s="1"/>
  <c r="AV61" i="15"/>
  <c r="AP61" i="15"/>
  <c r="AV59" i="15"/>
  <c r="AP59" i="15"/>
  <c r="AQ59" i="15"/>
  <c r="AR59" i="15" s="1"/>
  <c r="AP63" i="15"/>
  <c r="AQ63" i="15"/>
  <c r="AR63" i="15" s="1"/>
  <c r="AV63" i="15"/>
  <c r="AV31" i="15"/>
  <c r="AQ31" i="15"/>
  <c r="AR31" i="15" s="1"/>
  <c r="AP31" i="15"/>
  <c r="AV6" i="15"/>
  <c r="AP6" i="15"/>
  <c r="AQ6" i="15"/>
  <c r="AR6" i="15" s="1"/>
  <c r="AP58" i="15"/>
  <c r="AV58" i="15"/>
  <c r="AQ58" i="15"/>
  <c r="AR58" i="15" s="1"/>
  <c r="AV5" i="15"/>
  <c r="AP5" i="15"/>
  <c r="AQ5" i="15"/>
  <c r="AR5" i="15" s="1"/>
  <c r="AP10" i="15"/>
  <c r="AQ10" i="15"/>
  <c r="AR10" i="15" s="1"/>
  <c r="AV10" i="15"/>
  <c r="AV47" i="15"/>
  <c r="AQ47" i="15"/>
  <c r="AR47" i="15" s="1"/>
  <c r="AP47" i="15"/>
  <c r="AV24" i="15"/>
  <c r="AQ24" i="15"/>
  <c r="AR24" i="15" s="1"/>
  <c r="AP24" i="15"/>
  <c r="F6" i="15"/>
  <c r="L6" i="15" s="1"/>
  <c r="AP28" i="15"/>
  <c r="AV28" i="15"/>
  <c r="AQ28" i="15"/>
  <c r="AR28" i="15" s="1"/>
  <c r="AV26" i="15"/>
  <c r="AP26" i="15"/>
  <c r="AQ26" i="15"/>
  <c r="AR26" i="15" s="1"/>
  <c r="AP207" i="15"/>
  <c r="AV207" i="15"/>
  <c r="AQ207" i="15"/>
  <c r="AR207" i="15" s="1"/>
  <c r="AV19" i="15"/>
  <c r="AP19" i="15"/>
  <c r="AQ19" i="15"/>
  <c r="AR19" i="15" s="1"/>
  <c r="AQ12" i="15"/>
  <c r="AR12" i="15" s="1"/>
  <c r="AV12" i="15"/>
  <c r="AP12" i="15"/>
  <c r="AP46" i="15"/>
  <c r="AQ46" i="15"/>
  <c r="AR46" i="15" s="1"/>
  <c r="AV46" i="15"/>
  <c r="AV50" i="15"/>
  <c r="AP50" i="15"/>
  <c r="AQ50" i="15"/>
  <c r="AR50" i="15" s="1"/>
  <c r="AQ54" i="15"/>
  <c r="AR54" i="15" s="1"/>
  <c r="AV54" i="15"/>
  <c r="AP54" i="15"/>
  <c r="AV36" i="15"/>
  <c r="AP36" i="15"/>
  <c r="AQ36" i="15"/>
  <c r="AR36" i="15" s="1"/>
  <c r="AP51" i="15"/>
  <c r="AV51" i="15"/>
  <c r="AQ51" i="15"/>
  <c r="AR51" i="15" s="1"/>
  <c r="AQ43" i="15"/>
  <c r="AR43" i="15" s="1"/>
  <c r="AV43" i="15"/>
  <c r="AP43" i="15"/>
  <c r="F7" i="15"/>
  <c r="L7" i="15" s="1"/>
  <c r="AP37" i="15"/>
  <c r="AQ37" i="15"/>
  <c r="AR37" i="15" s="1"/>
  <c r="AV37" i="15"/>
  <c r="AP29" i="15"/>
  <c r="AV29" i="15"/>
  <c r="AQ29" i="15"/>
  <c r="AR29" i="15" s="1"/>
  <c r="AQ7" i="15"/>
  <c r="AR7" i="15" s="1"/>
  <c r="AV7" i="15"/>
  <c r="AP7" i="15"/>
  <c r="AT158" i="15"/>
  <c r="AQ106" i="15"/>
  <c r="AR106" i="15" s="1"/>
  <c r="AP106" i="15"/>
  <c r="AV106" i="15"/>
  <c r="AP95" i="15"/>
  <c r="AQ95" i="15"/>
  <c r="AR95" i="15" s="1"/>
  <c r="AV95" i="15"/>
  <c r="AQ127" i="15"/>
  <c r="AR127" i="15" s="1"/>
  <c r="AP127" i="15"/>
  <c r="AV127" i="15"/>
  <c r="AP77" i="15"/>
  <c r="AQ77" i="15"/>
  <c r="AR77" i="15" s="1"/>
  <c r="AV77" i="15"/>
  <c r="AP135" i="15"/>
  <c r="AQ135" i="15"/>
  <c r="AR135" i="15" s="1"/>
  <c r="AV135" i="15"/>
  <c r="AQ72" i="15"/>
  <c r="AR72" i="15" s="1"/>
  <c r="AP72" i="15"/>
  <c r="AV72" i="15"/>
  <c r="AV64" i="15"/>
  <c r="AP64" i="15"/>
  <c r="AQ64" i="15"/>
  <c r="AR64" i="15" s="1"/>
  <c r="AQ146" i="15"/>
  <c r="AR146" i="15" s="1"/>
  <c r="AP146" i="15"/>
  <c r="AV146" i="15"/>
  <c r="AP66" i="15"/>
  <c r="AV66" i="15"/>
  <c r="AQ66" i="15"/>
  <c r="AR66" i="15" s="1"/>
  <c r="AP165" i="15"/>
  <c r="AQ165" i="15"/>
  <c r="AR165" i="15" s="1"/>
  <c r="AV165" i="15"/>
  <c r="AQ145" i="15"/>
  <c r="AR145" i="15" s="1"/>
  <c r="AP145" i="15"/>
  <c r="AV145" i="15"/>
  <c r="AQ161" i="15"/>
  <c r="AR161" i="15" s="1"/>
  <c r="AP161" i="15"/>
  <c r="AV161" i="15"/>
  <c r="AP110" i="15"/>
  <c r="AQ110" i="15"/>
  <c r="AR110" i="15" s="1"/>
  <c r="AV110" i="15"/>
  <c r="AQ114" i="15"/>
  <c r="AR114" i="15" s="1"/>
  <c r="AP114" i="15"/>
  <c r="AV114" i="15"/>
  <c r="AQ144" i="15"/>
  <c r="AR144" i="15" s="1"/>
  <c r="AP144" i="15"/>
  <c r="AV144" i="15"/>
  <c r="AQ142" i="15"/>
  <c r="AR142" i="15" s="1"/>
  <c r="AP142" i="15"/>
  <c r="AV142" i="15"/>
  <c r="AQ154" i="15"/>
  <c r="AR154" i="15" s="1"/>
  <c r="AP154" i="15"/>
  <c r="AV154" i="15"/>
  <c r="AP97" i="15"/>
  <c r="AQ97" i="15"/>
  <c r="AR97" i="15" s="1"/>
  <c r="AV97" i="15"/>
  <c r="AP123" i="15"/>
  <c r="AQ123" i="15"/>
  <c r="AR123" i="15" s="1"/>
  <c r="AV123" i="15"/>
  <c r="AP143" i="15"/>
  <c r="AQ143" i="15"/>
  <c r="AR143" i="15" s="1"/>
  <c r="AV143" i="15"/>
  <c r="AP141" i="15"/>
  <c r="AQ141" i="15"/>
  <c r="AR141" i="15" s="1"/>
  <c r="AV141" i="15"/>
  <c r="AP122" i="15"/>
  <c r="AQ122" i="15"/>
  <c r="AR122" i="15" s="1"/>
  <c r="AV122" i="15"/>
  <c r="AP70" i="15"/>
  <c r="AQ70" i="15"/>
  <c r="AR70" i="15" s="1"/>
  <c r="AV70" i="15"/>
  <c r="AP119" i="15"/>
  <c r="AQ119" i="15"/>
  <c r="AR119" i="15" s="1"/>
  <c r="AV119" i="15"/>
  <c r="AQ86" i="15"/>
  <c r="AR86" i="15" s="1"/>
  <c r="AP86" i="15"/>
  <c r="AV86" i="15"/>
  <c r="AQ139" i="15"/>
  <c r="AR139" i="15" s="1"/>
  <c r="AP139" i="15"/>
  <c r="AV139" i="15"/>
  <c r="AP238" i="15"/>
  <c r="AQ238" i="15"/>
  <c r="AR238" i="15" s="1"/>
  <c r="AV238" i="15"/>
  <c r="AQ109" i="15"/>
  <c r="AR109" i="15" s="1"/>
  <c r="AP109" i="15"/>
  <c r="AV109" i="15"/>
  <c r="AP98" i="15"/>
  <c r="AQ98" i="15"/>
  <c r="AR98" i="15" s="1"/>
  <c r="AV98" i="15"/>
  <c r="AP74" i="15"/>
  <c r="AQ74" i="15"/>
  <c r="AR74" i="15" s="1"/>
  <c r="AV74" i="15"/>
  <c r="AP65" i="15"/>
  <c r="AQ65" i="15"/>
  <c r="AR65" i="15" s="1"/>
  <c r="AV65" i="15"/>
  <c r="AQ166" i="15"/>
  <c r="AR166" i="15" s="1"/>
  <c r="AV166" i="15"/>
  <c r="AP166" i="15"/>
  <c r="AQ103" i="15"/>
  <c r="AR103" i="15" s="1"/>
  <c r="AP103" i="15"/>
  <c r="AV103" i="15"/>
  <c r="AP88" i="15"/>
  <c r="AQ88" i="15"/>
  <c r="AR88" i="15" s="1"/>
  <c r="AV88" i="15"/>
  <c r="AQ113" i="15"/>
  <c r="AR113" i="15" s="1"/>
  <c r="AP113" i="15"/>
  <c r="AV113" i="15"/>
  <c r="AQ87" i="15"/>
  <c r="AR87" i="15" s="1"/>
  <c r="AP87" i="15"/>
  <c r="AV87" i="15"/>
  <c r="AV157" i="15"/>
  <c r="AQ157" i="15"/>
  <c r="AR157" i="15" s="1"/>
  <c r="AP157" i="15"/>
  <c r="AP155" i="15"/>
  <c r="AQ155" i="15"/>
  <c r="AR155" i="15" s="1"/>
  <c r="AV155" i="15"/>
  <c r="AP120" i="15"/>
  <c r="AQ120" i="15"/>
  <c r="AR120" i="15" s="1"/>
  <c r="AV120" i="15"/>
  <c r="AP214" i="15"/>
  <c r="AQ214" i="15"/>
  <c r="AR214" i="15" s="1"/>
  <c r="AV214" i="15"/>
  <c r="AP85" i="15"/>
  <c r="AQ85" i="15"/>
  <c r="AR85" i="15" s="1"/>
  <c r="AV85" i="15"/>
  <c r="AQ171" i="15"/>
  <c r="AR171" i="15" s="1"/>
  <c r="AV171" i="15"/>
  <c r="AP171" i="15"/>
  <c r="AP102" i="15"/>
  <c r="AQ102" i="15"/>
  <c r="AR102" i="15" s="1"/>
  <c r="AV102" i="15"/>
  <c r="AQ92" i="15"/>
  <c r="AR92" i="15" s="1"/>
  <c r="AP92" i="15"/>
  <c r="AV92" i="15"/>
  <c r="AP99" i="15"/>
  <c r="AQ99" i="15"/>
  <c r="AR99" i="15" s="1"/>
  <c r="AV99" i="15"/>
  <c r="AP168" i="15"/>
  <c r="AQ168" i="15"/>
  <c r="AR168" i="15" s="1"/>
  <c r="AV168" i="15"/>
  <c r="AP78" i="15"/>
  <c r="AQ78" i="15"/>
  <c r="AR78" i="15" s="1"/>
  <c r="AV78" i="15"/>
  <c r="AQ82" i="15"/>
  <c r="AR82" i="15" s="1"/>
  <c r="AP82" i="15"/>
  <c r="AV82" i="15"/>
  <c r="AP121" i="15"/>
  <c r="AQ121" i="15"/>
  <c r="AR121" i="15" s="1"/>
  <c r="AV121" i="15"/>
  <c r="AP156" i="15"/>
  <c r="AQ156" i="15"/>
  <c r="AR156" i="15" s="1"/>
  <c r="AV156" i="15"/>
  <c r="AP68" i="15"/>
  <c r="AQ68" i="15"/>
  <c r="AR68" i="15" s="1"/>
  <c r="AV68" i="15"/>
  <c r="AP90" i="15"/>
  <c r="AQ90" i="15"/>
  <c r="AR90" i="15" s="1"/>
  <c r="AV90" i="15"/>
  <c r="AQ94" i="15"/>
  <c r="AR94" i="15" s="1"/>
  <c r="AP94" i="15"/>
  <c r="AV94" i="15"/>
  <c r="AQ101" i="15"/>
  <c r="AR101" i="15" s="1"/>
  <c r="AP101" i="15"/>
  <c r="AV101" i="15"/>
  <c r="AP129" i="15"/>
  <c r="AQ129" i="15"/>
  <c r="AR129" i="15" s="1"/>
  <c r="AV129" i="15"/>
  <c r="AV69" i="15"/>
  <c r="AP69" i="15"/>
  <c r="AQ69" i="15"/>
  <c r="AR69" i="15" s="1"/>
  <c r="AQ138" i="15"/>
  <c r="AR138" i="15" s="1"/>
  <c r="AP138" i="15"/>
  <c r="AV138" i="15"/>
  <c r="AQ147" i="15"/>
  <c r="AR147" i="15" s="1"/>
  <c r="AP147" i="15"/>
  <c r="AV147" i="15"/>
  <c r="AQ137" i="15"/>
  <c r="AR137" i="15" s="1"/>
  <c r="AP137" i="15"/>
  <c r="AV137" i="15"/>
  <c r="AP104" i="15"/>
  <c r="AQ104" i="15"/>
  <c r="AR104" i="15" s="1"/>
  <c r="AV104" i="15"/>
  <c r="AQ125" i="15"/>
  <c r="AR125" i="15" s="1"/>
  <c r="AP125" i="15"/>
  <c r="AV125" i="15"/>
  <c r="AP167" i="15"/>
  <c r="AQ167" i="15"/>
  <c r="AR167" i="15" s="1"/>
  <c r="AV167" i="15"/>
  <c r="AP89" i="15"/>
  <c r="AQ89" i="15"/>
  <c r="AR89" i="15" s="1"/>
  <c r="AV89" i="15"/>
  <c r="AP83" i="15"/>
  <c r="AQ83" i="15"/>
  <c r="AR83" i="15" s="1"/>
  <c r="AV83" i="15"/>
  <c r="AP162" i="15"/>
  <c r="AV162" i="15"/>
  <c r="AQ162" i="15"/>
  <c r="AR162" i="15" s="1"/>
  <c r="AP134" i="15"/>
  <c r="AQ134" i="15"/>
  <c r="AR134" i="15" s="1"/>
  <c r="AV134" i="15"/>
  <c r="AQ124" i="15"/>
  <c r="AR124" i="15" s="1"/>
  <c r="AP124" i="15"/>
  <c r="AV124" i="15"/>
  <c r="AQ76" i="15"/>
  <c r="AR76" i="15" s="1"/>
  <c r="AP76" i="15"/>
  <c r="AV76" i="15"/>
  <c r="AQ80" i="15"/>
  <c r="AR80" i="15" s="1"/>
  <c r="AP80" i="15"/>
  <c r="AV80" i="15"/>
  <c r="AQ153" i="15"/>
  <c r="AR153" i="15" s="1"/>
  <c r="AP153" i="15"/>
  <c r="AV153" i="15"/>
  <c r="AQ111" i="15"/>
  <c r="AR111" i="15" s="1"/>
  <c r="AP111" i="15"/>
  <c r="AV111" i="15"/>
  <c r="AQ100" i="15"/>
  <c r="AR100" i="15" s="1"/>
  <c r="AP100" i="15"/>
  <c r="AV100" i="15"/>
  <c r="AP136" i="15"/>
  <c r="AQ136" i="15"/>
  <c r="AR136" i="15" s="1"/>
  <c r="AV136" i="15"/>
  <c r="AQ164" i="15"/>
  <c r="AR164" i="15" s="1"/>
  <c r="AP164" i="15"/>
  <c r="AV164" i="15"/>
  <c r="F157" i="15" l="1"/>
  <c r="L157" i="15" s="1"/>
  <c r="AU157" i="15" s="1"/>
  <c r="AV52" i="15"/>
  <c r="AP52" i="15"/>
  <c r="AQ52" i="15"/>
  <c r="AR52" i="15" s="1"/>
  <c r="F165" i="15"/>
  <c r="L165" i="15" s="1"/>
  <c r="F206" i="15"/>
  <c r="L206" i="15" s="1"/>
  <c r="AW5" i="15"/>
  <c r="AZ5" i="15" s="1"/>
  <c r="AS5" i="15"/>
  <c r="AY5" i="15"/>
  <c r="AU7" i="15"/>
  <c r="M7" i="15"/>
  <c r="V7" i="15"/>
  <c r="Y5" i="15"/>
  <c r="Z5" i="15"/>
  <c r="M6" i="15"/>
  <c r="AU6" i="15"/>
  <c r="V6" i="15"/>
  <c r="M157" i="15" l="1"/>
  <c r="V157" i="15"/>
  <c r="Y157" i="15" s="1"/>
  <c r="AW157" i="15"/>
  <c r="AZ157" i="15" s="1"/>
  <c r="AU206" i="15"/>
  <c r="M206" i="15"/>
  <c r="V206" i="15"/>
  <c r="F59" i="15"/>
  <c r="L59" i="15" s="1"/>
  <c r="M165" i="15"/>
  <c r="AU165" i="15"/>
  <c r="V165" i="15"/>
  <c r="AS6" i="15"/>
  <c r="AY6" i="15"/>
  <c r="AT5" i="15"/>
  <c r="Z7" i="15"/>
  <c r="Y7" i="15"/>
  <c r="AY7" i="15"/>
  <c r="AS7" i="15"/>
  <c r="AW7" i="15"/>
  <c r="AZ7" i="15" s="1"/>
  <c r="AW6" i="15"/>
  <c r="AZ6" i="15" s="1"/>
  <c r="Z6" i="15"/>
  <c r="Y6" i="15"/>
  <c r="AS157" i="15"/>
  <c r="AY157" i="15"/>
  <c r="Z157" i="15" l="1"/>
  <c r="Y165" i="15"/>
  <c r="Z165" i="15"/>
  <c r="AW165" i="15"/>
  <c r="AZ165" i="15" s="1"/>
  <c r="AY165" i="15"/>
  <c r="AS165" i="15"/>
  <c r="M59" i="15"/>
  <c r="AU59" i="15"/>
  <c r="V59" i="15"/>
  <c r="Y206" i="15"/>
  <c r="Z206" i="15"/>
  <c r="AY206" i="15"/>
  <c r="AW206" i="15"/>
  <c r="AZ206" i="15" s="1"/>
  <c r="AS206" i="15"/>
  <c r="AT206" i="15" s="1"/>
  <c r="F60" i="15"/>
  <c r="L60" i="15" s="1"/>
  <c r="AT6" i="15"/>
  <c r="AT7" i="15"/>
  <c r="AT157" i="15"/>
  <c r="Z59" i="15" l="1"/>
  <c r="Y59" i="15"/>
  <c r="F61" i="15"/>
  <c r="L61" i="15" s="1"/>
  <c r="AW59" i="15"/>
  <c r="AZ59" i="15" s="1"/>
  <c r="AS59" i="15"/>
  <c r="AY59" i="15"/>
  <c r="AT165" i="15"/>
  <c r="AU60" i="15"/>
  <c r="M60" i="15"/>
  <c r="V60" i="15"/>
  <c r="AT59" i="15" l="1"/>
  <c r="Z60" i="15"/>
  <c r="Y60" i="15"/>
  <c r="AW60" i="15"/>
  <c r="AZ60" i="15" s="1"/>
  <c r="AS60" i="15"/>
  <c r="AY60" i="15"/>
  <c r="AU61" i="15"/>
  <c r="V61" i="15"/>
  <c r="M61" i="15"/>
  <c r="F62" i="15"/>
  <c r="L62" i="15" s="1"/>
  <c r="AT60" i="15" l="1"/>
  <c r="F63" i="15"/>
  <c r="L63" i="15" s="1"/>
  <c r="M62" i="15"/>
  <c r="V62" i="15"/>
  <c r="AU62" i="15"/>
  <c r="Z61" i="15"/>
  <c r="Y61" i="15"/>
  <c r="AY61" i="15"/>
  <c r="AW61" i="15"/>
  <c r="AZ61" i="15" s="1"/>
  <c r="AS61" i="15"/>
  <c r="AS62" i="15" l="1"/>
  <c r="AY62" i="15"/>
  <c r="AW62" i="15"/>
  <c r="AZ62" i="15" s="1"/>
  <c r="Y62" i="15"/>
  <c r="Z62" i="15"/>
  <c r="V63" i="15"/>
  <c r="M63" i="15"/>
  <c r="AU63" i="15"/>
  <c r="AT61" i="15"/>
  <c r="AY63" i="15" l="1"/>
  <c r="AS63" i="15"/>
  <c r="AW63" i="15"/>
  <c r="AZ63" i="15" s="1"/>
  <c r="Y63" i="15"/>
  <c r="Z63" i="15"/>
  <c r="AT62" i="15"/>
  <c r="AT63" i="15" l="1"/>
  <c r="F227" i="15" l="1"/>
  <c r="L227" i="15" s="1"/>
  <c r="F228" i="15" l="1"/>
  <c r="L228" i="15" s="1"/>
  <c r="AU227" i="15"/>
  <c r="M227" i="15"/>
  <c r="V227" i="15"/>
  <c r="AU228" i="15" l="1"/>
  <c r="V228" i="15"/>
  <c r="M228" i="15"/>
  <c r="F229" i="15"/>
  <c r="L229" i="15" s="1"/>
  <c r="Z227" i="15"/>
  <c r="Y227" i="15"/>
  <c r="AW227" i="15"/>
  <c r="AZ227" i="15" s="1"/>
  <c r="AY227" i="15"/>
  <c r="AS227" i="15"/>
  <c r="M229" i="15" l="1"/>
  <c r="V229" i="15"/>
  <c r="AU229" i="15"/>
  <c r="F230" i="15"/>
  <c r="L230" i="15" s="1"/>
  <c r="AS228" i="15"/>
  <c r="AW228" i="15"/>
  <c r="AZ228" i="15" s="1"/>
  <c r="AY228" i="15"/>
  <c r="Z228" i="15"/>
  <c r="Y228" i="15"/>
  <c r="AT227" i="15"/>
  <c r="AT228" i="15" l="1"/>
  <c r="AU230" i="15"/>
  <c r="V230" i="15"/>
  <c r="M230" i="15"/>
  <c r="AS229" i="15"/>
  <c r="AW229" i="15"/>
  <c r="AZ229" i="15" s="1"/>
  <c r="AY229" i="15"/>
  <c r="Z229" i="15"/>
  <c r="Y229" i="15"/>
  <c r="F231" i="15"/>
  <c r="L231" i="15" s="1"/>
  <c r="M231" i="15" l="1"/>
  <c r="V231" i="15"/>
  <c r="AU231" i="15"/>
  <c r="AT229" i="15"/>
  <c r="Z230" i="15"/>
  <c r="Y230" i="15"/>
  <c r="F232" i="15"/>
  <c r="L232" i="15" s="1"/>
  <c r="AY230" i="15"/>
  <c r="AS230" i="15"/>
  <c r="AW230" i="15"/>
  <c r="AZ230" i="15" s="1"/>
  <c r="AT230" i="15" l="1"/>
  <c r="V232" i="15"/>
  <c r="AU232" i="15"/>
  <c r="M232" i="15"/>
  <c r="F233" i="15"/>
  <c r="L233" i="15" s="1"/>
  <c r="AW231" i="15"/>
  <c r="AZ231" i="15" s="1"/>
  <c r="AY231" i="15"/>
  <c r="AS231" i="15"/>
  <c r="Y231" i="15"/>
  <c r="Z231" i="15"/>
  <c r="AU233" i="15" l="1"/>
  <c r="V233" i="15"/>
  <c r="M233" i="15"/>
  <c r="AW232" i="15"/>
  <c r="AZ232" i="15" s="1"/>
  <c r="AY232" i="15"/>
  <c r="AS232" i="15"/>
  <c r="Y232" i="15"/>
  <c r="Z232" i="15"/>
  <c r="AT231" i="15"/>
  <c r="F234" i="15"/>
  <c r="L234" i="15" s="1"/>
  <c r="AT232" i="15" l="1"/>
  <c r="Y233" i="15"/>
  <c r="Z233" i="15"/>
  <c r="AY233" i="15"/>
  <c r="AW233" i="15"/>
  <c r="AZ233" i="15" s="1"/>
  <c r="AS233" i="15"/>
  <c r="V234" i="15"/>
  <c r="AU234" i="15"/>
  <c r="M234" i="15"/>
  <c r="F235" i="15"/>
  <c r="L235" i="15" s="1"/>
  <c r="AY234" i="15" l="1"/>
  <c r="AW234" i="15"/>
  <c r="AZ234" i="15" s="1"/>
  <c r="AS234" i="15"/>
  <c r="AT233" i="15"/>
  <c r="V235" i="15"/>
  <c r="M235" i="15"/>
  <c r="AU235" i="15"/>
  <c r="Y234" i="15"/>
  <c r="Z234" i="15"/>
  <c r="F236" i="15"/>
  <c r="L236" i="15" s="1"/>
  <c r="F237" i="15"/>
  <c r="L237" i="15" s="1"/>
  <c r="AU236" i="15" l="1"/>
  <c r="M236" i="15"/>
  <c r="V236" i="15"/>
  <c r="AY235" i="15"/>
  <c r="AW235" i="15"/>
  <c r="AZ235" i="15" s="1"/>
  <c r="AS235" i="15"/>
  <c r="Z235" i="15"/>
  <c r="Y235" i="15"/>
  <c r="AT234" i="15"/>
  <c r="AU237" i="15"/>
  <c r="M237" i="15"/>
  <c r="V237" i="15"/>
  <c r="AY237" i="15" l="1"/>
  <c r="AW237" i="15"/>
  <c r="AZ237" i="15" s="1"/>
  <c r="AS237" i="15"/>
  <c r="AT235" i="15"/>
  <c r="Y236" i="15"/>
  <c r="Z236" i="15"/>
  <c r="Y237" i="15"/>
  <c r="Z237" i="15"/>
  <c r="AW236" i="15"/>
  <c r="AZ236" i="15" s="1"/>
  <c r="AS236" i="15"/>
  <c r="AY236" i="15"/>
  <c r="AT237" i="15" l="1"/>
  <c r="AT236" i="15"/>
  <c r="F48" i="15" l="1"/>
  <c r="L48" i="15" s="1"/>
  <c r="M48" i="15" l="1"/>
  <c r="AU48" i="15"/>
  <c r="V48" i="15"/>
  <c r="Y48" i="15" l="1"/>
  <c r="Z48" i="15"/>
  <c r="AS48" i="15"/>
  <c r="AT48" i="15" s="1"/>
  <c r="AW48" i="15"/>
  <c r="AZ48" i="15" s="1"/>
  <c r="AY48" i="15"/>
  <c r="F49" i="15" l="1"/>
  <c r="L49" i="15" s="1"/>
  <c r="M49" i="15" l="1"/>
  <c r="AU49" i="15"/>
  <c r="V49" i="15"/>
  <c r="Y49" i="15" l="1"/>
  <c r="Z49" i="15"/>
  <c r="AS49" i="15"/>
  <c r="AT49" i="15" s="1"/>
  <c r="AY49" i="15"/>
  <c r="AW49" i="15"/>
  <c r="AZ49" i="15" s="1"/>
  <c r="F207" i="15" l="1"/>
  <c r="L207" i="15" s="1"/>
  <c r="AU207" i="15" l="1"/>
  <c r="M207" i="15"/>
  <c r="V207" i="15"/>
  <c r="Y207" i="15" l="1"/>
  <c r="Z207" i="15"/>
  <c r="AW207" i="15"/>
  <c r="AZ207" i="15" s="1"/>
  <c r="AS207" i="15"/>
  <c r="AT207" i="15" s="1"/>
  <c r="AY207" i="15"/>
  <c r="F155" i="15" l="1"/>
  <c r="L155" i="15" s="1"/>
  <c r="M155" i="15" s="1"/>
  <c r="V155" i="15" l="1"/>
  <c r="AU155" i="15"/>
  <c r="AW155" i="15" s="1"/>
  <c r="AZ155" i="15" s="1"/>
  <c r="Y155" i="15" l="1"/>
  <c r="AS155" i="15"/>
  <c r="AT155" i="15" s="1"/>
  <c r="Z155" i="15"/>
  <c r="AY155" i="15"/>
  <c r="F8" i="15" l="1"/>
  <c r="L8" i="15" s="1"/>
  <c r="M8" i="15" s="1"/>
  <c r="AU8" i="15" l="1"/>
  <c r="V8" i="15"/>
  <c r="Y8" i="15" s="1"/>
  <c r="F9" i="15"/>
  <c r="L9" i="15" s="1"/>
  <c r="F10" i="15"/>
  <c r="L10" i="15" s="1"/>
  <c r="AS8" i="15" l="1"/>
  <c r="AT8" i="15" s="1"/>
  <c r="AY8" i="15"/>
  <c r="Z8" i="15"/>
  <c r="AW8" i="15"/>
  <c r="AZ8" i="15" s="1"/>
  <c r="F51" i="15"/>
  <c r="L51" i="15" s="1"/>
  <c r="V9" i="15"/>
  <c r="M9" i="15"/>
  <c r="AU9" i="15"/>
  <c r="F11" i="15"/>
  <c r="L11" i="15" s="1"/>
  <c r="M10" i="15"/>
  <c r="V10" i="15"/>
  <c r="AU10" i="15"/>
  <c r="AU51" i="15" l="1"/>
  <c r="M51" i="15"/>
  <c r="V51" i="15"/>
  <c r="F50" i="15"/>
  <c r="L50" i="15" s="1"/>
  <c r="AY9" i="15"/>
  <c r="AS9" i="15"/>
  <c r="AW9" i="15"/>
  <c r="AZ9" i="15" s="1"/>
  <c r="Z9" i="15"/>
  <c r="Y9" i="15"/>
  <c r="AY10" i="15"/>
  <c r="AW10" i="15"/>
  <c r="AZ10" i="15" s="1"/>
  <c r="AS10" i="15"/>
  <c r="M11" i="15"/>
  <c r="V11" i="15"/>
  <c r="AU11" i="15"/>
  <c r="F12" i="15"/>
  <c r="L12" i="15" s="1"/>
  <c r="Z10" i="15"/>
  <c r="Y10" i="15"/>
  <c r="V50" i="15" l="1"/>
  <c r="M50" i="15"/>
  <c r="AU50" i="15"/>
  <c r="F52" i="15"/>
  <c r="L52" i="15" s="1"/>
  <c r="Y51" i="15"/>
  <c r="Z51" i="15"/>
  <c r="AW51" i="15"/>
  <c r="AZ51" i="15" s="1"/>
  <c r="AS51" i="15"/>
  <c r="AY51" i="15"/>
  <c r="AT9" i="15"/>
  <c r="V12" i="15"/>
  <c r="AU12" i="15"/>
  <c r="M12" i="15"/>
  <c r="AT10" i="15"/>
  <c r="F13" i="15"/>
  <c r="L13" i="15" s="1"/>
  <c r="Y11" i="15"/>
  <c r="Z11" i="15"/>
  <c r="AS11" i="15"/>
  <c r="AT11" i="15" s="1"/>
  <c r="AY11" i="15"/>
  <c r="AW11" i="15"/>
  <c r="AZ11" i="15" s="1"/>
  <c r="M52" i="15" l="1"/>
  <c r="AU52" i="15"/>
  <c r="V52" i="15"/>
  <c r="F53" i="15"/>
  <c r="L53" i="15" s="1"/>
  <c r="AS50" i="15"/>
  <c r="AW50" i="15"/>
  <c r="AZ50" i="15" s="1"/>
  <c r="AY50" i="15"/>
  <c r="AT51" i="15"/>
  <c r="Y50" i="15"/>
  <c r="Z50" i="15"/>
  <c r="AU13" i="15"/>
  <c r="V13" i="15"/>
  <c r="M13" i="15"/>
  <c r="F14" i="15"/>
  <c r="L14" i="15" s="1"/>
  <c r="AW12" i="15"/>
  <c r="AZ12" i="15" s="1"/>
  <c r="AS12" i="15"/>
  <c r="AT12" i="15" s="1"/>
  <c r="AY12" i="15"/>
  <c r="Z12" i="15"/>
  <c r="Y12" i="15"/>
  <c r="AW52" i="15" l="1"/>
  <c r="AZ52" i="15" s="1"/>
  <c r="AS52" i="15"/>
  <c r="AY52" i="15"/>
  <c r="AT50" i="15"/>
  <c r="Y52" i="15"/>
  <c r="Z52" i="15"/>
  <c r="M53" i="15"/>
  <c r="V53" i="15"/>
  <c r="AU53" i="15"/>
  <c r="F54" i="15"/>
  <c r="L54" i="15" s="1"/>
  <c r="V14" i="15"/>
  <c r="AU14" i="15"/>
  <c r="M14" i="15"/>
  <c r="Z13" i="15"/>
  <c r="Y13" i="15"/>
  <c r="AW13" i="15"/>
  <c r="AZ13" i="15" s="1"/>
  <c r="AS13" i="15"/>
  <c r="AY13" i="15"/>
  <c r="F56" i="15" l="1"/>
  <c r="L56" i="15" s="1"/>
  <c r="Y53" i="15"/>
  <c r="Z53" i="15"/>
  <c r="M54" i="15"/>
  <c r="AU54" i="15"/>
  <c r="V54" i="15"/>
  <c r="AY53" i="15"/>
  <c r="AS53" i="15"/>
  <c r="AW53" i="15"/>
  <c r="AZ53" i="15" s="1"/>
  <c r="AT52" i="15"/>
  <c r="F15" i="15"/>
  <c r="L15" i="15" s="1"/>
  <c r="AT13" i="15"/>
  <c r="AS14" i="15"/>
  <c r="AT14" i="15" s="1"/>
  <c r="AY14" i="15"/>
  <c r="AW14" i="15"/>
  <c r="AZ14" i="15" s="1"/>
  <c r="Z14" i="15"/>
  <c r="Y14" i="15"/>
  <c r="AU56" i="15" l="1"/>
  <c r="M56" i="15"/>
  <c r="V56" i="15"/>
  <c r="Y54" i="15"/>
  <c r="Z54" i="15"/>
  <c r="AY54" i="15"/>
  <c r="AS54" i="15"/>
  <c r="AW54" i="15"/>
  <c r="AZ54" i="15" s="1"/>
  <c r="F57" i="15"/>
  <c r="L57" i="15" s="1"/>
  <c r="AT53" i="15"/>
  <c r="AU15" i="15"/>
  <c r="M15" i="15"/>
  <c r="V15" i="15"/>
  <c r="Y56" i="15" l="1"/>
  <c r="Z56" i="15"/>
  <c r="F58" i="15"/>
  <c r="L58" i="15" s="1"/>
  <c r="F210" i="15"/>
  <c r="L210" i="15" s="1"/>
  <c r="AY56" i="15"/>
  <c r="AS56" i="15"/>
  <c r="AW56" i="15"/>
  <c r="AZ56" i="15" s="1"/>
  <c r="AU57" i="15"/>
  <c r="M57" i="15"/>
  <c r="V57" i="15"/>
  <c r="AT54" i="15"/>
  <c r="F16" i="15"/>
  <c r="L16" i="15" s="1"/>
  <c r="Y15" i="15"/>
  <c r="Z15" i="15"/>
  <c r="AY15" i="15"/>
  <c r="AW15" i="15"/>
  <c r="AZ15" i="15" s="1"/>
  <c r="AS15" i="15"/>
  <c r="Y57" i="15" l="1"/>
  <c r="Z57" i="15"/>
  <c r="AT56" i="15"/>
  <c r="V210" i="15"/>
  <c r="AU210" i="15"/>
  <c r="M210" i="15"/>
  <c r="V58" i="15"/>
  <c r="M58" i="15"/>
  <c r="AU58" i="15"/>
  <c r="AW57" i="15"/>
  <c r="AZ57" i="15" s="1"/>
  <c r="AY57" i="15"/>
  <c r="AS57" i="15"/>
  <c r="F17" i="15"/>
  <c r="L17" i="15" s="1"/>
  <c r="M16" i="15"/>
  <c r="V16" i="15"/>
  <c r="AU16" i="15"/>
  <c r="AT15" i="15"/>
  <c r="AS58" i="15" l="1"/>
  <c r="AW58" i="15"/>
  <c r="AZ58" i="15" s="1"/>
  <c r="AY58" i="15"/>
  <c r="AT57" i="15"/>
  <c r="AY210" i="15"/>
  <c r="AS210" i="15"/>
  <c r="AW210" i="15"/>
  <c r="AZ210" i="15" s="1"/>
  <c r="Y58" i="15"/>
  <c r="Z58" i="15"/>
  <c r="Y210" i="15"/>
  <c r="Z210" i="15"/>
  <c r="AS16" i="15"/>
  <c r="AW16" i="15"/>
  <c r="AZ16" i="15" s="1"/>
  <c r="AY16" i="15"/>
  <c r="Z16" i="15"/>
  <c r="Y16" i="15"/>
  <c r="F18" i="15"/>
  <c r="L18" i="15" s="1"/>
  <c r="M17" i="15"/>
  <c r="AU17" i="15"/>
  <c r="V17" i="15"/>
  <c r="AT58" i="15" l="1"/>
  <c r="AT210" i="15"/>
  <c r="F19" i="15"/>
  <c r="L19" i="15" s="1"/>
  <c r="AW17" i="15"/>
  <c r="AZ17" i="15" s="1"/>
  <c r="AS17" i="15"/>
  <c r="AY17" i="15"/>
  <c r="M18" i="15"/>
  <c r="V18" i="15"/>
  <c r="AU18" i="15"/>
  <c r="Z17" i="15"/>
  <c r="Y17" i="15"/>
  <c r="AT16" i="15"/>
  <c r="AW18" i="15" l="1"/>
  <c r="AZ18" i="15" s="1"/>
  <c r="AY18" i="15"/>
  <c r="AS18" i="15"/>
  <c r="AT18" i="15" s="1"/>
  <c r="Z18" i="15"/>
  <c r="Y18" i="15"/>
  <c r="AT17" i="15"/>
  <c r="V19" i="15"/>
  <c r="M19" i="15"/>
  <c r="AU19" i="15"/>
  <c r="AY19" i="15" l="1"/>
  <c r="AS19" i="15"/>
  <c r="AW19" i="15"/>
  <c r="AZ19" i="15" s="1"/>
  <c r="Y19" i="15"/>
  <c r="Z19" i="15"/>
  <c r="F20" i="15"/>
  <c r="L20" i="15" s="1"/>
  <c r="M20" i="15" l="1"/>
  <c r="AU20" i="15"/>
  <c r="V20" i="15"/>
  <c r="AT19" i="15"/>
  <c r="Y20" i="15" l="1"/>
  <c r="Z20" i="15"/>
  <c r="AY20" i="15"/>
  <c r="AS20" i="15"/>
  <c r="AW20" i="15"/>
  <c r="AZ20" i="15" s="1"/>
  <c r="AT20" i="15" l="1"/>
  <c r="F21" i="15"/>
  <c r="L21" i="15" s="1"/>
  <c r="F22" i="15" l="1"/>
  <c r="L22" i="15" s="1"/>
  <c r="AU21" i="15"/>
  <c r="M21" i="15"/>
  <c r="V21" i="15"/>
  <c r="Y21" i="15" l="1"/>
  <c r="Z21" i="15"/>
  <c r="AS21" i="15"/>
  <c r="AW21" i="15"/>
  <c r="AZ21" i="15" s="1"/>
  <c r="AY21" i="15"/>
  <c r="M22" i="15"/>
  <c r="AU22" i="15"/>
  <c r="V22" i="15"/>
  <c r="F23" i="15"/>
  <c r="L23" i="15" s="1"/>
  <c r="AS22" i="15" l="1"/>
  <c r="AW22" i="15"/>
  <c r="AZ22" i="15" s="1"/>
  <c r="AY22" i="15"/>
  <c r="AT21" i="15"/>
  <c r="Z22" i="15"/>
  <c r="Y22" i="15"/>
  <c r="AU23" i="15"/>
  <c r="V23" i="15"/>
  <c r="M23" i="15"/>
  <c r="F24" i="15"/>
  <c r="L24" i="15" s="1"/>
  <c r="AW23" i="15" l="1"/>
  <c r="AZ23" i="15" s="1"/>
  <c r="AS23" i="15"/>
  <c r="AY23" i="15"/>
  <c r="Z23" i="15"/>
  <c r="Y23" i="15"/>
  <c r="M24" i="15"/>
  <c r="AU24" i="15"/>
  <c r="V24" i="15"/>
  <c r="AT22" i="15"/>
  <c r="F25" i="15" l="1"/>
  <c r="L25" i="15" s="1"/>
  <c r="Y24" i="15"/>
  <c r="Z24" i="15"/>
  <c r="AW24" i="15"/>
  <c r="AZ24" i="15" s="1"/>
  <c r="AS24" i="15"/>
  <c r="AY24" i="15"/>
  <c r="AT23" i="15"/>
  <c r="AT24" i="15" l="1"/>
  <c r="V25" i="15"/>
  <c r="AU25" i="15"/>
  <c r="M25" i="15"/>
  <c r="Y25" i="15" l="1"/>
  <c r="Z25" i="15"/>
  <c r="AY25" i="15"/>
  <c r="AW25" i="15"/>
  <c r="AZ25" i="15" s="1"/>
  <c r="AS25" i="15"/>
  <c r="AT25" i="15" l="1"/>
  <c r="F26" i="15" l="1"/>
  <c r="L26" i="15" s="1"/>
  <c r="V26" i="15" l="1"/>
  <c r="M26" i="15"/>
  <c r="AU26" i="15"/>
  <c r="F27" i="15"/>
  <c r="L27" i="15" s="1"/>
  <c r="V27" i="15" l="1"/>
  <c r="AU27" i="15"/>
  <c r="M27" i="15"/>
  <c r="AS26" i="15"/>
  <c r="AY26" i="15"/>
  <c r="AW26" i="15"/>
  <c r="AZ26" i="15" s="1"/>
  <c r="Y26" i="15"/>
  <c r="Z26" i="15"/>
  <c r="F29" i="15"/>
  <c r="L29" i="15" s="1"/>
  <c r="F28" i="15"/>
  <c r="L28" i="15" l="1"/>
  <c r="AU29" i="15"/>
  <c r="M29" i="15"/>
  <c r="V29" i="15"/>
  <c r="AT26" i="15"/>
  <c r="AS27" i="15"/>
  <c r="AW27" i="15"/>
  <c r="AZ27" i="15" s="1"/>
  <c r="AY27" i="15"/>
  <c r="Z27" i="15"/>
  <c r="Y27" i="15"/>
  <c r="F30" i="15" l="1"/>
  <c r="L30" i="15" s="1"/>
  <c r="AU28" i="15"/>
  <c r="M28" i="15"/>
  <c r="V28" i="15"/>
  <c r="AT27" i="15"/>
  <c r="AS29" i="15"/>
  <c r="AW29" i="15"/>
  <c r="AZ29" i="15" s="1"/>
  <c r="AY29" i="15"/>
  <c r="Z29" i="15"/>
  <c r="Y29" i="15"/>
  <c r="F31" i="15" l="1"/>
  <c r="L31" i="15" s="1"/>
  <c r="V30" i="15"/>
  <c r="AU30" i="15"/>
  <c r="M30" i="15"/>
  <c r="Z28" i="15"/>
  <c r="Y28" i="15"/>
  <c r="AS28" i="15"/>
  <c r="AW28" i="15"/>
  <c r="AZ28" i="15" s="1"/>
  <c r="AY28" i="15"/>
  <c r="AT29" i="15"/>
  <c r="Z30" i="15" l="1"/>
  <c r="Y30" i="15"/>
  <c r="AW30" i="15"/>
  <c r="AZ30" i="15" s="1"/>
  <c r="AS30" i="15"/>
  <c r="AT30" i="15" s="1"/>
  <c r="AY30" i="15"/>
  <c r="M31" i="15"/>
  <c r="AU31" i="15"/>
  <c r="V31" i="15"/>
  <c r="F32" i="15"/>
  <c r="L32" i="15" s="1"/>
  <c r="AT28" i="15"/>
  <c r="Z31" i="15" l="1"/>
  <c r="Y31" i="15"/>
  <c r="M32" i="15"/>
  <c r="V32" i="15"/>
  <c r="AU32" i="15"/>
  <c r="AY31" i="15"/>
  <c r="AS31" i="15"/>
  <c r="AW31" i="15"/>
  <c r="AZ31" i="15" s="1"/>
  <c r="F33" i="15"/>
  <c r="L33" i="15" s="1"/>
  <c r="AU33" i="15" l="1"/>
  <c r="V33" i="15"/>
  <c r="M33" i="15"/>
  <c r="AW32" i="15"/>
  <c r="AZ32" i="15" s="1"/>
  <c r="AY32" i="15"/>
  <c r="AS32" i="15"/>
  <c r="Y32" i="15"/>
  <c r="Z32" i="15"/>
  <c r="AT31" i="15"/>
  <c r="F34" i="15"/>
  <c r="L34" i="15" s="1"/>
  <c r="V34" i="15" l="1"/>
  <c r="AU34" i="15"/>
  <c r="M34" i="15"/>
  <c r="AT32" i="15"/>
  <c r="F35" i="15"/>
  <c r="L35" i="15" s="1"/>
  <c r="Y33" i="15"/>
  <c r="Z33" i="15"/>
  <c r="AS33" i="15"/>
  <c r="AY33" i="15"/>
  <c r="AW33" i="15"/>
  <c r="AZ33" i="15" s="1"/>
  <c r="AT33" i="15" l="1"/>
  <c r="M35" i="15"/>
  <c r="AU35" i="15"/>
  <c r="V35" i="15"/>
  <c r="AY34" i="15"/>
  <c r="AW34" i="15"/>
  <c r="AZ34" i="15" s="1"/>
  <c r="AS34" i="15"/>
  <c r="Z34" i="15"/>
  <c r="Y34" i="15"/>
  <c r="AS35" i="15" l="1"/>
  <c r="AT35" i="15" s="1"/>
  <c r="AY35" i="15"/>
  <c r="AW35" i="15"/>
  <c r="AZ35" i="15" s="1"/>
  <c r="Y35" i="15"/>
  <c r="Z35" i="15"/>
  <c r="AT34" i="15"/>
  <c r="F36" i="15" l="1"/>
  <c r="L36" i="15" s="1"/>
  <c r="F151" i="15" l="1"/>
  <c r="L151" i="15" s="1"/>
  <c r="V36" i="15"/>
  <c r="M36" i="15"/>
  <c r="AU36" i="15"/>
  <c r="AW36" i="15" l="1"/>
  <c r="AZ36" i="15" s="1"/>
  <c r="AS36" i="15"/>
  <c r="AT36" i="15" s="1"/>
  <c r="AY36" i="15"/>
  <c r="Z36" i="15"/>
  <c r="Y36" i="15"/>
  <c r="V151" i="15"/>
  <c r="M151" i="15"/>
  <c r="AU151" i="15"/>
  <c r="F37" i="15"/>
  <c r="L37" i="15" s="1"/>
  <c r="AY151" i="15" l="1"/>
  <c r="AS151" i="15"/>
  <c r="AW151" i="15"/>
  <c r="AZ151" i="15" s="1"/>
  <c r="Y151" i="15"/>
  <c r="Z151" i="15"/>
  <c r="M37" i="15"/>
  <c r="AU37" i="15"/>
  <c r="V37" i="15"/>
  <c r="F39" i="15" l="1"/>
  <c r="L39" i="15" s="1"/>
  <c r="AS37" i="15"/>
  <c r="AT37" i="15" s="1"/>
  <c r="AY37" i="15"/>
  <c r="AW37" i="15"/>
  <c r="AZ37" i="15" s="1"/>
  <c r="AT151" i="15"/>
  <c r="Y37" i="15"/>
  <c r="Z37" i="15"/>
  <c r="AU39" i="15" l="1"/>
  <c r="M39" i="15"/>
  <c r="V39" i="15"/>
  <c r="F38" i="15"/>
  <c r="L38" i="15" s="1"/>
  <c r="Y39" i="15" l="1"/>
  <c r="Z39" i="15"/>
  <c r="AY39" i="15"/>
  <c r="AS39" i="15"/>
  <c r="AT39" i="15" s="1"/>
  <c r="AW39" i="15"/>
  <c r="AZ39" i="15" s="1"/>
  <c r="M38" i="15"/>
  <c r="AU38" i="15"/>
  <c r="V38" i="15"/>
  <c r="Z38" i="15" l="1"/>
  <c r="Y38" i="15"/>
  <c r="AS38" i="15"/>
  <c r="AT38" i="15" s="1"/>
  <c r="AY38" i="15"/>
  <c r="AW38" i="15"/>
  <c r="AZ38" i="15" s="1"/>
  <c r="F40" i="15" l="1"/>
  <c r="L40" i="15" s="1"/>
  <c r="V40" i="15" l="1"/>
  <c r="M40" i="15"/>
  <c r="AU40" i="15"/>
  <c r="AS40" i="15" l="1"/>
  <c r="AT40" i="15" s="1"/>
  <c r="AY40" i="15"/>
  <c r="AW40" i="15"/>
  <c r="AZ40" i="15" s="1"/>
  <c r="Z40" i="15"/>
  <c r="Y40" i="15"/>
  <c r="F41" i="15"/>
  <c r="L41" i="15" s="1"/>
  <c r="F152" i="15" l="1"/>
  <c r="L152" i="15" s="1"/>
  <c r="M41" i="15"/>
  <c r="AU41" i="15"/>
  <c r="V41" i="15"/>
  <c r="V152" i="15" l="1"/>
  <c r="M152" i="15"/>
  <c r="AU152" i="15"/>
  <c r="F160" i="15"/>
  <c r="L160" i="15" s="1"/>
  <c r="F159" i="15"/>
  <c r="L159" i="15" s="1"/>
  <c r="F42" i="15"/>
  <c r="L42" i="15" s="1"/>
  <c r="Y41" i="15"/>
  <c r="Z41" i="15"/>
  <c r="AW41" i="15"/>
  <c r="AZ41" i="15" s="1"/>
  <c r="AS41" i="15"/>
  <c r="AT41" i="15" s="1"/>
  <c r="AY41" i="15"/>
  <c r="V159" i="15" l="1"/>
  <c r="AU159" i="15"/>
  <c r="M159" i="15"/>
  <c r="AU160" i="15"/>
  <c r="M160" i="15"/>
  <c r="V160" i="15"/>
  <c r="AS152" i="15"/>
  <c r="AY152" i="15"/>
  <c r="AW152" i="15"/>
  <c r="AZ152" i="15" s="1"/>
  <c r="Y152" i="15"/>
  <c r="Z152" i="15"/>
  <c r="F43" i="15"/>
  <c r="L43" i="15" s="1"/>
  <c r="AU42" i="15"/>
  <c r="V42" i="15"/>
  <c r="M42" i="15"/>
  <c r="AT152" i="15" l="1"/>
  <c r="Z160" i="15"/>
  <c r="Y160" i="15"/>
  <c r="AS160" i="15"/>
  <c r="AY160" i="15"/>
  <c r="AW160" i="15"/>
  <c r="AZ160" i="15" s="1"/>
  <c r="AW159" i="15"/>
  <c r="AZ159" i="15" s="1"/>
  <c r="AY159" i="15"/>
  <c r="AS159" i="15"/>
  <c r="Y159" i="15"/>
  <c r="Z159" i="15"/>
  <c r="AU43" i="15"/>
  <c r="M43" i="15"/>
  <c r="V43" i="15"/>
  <c r="F161" i="15"/>
  <c r="L161" i="15" s="1"/>
  <c r="Z42" i="15"/>
  <c r="Y42" i="15"/>
  <c r="AY42" i="15"/>
  <c r="AS42" i="15"/>
  <c r="AT42" i="15" s="1"/>
  <c r="AW42" i="15"/>
  <c r="AZ42" i="15" s="1"/>
  <c r="AT159" i="15" l="1"/>
  <c r="AT160" i="15"/>
  <c r="AU161" i="15"/>
  <c r="M161" i="15"/>
  <c r="V161" i="15"/>
  <c r="F153" i="15"/>
  <c r="L153" i="15" s="1"/>
  <c r="Y43" i="15"/>
  <c r="Z43" i="15"/>
  <c r="AS43" i="15"/>
  <c r="AT43" i="15" s="1"/>
  <c r="AW43" i="15"/>
  <c r="AZ43" i="15" s="1"/>
  <c r="AY43" i="15"/>
  <c r="V153" i="15" l="1"/>
  <c r="M153" i="15"/>
  <c r="AU153" i="15"/>
  <c r="Y161" i="15"/>
  <c r="Z161" i="15"/>
  <c r="AY161" i="15"/>
  <c r="AS161" i="15"/>
  <c r="AW161" i="15"/>
  <c r="AZ161" i="15" s="1"/>
  <c r="F44" i="15"/>
  <c r="L44" i="15" s="1"/>
  <c r="AT161" i="15" l="1"/>
  <c r="F162" i="15"/>
  <c r="L162" i="15" s="1"/>
  <c r="AU44" i="15"/>
  <c r="M44" i="15"/>
  <c r="V44" i="15"/>
  <c r="AS153" i="15"/>
  <c r="AY153" i="15"/>
  <c r="AW153" i="15"/>
  <c r="AZ153" i="15" s="1"/>
  <c r="Z153" i="15"/>
  <c r="Y153" i="15"/>
  <c r="AT153" i="15" l="1"/>
  <c r="Y44" i="15"/>
  <c r="Z44" i="15"/>
  <c r="F163" i="15"/>
  <c r="L163" i="15" s="1"/>
  <c r="AW44" i="15"/>
  <c r="AZ44" i="15" s="1"/>
  <c r="AS44" i="15"/>
  <c r="AY44" i="15"/>
  <c r="AU162" i="15"/>
  <c r="M162" i="15"/>
  <c r="V162" i="15"/>
  <c r="AT44" i="15" l="1"/>
  <c r="AY162" i="15"/>
  <c r="AS162" i="15"/>
  <c r="AW162" i="15"/>
  <c r="AZ162" i="15" s="1"/>
  <c r="AU163" i="15"/>
  <c r="M163" i="15"/>
  <c r="V163" i="15"/>
  <c r="Z162" i="15"/>
  <c r="Y162" i="15"/>
  <c r="Y163" i="15" l="1"/>
  <c r="Z163" i="15"/>
  <c r="AY163" i="15"/>
  <c r="AS163" i="15"/>
  <c r="AW163" i="15"/>
  <c r="AZ163" i="15" s="1"/>
  <c r="AT162" i="15"/>
  <c r="F205" i="15"/>
  <c r="L205" i="15" s="1"/>
  <c r="AT163" i="15" l="1"/>
  <c r="F45" i="15"/>
  <c r="L45" i="15" s="1"/>
  <c r="M205" i="15"/>
  <c r="V205" i="15"/>
  <c r="AU205" i="15"/>
  <c r="F47" i="15" l="1"/>
  <c r="L47" i="15" s="1"/>
  <c r="F164" i="15"/>
  <c r="L164" i="15" s="1"/>
  <c r="V45" i="15"/>
  <c r="M45" i="15"/>
  <c r="AU45" i="15"/>
  <c r="AS205" i="15"/>
  <c r="AT205" i="15" s="1"/>
  <c r="AY205" i="15"/>
  <c r="AW205" i="15"/>
  <c r="AZ205" i="15" s="1"/>
  <c r="Z205" i="15"/>
  <c r="Y205" i="15"/>
  <c r="AU47" i="15" l="1"/>
  <c r="V47" i="15"/>
  <c r="M47" i="15"/>
  <c r="AW45" i="15"/>
  <c r="AZ45" i="15" s="1"/>
  <c r="AS45" i="15"/>
  <c r="AT45" i="15" s="1"/>
  <c r="AY45" i="15"/>
  <c r="F46" i="15"/>
  <c r="L46" i="15" s="1"/>
  <c r="Z45" i="15"/>
  <c r="Y45" i="15"/>
  <c r="V164" i="15"/>
  <c r="AU164" i="15"/>
  <c r="M164" i="15"/>
  <c r="Z47" i="15" l="1"/>
  <c r="Y47" i="15"/>
  <c r="AS47" i="15"/>
  <c r="AT47" i="15" s="1"/>
  <c r="AY47" i="15"/>
  <c r="AW47" i="15"/>
  <c r="AZ47" i="15" s="1"/>
  <c r="AW164" i="15"/>
  <c r="AZ164" i="15" s="1"/>
  <c r="AS164" i="15"/>
  <c r="AY164" i="15"/>
  <c r="Z164" i="15"/>
  <c r="Y164" i="15"/>
  <c r="AU46" i="15"/>
  <c r="M46" i="15"/>
  <c r="V46" i="15"/>
  <c r="Y46" i="15" l="1"/>
  <c r="Z46" i="15"/>
  <c r="AW46" i="15"/>
  <c r="AZ46" i="15" s="1"/>
  <c r="AS46" i="15"/>
  <c r="AT46" i="15" s="1"/>
  <c r="AY46" i="15"/>
  <c r="F66" i="15"/>
  <c r="L66" i="15" s="1"/>
  <c r="AT164" i="15"/>
  <c r="F67" i="15"/>
  <c r="L67" i="15" s="1"/>
  <c r="M67" i="15" l="1"/>
  <c r="V67" i="15"/>
  <c r="AU67" i="15"/>
  <c r="F166" i="15"/>
  <c r="L166" i="15" s="1"/>
  <c r="M66" i="15"/>
  <c r="AU66" i="15"/>
  <c r="V66" i="15"/>
  <c r="M166" i="15" l="1"/>
  <c r="V166" i="15"/>
  <c r="AU166" i="15"/>
  <c r="AY67" i="15"/>
  <c r="AW67" i="15"/>
  <c r="AZ67" i="15" s="1"/>
  <c r="AS67" i="15"/>
  <c r="Z67" i="15"/>
  <c r="Y67" i="15"/>
  <c r="Z66" i="15"/>
  <c r="Y66" i="15"/>
  <c r="AY66" i="15"/>
  <c r="AS66" i="15"/>
  <c r="AT66" i="15" s="1"/>
  <c r="AW66" i="15"/>
  <c r="AZ66" i="15" s="1"/>
  <c r="F68" i="15"/>
  <c r="L68" i="15" s="1"/>
  <c r="AT67" i="15" l="1"/>
  <c r="F69" i="15"/>
  <c r="L69" i="15" s="1"/>
  <c r="AW166" i="15"/>
  <c r="AZ166" i="15" s="1"/>
  <c r="AS166" i="15"/>
  <c r="AY166" i="15"/>
  <c r="V68" i="15"/>
  <c r="M68" i="15"/>
  <c r="AU68" i="15"/>
  <c r="Y166" i="15"/>
  <c r="Z166" i="15"/>
  <c r="AT166" i="15" l="1"/>
  <c r="M69" i="15"/>
  <c r="AU69" i="15"/>
  <c r="V69" i="15"/>
  <c r="Y68" i="15"/>
  <c r="Z68" i="15"/>
  <c r="AW68" i="15"/>
  <c r="AZ68" i="15" s="1"/>
  <c r="AY68" i="15"/>
  <c r="AS68" i="15"/>
  <c r="F169" i="15" l="1"/>
  <c r="L169" i="15" s="1"/>
  <c r="F167" i="15"/>
  <c r="L167" i="15" s="1"/>
  <c r="Z69" i="15"/>
  <c r="Y69" i="15"/>
  <c r="AY69" i="15"/>
  <c r="AW69" i="15"/>
  <c r="AZ69" i="15" s="1"/>
  <c r="AS69" i="15"/>
  <c r="AT68" i="15"/>
  <c r="M169" i="15" l="1"/>
  <c r="AU169" i="15"/>
  <c r="V169" i="15"/>
  <c r="F170" i="15"/>
  <c r="L170" i="15" s="1"/>
  <c r="F64" i="15"/>
  <c r="L64" i="15" s="1"/>
  <c r="AU167" i="15"/>
  <c r="M167" i="15"/>
  <c r="V167" i="15"/>
  <c r="AT69" i="15"/>
  <c r="V170" i="15" l="1"/>
  <c r="AU170" i="15"/>
  <c r="M170" i="15"/>
  <c r="F171" i="15"/>
  <c r="L171" i="15" s="1"/>
  <c r="Z169" i="15"/>
  <c r="Y169" i="15"/>
  <c r="AW169" i="15"/>
  <c r="AZ169" i="15" s="1"/>
  <c r="AS169" i="15"/>
  <c r="AT169" i="15" s="1"/>
  <c r="AY169" i="15"/>
  <c r="F65" i="15"/>
  <c r="Y167" i="15"/>
  <c r="Z167" i="15"/>
  <c r="M64" i="15"/>
  <c r="V64" i="15"/>
  <c r="AU64" i="15"/>
  <c r="AS167" i="15"/>
  <c r="AY167" i="15"/>
  <c r="AW167" i="15"/>
  <c r="AZ167" i="15" s="1"/>
  <c r="F168" i="15" l="1"/>
  <c r="L168" i="15" s="1"/>
  <c r="F172" i="15"/>
  <c r="L172" i="15" s="1"/>
  <c r="AY170" i="15"/>
  <c r="AW170" i="15"/>
  <c r="AZ170" i="15" s="1"/>
  <c r="AS170" i="15"/>
  <c r="Z170" i="15"/>
  <c r="Y170" i="15"/>
  <c r="L65" i="15"/>
  <c r="AU171" i="15"/>
  <c r="V171" i="15"/>
  <c r="M171" i="15"/>
  <c r="AT167" i="15"/>
  <c r="AW64" i="15"/>
  <c r="AZ64" i="15" s="1"/>
  <c r="AY64" i="15"/>
  <c r="AS64" i="15"/>
  <c r="Y64" i="15"/>
  <c r="Z64" i="15"/>
  <c r="F181" i="15" l="1"/>
  <c r="L181" i="15" s="1"/>
  <c r="AT170" i="15"/>
  <c r="M65" i="15"/>
  <c r="AU65" i="15"/>
  <c r="V65" i="15"/>
  <c r="AS171" i="15"/>
  <c r="AY171" i="15"/>
  <c r="AW171" i="15"/>
  <c r="AZ171" i="15" s="1"/>
  <c r="F173" i="15"/>
  <c r="L173" i="15" s="1"/>
  <c r="Z171" i="15"/>
  <c r="Y171" i="15"/>
  <c r="V172" i="15"/>
  <c r="M172" i="15"/>
  <c r="AU172" i="15"/>
  <c r="F70" i="15"/>
  <c r="L70" i="15" s="1"/>
  <c r="M168" i="15"/>
  <c r="V168" i="15"/>
  <c r="AU168" i="15"/>
  <c r="AT64" i="15"/>
  <c r="F182" i="15" l="1"/>
  <c r="L182" i="15" s="1"/>
  <c r="V181" i="15"/>
  <c r="M181" i="15"/>
  <c r="AU181" i="15"/>
  <c r="AY172" i="15"/>
  <c r="AW172" i="15"/>
  <c r="AZ172" i="15" s="1"/>
  <c r="AS172" i="15"/>
  <c r="AT172" i="15" s="1"/>
  <c r="F174" i="15"/>
  <c r="L174" i="15" s="1"/>
  <c r="Y172" i="15"/>
  <c r="Z172" i="15"/>
  <c r="Z65" i="15"/>
  <c r="Y65" i="15"/>
  <c r="AS65" i="15"/>
  <c r="AW65" i="15"/>
  <c r="AZ65" i="15" s="1"/>
  <c r="AY65" i="15"/>
  <c r="AS168" i="15"/>
  <c r="AY168" i="15"/>
  <c r="AW168" i="15"/>
  <c r="AZ168" i="15" s="1"/>
  <c r="AU173" i="15"/>
  <c r="M173" i="15"/>
  <c r="V173" i="15"/>
  <c r="Z168" i="15"/>
  <c r="Y168" i="15"/>
  <c r="F71" i="15"/>
  <c r="L71" i="15" s="1"/>
  <c r="V70" i="15"/>
  <c r="AU70" i="15"/>
  <c r="M70" i="15"/>
  <c r="AT171" i="15"/>
  <c r="AS181" i="15" l="1"/>
  <c r="AT181" i="15" s="1"/>
  <c r="AW181" i="15"/>
  <c r="AZ181" i="15" s="1"/>
  <c r="AY181" i="15"/>
  <c r="Y181" i="15"/>
  <c r="Z181" i="15"/>
  <c r="F183" i="15"/>
  <c r="L183" i="15" s="1"/>
  <c r="AU182" i="15"/>
  <c r="M182" i="15"/>
  <c r="V182" i="15"/>
  <c r="Y173" i="15"/>
  <c r="Z173" i="15"/>
  <c r="AS173" i="15"/>
  <c r="AT173" i="15" s="1"/>
  <c r="AY173" i="15"/>
  <c r="AW173" i="15"/>
  <c r="AZ173" i="15" s="1"/>
  <c r="F72" i="15"/>
  <c r="L72" i="15" s="1"/>
  <c r="V174" i="15"/>
  <c r="AU174" i="15"/>
  <c r="M174" i="15"/>
  <c r="AT65" i="15"/>
  <c r="AT168" i="15"/>
  <c r="F175" i="15"/>
  <c r="L175" i="15" s="1"/>
  <c r="AS70" i="15"/>
  <c r="AY70" i="15"/>
  <c r="AW70" i="15"/>
  <c r="AZ70" i="15" s="1"/>
  <c r="Z70" i="15"/>
  <c r="Y70" i="15"/>
  <c r="M71" i="15"/>
  <c r="V71" i="15"/>
  <c r="AU71" i="15"/>
  <c r="F184" i="15" l="1"/>
  <c r="L184" i="15" s="1"/>
  <c r="AS182" i="15"/>
  <c r="AT182" i="15" s="1"/>
  <c r="AY182" i="15"/>
  <c r="AW182" i="15"/>
  <c r="AZ182" i="15" s="1"/>
  <c r="M183" i="15"/>
  <c r="AU183" i="15"/>
  <c r="V183" i="15"/>
  <c r="Y182" i="15"/>
  <c r="Z182" i="15"/>
  <c r="V175" i="15"/>
  <c r="M175" i="15"/>
  <c r="AU175" i="15"/>
  <c r="F176" i="15"/>
  <c r="L176" i="15" s="1"/>
  <c r="AW174" i="15"/>
  <c r="AZ174" i="15" s="1"/>
  <c r="AS174" i="15"/>
  <c r="AY174" i="15"/>
  <c r="Z71" i="15"/>
  <c r="Y71" i="15"/>
  <c r="Z174" i="15"/>
  <c r="Y174" i="15"/>
  <c r="AY71" i="15"/>
  <c r="AS71" i="15"/>
  <c r="AW71" i="15"/>
  <c r="AZ71" i="15" s="1"/>
  <c r="M72" i="15"/>
  <c r="V72" i="15"/>
  <c r="AU72" i="15"/>
  <c r="AT70" i="15"/>
  <c r="F73" i="15"/>
  <c r="L73" i="15" s="1"/>
  <c r="Y183" i="15" l="1"/>
  <c r="Z183" i="15"/>
  <c r="AS183" i="15"/>
  <c r="AW183" i="15"/>
  <c r="AZ183" i="15" s="1"/>
  <c r="AY183" i="15"/>
  <c r="F185" i="15"/>
  <c r="L185" i="15" s="1"/>
  <c r="M184" i="15"/>
  <c r="V184" i="15"/>
  <c r="AU184" i="15"/>
  <c r="F74" i="15"/>
  <c r="L74" i="15" s="1"/>
  <c r="AT174" i="15"/>
  <c r="V176" i="15"/>
  <c r="AU176" i="15"/>
  <c r="M176" i="15"/>
  <c r="AT71" i="15"/>
  <c r="F177" i="15"/>
  <c r="L177" i="15" s="1"/>
  <c r="AY175" i="15"/>
  <c r="AW175" i="15"/>
  <c r="AZ175" i="15" s="1"/>
  <c r="AS175" i="15"/>
  <c r="AT175" i="15" s="1"/>
  <c r="M73" i="15"/>
  <c r="AU73" i="15"/>
  <c r="V73" i="15"/>
  <c r="AY72" i="15"/>
  <c r="AS72" i="15"/>
  <c r="AW72" i="15"/>
  <c r="AZ72" i="15" s="1"/>
  <c r="Y72" i="15"/>
  <c r="Z72" i="15"/>
  <c r="Z175" i="15"/>
  <c r="Y175" i="15"/>
  <c r="F186" i="15" l="1"/>
  <c r="L186" i="15" s="1"/>
  <c r="M185" i="15"/>
  <c r="AU185" i="15"/>
  <c r="V185" i="15"/>
  <c r="Y184" i="15"/>
  <c r="Z184" i="15"/>
  <c r="AT183" i="15"/>
  <c r="AW184" i="15"/>
  <c r="AZ184" i="15" s="1"/>
  <c r="AS184" i="15"/>
  <c r="AT184" i="15" s="1"/>
  <c r="AY184" i="15"/>
  <c r="F178" i="15"/>
  <c r="L178" i="15" s="1"/>
  <c r="AU177" i="15"/>
  <c r="V177" i="15"/>
  <c r="M177" i="15"/>
  <c r="AT72" i="15"/>
  <c r="M74" i="15"/>
  <c r="V74" i="15"/>
  <c r="AU74" i="15"/>
  <c r="F75" i="15"/>
  <c r="L75" i="15" s="1"/>
  <c r="AW176" i="15"/>
  <c r="AZ176" i="15" s="1"/>
  <c r="AY176" i="15"/>
  <c r="AS176" i="15"/>
  <c r="Y73" i="15"/>
  <c r="Z73" i="15"/>
  <c r="Y176" i="15"/>
  <c r="Z176" i="15"/>
  <c r="AS73" i="15"/>
  <c r="AY73" i="15"/>
  <c r="AW73" i="15"/>
  <c r="AZ73" i="15" s="1"/>
  <c r="Y185" i="15" l="1"/>
  <c r="Z185" i="15"/>
  <c r="AY185" i="15"/>
  <c r="AW185" i="15"/>
  <c r="AZ185" i="15" s="1"/>
  <c r="AS185" i="15"/>
  <c r="AT185" i="15" s="1"/>
  <c r="F187" i="15"/>
  <c r="L187" i="15" s="1"/>
  <c r="V186" i="15"/>
  <c r="AU186" i="15"/>
  <c r="M186" i="15"/>
  <c r="AT176" i="15"/>
  <c r="AT73" i="15"/>
  <c r="AW74" i="15"/>
  <c r="AZ74" i="15" s="1"/>
  <c r="AY74" i="15"/>
  <c r="AS74" i="15"/>
  <c r="Z177" i="15"/>
  <c r="Y177" i="15"/>
  <c r="Z74" i="15"/>
  <c r="Y74" i="15"/>
  <c r="AW177" i="15"/>
  <c r="AZ177" i="15" s="1"/>
  <c r="AS177" i="15"/>
  <c r="AT177" i="15" s="1"/>
  <c r="AY177" i="15"/>
  <c r="V178" i="15"/>
  <c r="M178" i="15"/>
  <c r="AU178" i="15"/>
  <c r="F76" i="15"/>
  <c r="L76" i="15" s="1"/>
  <c r="AU75" i="15"/>
  <c r="V75" i="15"/>
  <c r="M75" i="15"/>
  <c r="F180" i="15"/>
  <c r="L180" i="15" s="1"/>
  <c r="F179" i="15"/>
  <c r="L179" i="15" s="1"/>
  <c r="M187" i="15" l="1"/>
  <c r="AU187" i="15"/>
  <c r="V187" i="15"/>
  <c r="F188" i="15"/>
  <c r="L188" i="15" s="1"/>
  <c r="AY186" i="15"/>
  <c r="AS186" i="15"/>
  <c r="AW186" i="15"/>
  <c r="AZ186" i="15" s="1"/>
  <c r="Y186" i="15"/>
  <c r="Z186" i="15"/>
  <c r="AU179" i="15"/>
  <c r="V179" i="15"/>
  <c r="M179" i="15"/>
  <c r="Y75" i="15"/>
  <c r="Z75" i="15"/>
  <c r="AS75" i="15"/>
  <c r="AT75" i="15" s="1"/>
  <c r="AY75" i="15"/>
  <c r="AW75" i="15"/>
  <c r="AZ75" i="15" s="1"/>
  <c r="M76" i="15"/>
  <c r="AU76" i="15"/>
  <c r="V76" i="15"/>
  <c r="F77" i="15"/>
  <c r="L77" i="15" s="1"/>
  <c r="AY178" i="15"/>
  <c r="AW178" i="15"/>
  <c r="AZ178" i="15" s="1"/>
  <c r="AS178" i="15"/>
  <c r="AT178" i="15" s="1"/>
  <c r="Z178" i="15"/>
  <c r="Y178" i="15"/>
  <c r="AT74" i="15"/>
  <c r="M180" i="15"/>
  <c r="AU180" i="15"/>
  <c r="V180" i="15"/>
  <c r="AT186" i="15" l="1"/>
  <c r="V188" i="15"/>
  <c r="M188" i="15"/>
  <c r="AU188" i="15"/>
  <c r="Y187" i="15"/>
  <c r="Z187" i="15"/>
  <c r="AY187" i="15"/>
  <c r="AW187" i="15"/>
  <c r="AZ187" i="15" s="1"/>
  <c r="AS187" i="15"/>
  <c r="AT187" i="15" s="1"/>
  <c r="F189" i="15"/>
  <c r="L189" i="15" s="1"/>
  <c r="AY180" i="15"/>
  <c r="AW180" i="15"/>
  <c r="AZ180" i="15" s="1"/>
  <c r="AS180" i="15"/>
  <c r="Y179" i="15"/>
  <c r="Z179" i="15"/>
  <c r="AW179" i="15"/>
  <c r="AZ179" i="15" s="1"/>
  <c r="AY179" i="15"/>
  <c r="AS179" i="15"/>
  <c r="AT179" i="15" s="1"/>
  <c r="Y76" i="15"/>
  <c r="Z76" i="15"/>
  <c r="F78" i="15"/>
  <c r="L78" i="15" s="1"/>
  <c r="AU77" i="15"/>
  <c r="V77" i="15"/>
  <c r="M77" i="15"/>
  <c r="AW76" i="15"/>
  <c r="AZ76" i="15" s="1"/>
  <c r="AY76" i="15"/>
  <c r="AS76" i="15"/>
  <c r="Y180" i="15"/>
  <c r="Z180" i="15"/>
  <c r="AY188" i="15" l="1"/>
  <c r="AS188" i="15"/>
  <c r="AT188" i="15" s="1"/>
  <c r="AW188" i="15"/>
  <c r="AZ188" i="15" s="1"/>
  <c r="Z188" i="15"/>
  <c r="Y188" i="15"/>
  <c r="V189" i="15"/>
  <c r="M189" i="15"/>
  <c r="AU189" i="15"/>
  <c r="F190" i="15"/>
  <c r="L190" i="15" s="1"/>
  <c r="F79" i="15"/>
  <c r="L79" i="15" s="1"/>
  <c r="AT180" i="15"/>
  <c r="AT76" i="15"/>
  <c r="Z77" i="15"/>
  <c r="Y77" i="15"/>
  <c r="AW77" i="15"/>
  <c r="AZ77" i="15" s="1"/>
  <c r="AY77" i="15"/>
  <c r="AS77" i="15"/>
  <c r="V78" i="15"/>
  <c r="AU78" i="15"/>
  <c r="M78" i="15"/>
  <c r="M190" i="15" l="1"/>
  <c r="V190" i="15"/>
  <c r="AU190" i="15"/>
  <c r="AS189" i="15"/>
  <c r="AY189" i="15"/>
  <c r="AW189" i="15"/>
  <c r="AZ189" i="15" s="1"/>
  <c r="Z189" i="15"/>
  <c r="Y189" i="15"/>
  <c r="F191" i="15"/>
  <c r="L191" i="15" s="1"/>
  <c r="AT77" i="15"/>
  <c r="F80" i="15"/>
  <c r="L80" i="15" s="1"/>
  <c r="AU79" i="15"/>
  <c r="M79" i="15"/>
  <c r="V79" i="15"/>
  <c r="AS78" i="15"/>
  <c r="AW78" i="15"/>
  <c r="AZ78" i="15" s="1"/>
  <c r="AY78" i="15"/>
  <c r="Z78" i="15"/>
  <c r="Y78" i="15"/>
  <c r="AU191" i="15" l="1"/>
  <c r="V191" i="15"/>
  <c r="M191" i="15"/>
  <c r="AT189" i="15"/>
  <c r="AW190" i="15"/>
  <c r="AZ190" i="15" s="1"/>
  <c r="AS190" i="15"/>
  <c r="AT190" i="15" s="1"/>
  <c r="AY190" i="15"/>
  <c r="Y190" i="15"/>
  <c r="Z190" i="15"/>
  <c r="F192" i="15"/>
  <c r="L192" i="15" s="1"/>
  <c r="M80" i="15"/>
  <c r="V80" i="15"/>
  <c r="AU80" i="15"/>
  <c r="AT78" i="15"/>
  <c r="F81" i="15"/>
  <c r="L81" i="15" s="1"/>
  <c r="Z79" i="15"/>
  <c r="Y79" i="15"/>
  <c r="AW79" i="15"/>
  <c r="AZ79" i="15" s="1"/>
  <c r="AY79" i="15"/>
  <c r="AS79" i="15"/>
  <c r="AU192" i="15" l="1"/>
  <c r="M192" i="15"/>
  <c r="V192" i="15"/>
  <c r="Z191" i="15"/>
  <c r="Y191" i="15"/>
  <c r="F193" i="15"/>
  <c r="L193" i="15" s="1"/>
  <c r="AW191" i="15"/>
  <c r="AZ191" i="15" s="1"/>
  <c r="AY191" i="15"/>
  <c r="AS191" i="15"/>
  <c r="AT191" i="15" s="1"/>
  <c r="F154" i="15"/>
  <c r="L154" i="15" s="1"/>
  <c r="AY80" i="15"/>
  <c r="AW80" i="15"/>
  <c r="AZ80" i="15" s="1"/>
  <c r="AS80" i="15"/>
  <c r="AU81" i="15"/>
  <c r="M81" i="15"/>
  <c r="V81" i="15"/>
  <c r="Z80" i="15"/>
  <c r="Y80" i="15"/>
  <c r="AT79" i="15"/>
  <c r="Y192" i="15" l="1"/>
  <c r="Z192" i="15"/>
  <c r="AU193" i="15"/>
  <c r="V193" i="15"/>
  <c r="M193" i="15"/>
  <c r="AW192" i="15"/>
  <c r="AZ192" i="15" s="1"/>
  <c r="AY192" i="15"/>
  <c r="AS192" i="15"/>
  <c r="F194" i="15"/>
  <c r="L194" i="15" s="1"/>
  <c r="AY81" i="15"/>
  <c r="AW81" i="15"/>
  <c r="AZ81" i="15" s="1"/>
  <c r="AS81" i="15"/>
  <c r="AT80" i="15"/>
  <c r="M154" i="15"/>
  <c r="V154" i="15"/>
  <c r="AU154" i="15"/>
  <c r="F82" i="15"/>
  <c r="L82" i="15" s="1"/>
  <c r="Z81" i="15"/>
  <c r="Y81" i="15"/>
  <c r="AT192" i="15" l="1"/>
  <c r="AU194" i="15"/>
  <c r="M194" i="15"/>
  <c r="V194" i="15"/>
  <c r="Y193" i="15"/>
  <c r="Z193" i="15"/>
  <c r="AW193" i="15"/>
  <c r="AZ193" i="15" s="1"/>
  <c r="AS193" i="15"/>
  <c r="AT193" i="15" s="1"/>
  <c r="AY193" i="15"/>
  <c r="F195" i="15"/>
  <c r="L195" i="15" s="1"/>
  <c r="M82" i="15"/>
  <c r="AU82" i="15"/>
  <c r="V82" i="15"/>
  <c r="Z154" i="15"/>
  <c r="Y154" i="15"/>
  <c r="AT81" i="15"/>
  <c r="F83" i="15"/>
  <c r="L83" i="15" s="1"/>
  <c r="AS154" i="15"/>
  <c r="AT154" i="15" s="1"/>
  <c r="AY154" i="15"/>
  <c r="AW154" i="15"/>
  <c r="AZ154" i="15" s="1"/>
  <c r="F196" i="15" l="1"/>
  <c r="L196" i="15" s="1"/>
  <c r="Z194" i="15"/>
  <c r="Y194" i="15"/>
  <c r="AS194" i="15"/>
  <c r="AT194" i="15" s="1"/>
  <c r="AY194" i="15"/>
  <c r="AW194" i="15"/>
  <c r="AZ194" i="15" s="1"/>
  <c r="AU195" i="15"/>
  <c r="M195" i="15"/>
  <c r="V195" i="15"/>
  <c r="F84" i="15"/>
  <c r="L84" i="15" s="1"/>
  <c r="V83" i="15"/>
  <c r="M83" i="15"/>
  <c r="AU83" i="15"/>
  <c r="Y82" i="15"/>
  <c r="Z82" i="15"/>
  <c r="AS82" i="15"/>
  <c r="AY82" i="15"/>
  <c r="AW82" i="15"/>
  <c r="AZ82" i="15" s="1"/>
  <c r="AY195" i="15" l="1"/>
  <c r="AW195" i="15"/>
  <c r="AZ195" i="15" s="1"/>
  <c r="AS195" i="15"/>
  <c r="AT195" i="15" s="1"/>
  <c r="F219" i="15"/>
  <c r="L219" i="15" s="1"/>
  <c r="Z195" i="15"/>
  <c r="Y195" i="15"/>
  <c r="AU196" i="15"/>
  <c r="V196" i="15"/>
  <c r="M196" i="15"/>
  <c r="AW83" i="15"/>
  <c r="AZ83" i="15" s="1"/>
  <c r="AS83" i="15"/>
  <c r="AY83" i="15"/>
  <c r="Y83" i="15"/>
  <c r="Z83" i="15"/>
  <c r="AT82" i="15"/>
  <c r="F85" i="15"/>
  <c r="L85" i="15" s="1"/>
  <c r="V84" i="15"/>
  <c r="AU84" i="15"/>
  <c r="M84" i="15"/>
  <c r="AW196" i="15" l="1"/>
  <c r="AZ196" i="15" s="1"/>
  <c r="AS196" i="15"/>
  <c r="AT196" i="15" s="1"/>
  <c r="AY196" i="15"/>
  <c r="Z196" i="15"/>
  <c r="Y196" i="15"/>
  <c r="F216" i="15"/>
  <c r="L216" i="15" s="1"/>
  <c r="AU219" i="15"/>
  <c r="M219" i="15"/>
  <c r="V219" i="15"/>
  <c r="F86" i="15"/>
  <c r="L86" i="15" s="1"/>
  <c r="AS84" i="15"/>
  <c r="AY84" i="15"/>
  <c r="AW84" i="15"/>
  <c r="AZ84" i="15" s="1"/>
  <c r="AT83" i="15"/>
  <c r="Y84" i="15"/>
  <c r="Z84" i="15"/>
  <c r="M85" i="15"/>
  <c r="AU85" i="15"/>
  <c r="V85" i="15"/>
  <c r="F55" i="15" l="1"/>
  <c r="L55" i="15" s="1"/>
  <c r="AW219" i="15"/>
  <c r="AZ219" i="15" s="1"/>
  <c r="AY219" i="15"/>
  <c r="AS219" i="15"/>
  <c r="M216" i="15"/>
  <c r="V216" i="15"/>
  <c r="AU216" i="15"/>
  <c r="Z219" i="15"/>
  <c r="Y219" i="15"/>
  <c r="Z85" i="15"/>
  <c r="Y85" i="15"/>
  <c r="AU86" i="15"/>
  <c r="M86" i="15"/>
  <c r="V86" i="15"/>
  <c r="AS85" i="15"/>
  <c r="AW85" i="15"/>
  <c r="AZ85" i="15" s="1"/>
  <c r="AY85" i="15"/>
  <c r="F87" i="15"/>
  <c r="L87" i="15" s="1"/>
  <c r="AT84" i="15"/>
  <c r="Z216" i="15" l="1"/>
  <c r="Y216" i="15"/>
  <c r="F201" i="15"/>
  <c r="L201" i="15" s="1"/>
  <c r="AT219" i="15"/>
  <c r="AY216" i="15"/>
  <c r="AW216" i="15"/>
  <c r="AZ216" i="15" s="1"/>
  <c r="AS216" i="15"/>
  <c r="M55" i="15"/>
  <c r="AU55" i="15"/>
  <c r="V55" i="15"/>
  <c r="AT85" i="15"/>
  <c r="F88" i="15"/>
  <c r="L88" i="15" s="1"/>
  <c r="Z86" i="15"/>
  <c r="Y86" i="15"/>
  <c r="AS86" i="15"/>
  <c r="AY86" i="15"/>
  <c r="AW86" i="15"/>
  <c r="AZ86" i="15" s="1"/>
  <c r="AU87" i="15"/>
  <c r="M87" i="15"/>
  <c r="V87" i="15"/>
  <c r="AT216" i="15" l="1"/>
  <c r="F197" i="15"/>
  <c r="L197" i="15" s="1"/>
  <c r="AU201" i="15"/>
  <c r="M201" i="15"/>
  <c r="V201" i="15"/>
  <c r="Y55" i="15"/>
  <c r="Z55" i="15"/>
  <c r="AY55" i="15"/>
  <c r="AW55" i="15"/>
  <c r="AZ55" i="15" s="1"/>
  <c r="AS55" i="15"/>
  <c r="AU88" i="15"/>
  <c r="M88" i="15"/>
  <c r="V88" i="15"/>
  <c r="Y87" i="15"/>
  <c r="Z87" i="15"/>
  <c r="AW87" i="15"/>
  <c r="AZ87" i="15" s="1"/>
  <c r="AS87" i="15"/>
  <c r="AY87" i="15"/>
  <c r="AT86" i="15"/>
  <c r="F89" i="15"/>
  <c r="L89" i="15" s="1"/>
  <c r="Y201" i="15" l="1"/>
  <c r="Z201" i="15"/>
  <c r="AW201" i="15"/>
  <c r="AZ201" i="15" s="1"/>
  <c r="AY201" i="15"/>
  <c r="AS201" i="15"/>
  <c r="F198" i="15"/>
  <c r="L198" i="15" s="1"/>
  <c r="M197" i="15"/>
  <c r="AU197" i="15"/>
  <c r="V197" i="15"/>
  <c r="AT55" i="15"/>
  <c r="AT87" i="15"/>
  <c r="Y88" i="15"/>
  <c r="Z88" i="15"/>
  <c r="F90" i="15"/>
  <c r="L90" i="15" s="1"/>
  <c r="AU89" i="15"/>
  <c r="V89" i="15"/>
  <c r="M89" i="15"/>
  <c r="AW88" i="15"/>
  <c r="AZ88" i="15" s="1"/>
  <c r="AY88" i="15"/>
  <c r="AS88" i="15"/>
  <c r="F200" i="15" l="1"/>
  <c r="L200" i="15" s="1"/>
  <c r="AU198" i="15"/>
  <c r="M198" i="15"/>
  <c r="V198" i="15"/>
  <c r="AW197" i="15"/>
  <c r="AZ197" i="15" s="1"/>
  <c r="AY197" i="15"/>
  <c r="AS197" i="15"/>
  <c r="AT201" i="15"/>
  <c r="Y197" i="15"/>
  <c r="Z197" i="15"/>
  <c r="AT88" i="15"/>
  <c r="V90" i="15"/>
  <c r="AU90" i="15"/>
  <c r="M90" i="15"/>
  <c r="AS89" i="15"/>
  <c r="AY89" i="15"/>
  <c r="AW89" i="15"/>
  <c r="AZ89" i="15" s="1"/>
  <c r="Z89" i="15"/>
  <c r="Y89" i="15"/>
  <c r="F91" i="15"/>
  <c r="L91" i="15" s="1"/>
  <c r="AT197" i="15" l="1"/>
  <c r="Z198" i="15"/>
  <c r="Y198" i="15"/>
  <c r="F220" i="15"/>
  <c r="L220" i="15" s="1"/>
  <c r="AW198" i="15"/>
  <c r="AZ198" i="15" s="1"/>
  <c r="AS198" i="15"/>
  <c r="AY198" i="15"/>
  <c r="AU200" i="15"/>
  <c r="V200" i="15"/>
  <c r="M200" i="15"/>
  <c r="AT89" i="15"/>
  <c r="F92" i="15"/>
  <c r="L92" i="15" s="1"/>
  <c r="AY90" i="15"/>
  <c r="AS90" i="15"/>
  <c r="AW90" i="15"/>
  <c r="AZ90" i="15" s="1"/>
  <c r="M91" i="15"/>
  <c r="AU91" i="15"/>
  <c r="V91" i="15"/>
  <c r="Z90" i="15"/>
  <c r="Y90" i="15"/>
  <c r="AT198" i="15" l="1"/>
  <c r="M220" i="15"/>
  <c r="AU220" i="15"/>
  <c r="V220" i="15"/>
  <c r="F218" i="15"/>
  <c r="L218" i="15" s="1"/>
  <c r="Y200" i="15"/>
  <c r="Z200" i="15"/>
  <c r="AS200" i="15"/>
  <c r="AY200" i="15"/>
  <c r="AW200" i="15"/>
  <c r="AZ200" i="15" s="1"/>
  <c r="M92" i="15"/>
  <c r="AU92" i="15"/>
  <c r="V92" i="15"/>
  <c r="F93" i="15"/>
  <c r="L93" i="15" s="1"/>
  <c r="AT90" i="15"/>
  <c r="Y91" i="15"/>
  <c r="Z91" i="15"/>
  <c r="AW91" i="15"/>
  <c r="AZ91" i="15" s="1"/>
  <c r="AS91" i="15"/>
  <c r="AY91" i="15"/>
  <c r="F217" i="15" l="1"/>
  <c r="L217" i="15" s="1"/>
  <c r="AT200" i="15"/>
  <c r="M218" i="15"/>
  <c r="AU218" i="15"/>
  <c r="V218" i="15"/>
  <c r="Y220" i="15"/>
  <c r="Z220" i="15"/>
  <c r="AW220" i="15"/>
  <c r="AZ220" i="15" s="1"/>
  <c r="AS220" i="15"/>
  <c r="AY220" i="15"/>
  <c r="M93" i="15"/>
  <c r="AU93" i="15"/>
  <c r="V93" i="15"/>
  <c r="Z92" i="15"/>
  <c r="Y92" i="15"/>
  <c r="AY92" i="15"/>
  <c r="AW92" i="15"/>
  <c r="AZ92" i="15" s="1"/>
  <c r="AS92" i="15"/>
  <c r="AT91" i="15"/>
  <c r="F94" i="15"/>
  <c r="L94" i="15" s="1"/>
  <c r="Y218" i="15" l="1"/>
  <c r="Z218" i="15"/>
  <c r="AY218" i="15"/>
  <c r="AW218" i="15"/>
  <c r="AZ218" i="15" s="1"/>
  <c r="AS218" i="15"/>
  <c r="F199" i="15"/>
  <c r="L199" i="15" s="1"/>
  <c r="AT220" i="15"/>
  <c r="AU217" i="15"/>
  <c r="V217" i="15"/>
  <c r="M217" i="15"/>
  <c r="AT92" i="15"/>
  <c r="Y93" i="15"/>
  <c r="Z93" i="15"/>
  <c r="F95" i="15"/>
  <c r="L95" i="15" s="1"/>
  <c r="AY93" i="15"/>
  <c r="AS93" i="15"/>
  <c r="AW93" i="15"/>
  <c r="AZ93" i="15" s="1"/>
  <c r="AU94" i="15"/>
  <c r="M94" i="15"/>
  <c r="V94" i="15"/>
  <c r="F221" i="15" l="1"/>
  <c r="L221" i="15" s="1"/>
  <c r="M199" i="15"/>
  <c r="V199" i="15"/>
  <c r="AU199" i="15"/>
  <c r="AT218" i="15"/>
  <c r="Z217" i="15"/>
  <c r="Y217" i="15"/>
  <c r="AW217" i="15"/>
  <c r="AZ217" i="15" s="1"/>
  <c r="AY217" i="15"/>
  <c r="AS217" i="15"/>
  <c r="M95" i="15"/>
  <c r="AU95" i="15"/>
  <c r="V95" i="15"/>
  <c r="F96" i="15"/>
  <c r="L96" i="15" s="1"/>
  <c r="Z94" i="15"/>
  <c r="Y94" i="15"/>
  <c r="AT93" i="15"/>
  <c r="AY94" i="15"/>
  <c r="AW94" i="15"/>
  <c r="AZ94" i="15" s="1"/>
  <c r="AS94" i="15"/>
  <c r="F222" i="15" l="1"/>
  <c r="L222" i="15" s="1"/>
  <c r="Y199" i="15"/>
  <c r="Z199" i="15"/>
  <c r="AW199" i="15"/>
  <c r="AZ199" i="15" s="1"/>
  <c r="AY199" i="15"/>
  <c r="AS199" i="15"/>
  <c r="AT217" i="15"/>
  <c r="AU221" i="15"/>
  <c r="V221" i="15"/>
  <c r="M221" i="15"/>
  <c r="V96" i="15"/>
  <c r="M96" i="15"/>
  <c r="AU96" i="15"/>
  <c r="F97" i="15"/>
  <c r="L97" i="15" s="1"/>
  <c r="AT94" i="15"/>
  <c r="Y95" i="15"/>
  <c r="Z95" i="15"/>
  <c r="AY95" i="15"/>
  <c r="AS95" i="15"/>
  <c r="AW95" i="15"/>
  <c r="AZ95" i="15" s="1"/>
  <c r="F202" i="15" l="1"/>
  <c r="L202" i="15" s="1"/>
  <c r="AT199" i="15"/>
  <c r="Z221" i="15"/>
  <c r="Y221" i="15"/>
  <c r="AY221" i="15"/>
  <c r="AS221" i="15"/>
  <c r="AW221" i="15"/>
  <c r="AZ221" i="15" s="1"/>
  <c r="V222" i="15"/>
  <c r="M222" i="15"/>
  <c r="AU222" i="15"/>
  <c r="V97" i="15"/>
  <c r="M97" i="15"/>
  <c r="AU97" i="15"/>
  <c r="AS96" i="15"/>
  <c r="AW96" i="15"/>
  <c r="AZ96" i="15" s="1"/>
  <c r="AY96" i="15"/>
  <c r="F98" i="15"/>
  <c r="L98" i="15" s="1"/>
  <c r="AT95" i="15"/>
  <c r="Y96" i="15"/>
  <c r="Z96" i="15"/>
  <c r="AT221" i="15" l="1"/>
  <c r="AU202" i="15"/>
  <c r="M202" i="15"/>
  <c r="V202" i="15"/>
  <c r="F203" i="15"/>
  <c r="L203" i="15" s="1"/>
  <c r="AW222" i="15"/>
  <c r="AZ222" i="15" s="1"/>
  <c r="AY222" i="15"/>
  <c r="AS222" i="15"/>
  <c r="Y222" i="15"/>
  <c r="Z222" i="15"/>
  <c r="F99" i="15"/>
  <c r="L99" i="15" s="1"/>
  <c r="AT96" i="15"/>
  <c r="AS97" i="15"/>
  <c r="AY97" i="15"/>
  <c r="AW97" i="15"/>
  <c r="AZ97" i="15" s="1"/>
  <c r="AU98" i="15"/>
  <c r="M98" i="15"/>
  <c r="V98" i="15"/>
  <c r="Y97" i="15"/>
  <c r="Z97" i="15"/>
  <c r="AU203" i="15" l="1"/>
  <c r="M203" i="15"/>
  <c r="V203" i="15"/>
  <c r="Z202" i="15"/>
  <c r="Y202" i="15"/>
  <c r="AY202" i="15"/>
  <c r="AS202" i="15"/>
  <c r="AW202" i="15"/>
  <c r="AZ202" i="15" s="1"/>
  <c r="F204" i="15"/>
  <c r="L204" i="15" s="1"/>
  <c r="AT222" i="15"/>
  <c r="AT97" i="15"/>
  <c r="Y98" i="15"/>
  <c r="Z98" i="15"/>
  <c r="AU99" i="15"/>
  <c r="M99" i="15"/>
  <c r="V99" i="15"/>
  <c r="F100" i="15"/>
  <c r="L100" i="15" s="1"/>
  <c r="AS98" i="15"/>
  <c r="AW98" i="15"/>
  <c r="AZ98" i="15" s="1"/>
  <c r="AY98" i="15"/>
  <c r="AT202" i="15" l="1"/>
  <c r="AU204" i="15"/>
  <c r="M204" i="15"/>
  <c r="V204" i="15"/>
  <c r="Z203" i="15"/>
  <c r="Y203" i="15"/>
  <c r="F223" i="15"/>
  <c r="L223" i="15" s="1"/>
  <c r="AS203" i="15"/>
  <c r="AY203" i="15"/>
  <c r="AW203" i="15"/>
  <c r="AZ203" i="15" s="1"/>
  <c r="AW99" i="15"/>
  <c r="AZ99" i="15" s="1"/>
  <c r="AS99" i="15"/>
  <c r="AY99" i="15"/>
  <c r="Y99" i="15"/>
  <c r="Z99" i="15"/>
  <c r="F101" i="15"/>
  <c r="L101" i="15" s="1"/>
  <c r="AT98" i="15"/>
  <c r="V100" i="15"/>
  <c r="AU100" i="15"/>
  <c r="M100" i="15"/>
  <c r="M223" i="15" l="1"/>
  <c r="AU223" i="15"/>
  <c r="V223" i="15"/>
  <c r="F224" i="15"/>
  <c r="L224" i="15" s="1"/>
  <c r="AT203" i="15"/>
  <c r="Z204" i="15"/>
  <c r="Y204" i="15"/>
  <c r="AW204" i="15"/>
  <c r="AZ204" i="15" s="1"/>
  <c r="AS204" i="15"/>
  <c r="AY204" i="15"/>
  <c r="AS100" i="15"/>
  <c r="AW100" i="15"/>
  <c r="AZ100" i="15" s="1"/>
  <c r="AY100" i="15"/>
  <c r="Y100" i="15"/>
  <c r="Z100" i="15"/>
  <c r="M101" i="15"/>
  <c r="AU101" i="15"/>
  <c r="V101" i="15"/>
  <c r="F102" i="15"/>
  <c r="L102" i="15" s="1"/>
  <c r="AT99" i="15"/>
  <c r="F225" i="15" l="1"/>
  <c r="L225" i="15" s="1"/>
  <c r="F226" i="15"/>
  <c r="L226" i="15" s="1"/>
  <c r="M224" i="15"/>
  <c r="AU224" i="15"/>
  <c r="V224" i="15"/>
  <c r="Z223" i="15"/>
  <c r="Y223" i="15"/>
  <c r="AW223" i="15"/>
  <c r="AZ223" i="15" s="1"/>
  <c r="AS223" i="15"/>
  <c r="AY223" i="15"/>
  <c r="AT204" i="15"/>
  <c r="AT100" i="15"/>
  <c r="AY101" i="15"/>
  <c r="AW101" i="15"/>
  <c r="AZ101" i="15" s="1"/>
  <c r="AS101" i="15"/>
  <c r="V102" i="15"/>
  <c r="AU102" i="15"/>
  <c r="M102" i="15"/>
  <c r="F103" i="15"/>
  <c r="L103" i="15" s="1"/>
  <c r="Z101" i="15"/>
  <c r="Y101" i="15"/>
  <c r="AT223" i="15" l="1"/>
  <c r="Y224" i="15"/>
  <c r="Z224" i="15"/>
  <c r="AW224" i="15"/>
  <c r="AZ224" i="15" s="1"/>
  <c r="AY224" i="15"/>
  <c r="AS224" i="15"/>
  <c r="V226" i="15"/>
  <c r="AU226" i="15"/>
  <c r="M226" i="15"/>
  <c r="AU225" i="15"/>
  <c r="V225" i="15"/>
  <c r="M225" i="15"/>
  <c r="AS102" i="15"/>
  <c r="AW102" i="15"/>
  <c r="AZ102" i="15" s="1"/>
  <c r="AY102" i="15"/>
  <c r="Z102" i="15"/>
  <c r="Y102" i="15"/>
  <c r="AT101" i="15"/>
  <c r="F104" i="15"/>
  <c r="L104" i="15" s="1"/>
  <c r="V103" i="15"/>
  <c r="AU103" i="15"/>
  <c r="M103" i="15"/>
  <c r="AW226" i="15" l="1"/>
  <c r="AZ226" i="15" s="1"/>
  <c r="AY226" i="15"/>
  <c r="AS226" i="15"/>
  <c r="AT224" i="15"/>
  <c r="AY225" i="15"/>
  <c r="AW225" i="15"/>
  <c r="AZ225" i="15" s="1"/>
  <c r="AS225" i="15"/>
  <c r="Y226" i="15"/>
  <c r="Z226" i="15"/>
  <c r="Z225" i="15"/>
  <c r="Y225" i="15"/>
  <c r="F105" i="15"/>
  <c r="L105" i="15" s="1"/>
  <c r="AU104" i="15"/>
  <c r="M104" i="15"/>
  <c r="V104" i="15"/>
  <c r="Z103" i="15"/>
  <c r="Y103" i="15"/>
  <c r="AY103" i="15"/>
  <c r="AS103" i="15"/>
  <c r="AW103" i="15"/>
  <c r="AZ103" i="15" s="1"/>
  <c r="AT102" i="15"/>
  <c r="AT225" i="15" l="1"/>
  <c r="AT226" i="15"/>
  <c r="F106" i="15"/>
  <c r="L106" i="15" s="1"/>
  <c r="Z104" i="15"/>
  <c r="Y104" i="15"/>
  <c r="AS104" i="15"/>
  <c r="AW104" i="15"/>
  <c r="AZ104" i="15" s="1"/>
  <c r="AY104" i="15"/>
  <c r="AT103" i="15"/>
  <c r="M105" i="15"/>
  <c r="AU105" i="15"/>
  <c r="V105" i="15"/>
  <c r="AT104" i="15" l="1"/>
  <c r="M106" i="15"/>
  <c r="V106" i="15"/>
  <c r="AU106" i="15"/>
  <c r="Y105" i="15"/>
  <c r="Z105" i="15"/>
  <c r="AW105" i="15"/>
  <c r="AZ105" i="15" s="1"/>
  <c r="AY105" i="15"/>
  <c r="AS105" i="15"/>
  <c r="F107" i="15"/>
  <c r="L107" i="15" s="1"/>
  <c r="Y106" i="15" l="1"/>
  <c r="Z106" i="15"/>
  <c r="AW106" i="15"/>
  <c r="AZ106" i="15" s="1"/>
  <c r="AS106" i="15"/>
  <c r="AY106" i="15"/>
  <c r="F108" i="15"/>
  <c r="L108" i="15" s="1"/>
  <c r="M107" i="15"/>
  <c r="AU107" i="15"/>
  <c r="V107" i="15"/>
  <c r="AT105" i="15"/>
  <c r="AU108" i="15" l="1"/>
  <c r="M108" i="15"/>
  <c r="V108" i="15"/>
  <c r="AS107" i="15"/>
  <c r="AW107" i="15"/>
  <c r="AZ107" i="15" s="1"/>
  <c r="AY107" i="15"/>
  <c r="F109" i="15"/>
  <c r="L109" i="15" s="1"/>
  <c r="AT106" i="15"/>
  <c r="Y107" i="15"/>
  <c r="Z107" i="15"/>
  <c r="F110" i="15" l="1"/>
  <c r="L110" i="15" s="1"/>
  <c r="AT107" i="15"/>
  <c r="V109" i="15"/>
  <c r="M109" i="15"/>
  <c r="AU109" i="15"/>
  <c r="Z108" i="15"/>
  <c r="Y108" i="15"/>
  <c r="AS108" i="15"/>
  <c r="AW108" i="15"/>
  <c r="AZ108" i="15" s="1"/>
  <c r="AY108" i="15"/>
  <c r="AS109" i="15" l="1"/>
  <c r="AY109" i="15"/>
  <c r="AW109" i="15"/>
  <c r="AZ109" i="15" s="1"/>
  <c r="Y109" i="15"/>
  <c r="Z109" i="15"/>
  <c r="AT108" i="15"/>
  <c r="AU110" i="15"/>
  <c r="M110" i="15"/>
  <c r="V110" i="15"/>
  <c r="F111" i="15"/>
  <c r="L111" i="15" s="1"/>
  <c r="F112" i="15" l="1"/>
  <c r="L112" i="15" s="1"/>
  <c r="AT109" i="15"/>
  <c r="AU111" i="15"/>
  <c r="M111" i="15"/>
  <c r="V111" i="15"/>
  <c r="Z110" i="15"/>
  <c r="Y110" i="15"/>
  <c r="AW110" i="15"/>
  <c r="AZ110" i="15" s="1"/>
  <c r="AY110" i="15"/>
  <c r="AS110" i="15"/>
  <c r="Z111" i="15" l="1"/>
  <c r="Y111" i="15"/>
  <c r="AU112" i="15"/>
  <c r="M112" i="15"/>
  <c r="V112" i="15"/>
  <c r="F113" i="15"/>
  <c r="L113" i="15" s="1"/>
  <c r="AS111" i="15"/>
  <c r="AW111" i="15"/>
  <c r="AZ111" i="15" s="1"/>
  <c r="AY111" i="15"/>
  <c r="AT110" i="15"/>
  <c r="M113" i="15" l="1"/>
  <c r="V113" i="15"/>
  <c r="AU113" i="15"/>
  <c r="Y112" i="15"/>
  <c r="Z112" i="15"/>
  <c r="AS112" i="15"/>
  <c r="AW112" i="15"/>
  <c r="AZ112" i="15" s="1"/>
  <c r="AY112" i="15"/>
  <c r="AT111" i="15"/>
  <c r="F114" i="15"/>
  <c r="L114" i="15" s="1"/>
  <c r="AT112" i="15" l="1"/>
  <c r="F115" i="15"/>
  <c r="L115" i="15" s="1"/>
  <c r="M114" i="15"/>
  <c r="AU114" i="15"/>
  <c r="V114" i="15"/>
  <c r="AW113" i="15"/>
  <c r="AZ113" i="15" s="1"/>
  <c r="AS113" i="15"/>
  <c r="AY113" i="15"/>
  <c r="Z113" i="15"/>
  <c r="Y113" i="15"/>
  <c r="AY114" i="15" l="1"/>
  <c r="AW114" i="15"/>
  <c r="AZ114" i="15" s="1"/>
  <c r="AS114" i="15"/>
  <c r="V115" i="15"/>
  <c r="AU115" i="15"/>
  <c r="M115" i="15"/>
  <c r="Z114" i="15"/>
  <c r="Y114" i="15"/>
  <c r="F116" i="15"/>
  <c r="L116" i="15" s="1"/>
  <c r="AT113" i="15"/>
  <c r="F117" i="15" l="1"/>
  <c r="L117" i="15" s="1"/>
  <c r="Z115" i="15"/>
  <c r="Y115" i="15"/>
  <c r="AT114" i="15"/>
  <c r="AY115" i="15"/>
  <c r="AS115" i="15"/>
  <c r="AW115" i="15"/>
  <c r="AZ115" i="15" s="1"/>
  <c r="M116" i="15"/>
  <c r="AU116" i="15"/>
  <c r="V116" i="15"/>
  <c r="AT115" i="15" l="1"/>
  <c r="Y116" i="15"/>
  <c r="Z116" i="15"/>
  <c r="V117" i="15"/>
  <c r="M117" i="15"/>
  <c r="AU117" i="15"/>
  <c r="F118" i="15"/>
  <c r="L118" i="15" s="1"/>
  <c r="AS116" i="15"/>
  <c r="AW116" i="15"/>
  <c r="AZ116" i="15" s="1"/>
  <c r="AY116" i="15"/>
  <c r="AT116" i="15" l="1"/>
  <c r="F119" i="15"/>
  <c r="L119" i="15" s="1"/>
  <c r="AY117" i="15"/>
  <c r="AS117" i="15"/>
  <c r="AW117" i="15"/>
  <c r="AZ117" i="15" s="1"/>
  <c r="Z117" i="15"/>
  <c r="Y117" i="15"/>
  <c r="V118" i="15"/>
  <c r="M118" i="15"/>
  <c r="AU118" i="15"/>
  <c r="F120" i="15" l="1"/>
  <c r="L120" i="15" s="1"/>
  <c r="AT117" i="15"/>
  <c r="AW118" i="15"/>
  <c r="AZ118" i="15" s="1"/>
  <c r="AY118" i="15"/>
  <c r="AS118" i="15"/>
  <c r="M119" i="15"/>
  <c r="AU119" i="15"/>
  <c r="V119" i="15"/>
  <c r="Z118" i="15"/>
  <c r="Y118" i="15"/>
  <c r="AS119" i="15" l="1"/>
  <c r="AY119" i="15"/>
  <c r="AW119" i="15"/>
  <c r="AZ119" i="15" s="1"/>
  <c r="AT118" i="15"/>
  <c r="V120" i="15"/>
  <c r="M120" i="15"/>
  <c r="AU120" i="15"/>
  <c r="F121" i="15"/>
  <c r="L121" i="15" s="1"/>
  <c r="Z119" i="15"/>
  <c r="Y119" i="15"/>
  <c r="AW120" i="15" l="1"/>
  <c r="AZ120" i="15" s="1"/>
  <c r="AS120" i="15"/>
  <c r="AY120" i="15"/>
  <c r="AU121" i="15"/>
  <c r="V121" i="15"/>
  <c r="M121" i="15"/>
  <c r="AT119" i="15"/>
  <c r="Z120" i="15"/>
  <c r="Y120" i="15"/>
  <c r="F123" i="15"/>
  <c r="AU123" i="15" l="1"/>
  <c r="M123" i="15"/>
  <c r="V123" i="15"/>
  <c r="Z121" i="15"/>
  <c r="Y121" i="15"/>
  <c r="AS121" i="15"/>
  <c r="AY121" i="15"/>
  <c r="AW121" i="15"/>
  <c r="AZ121" i="15" s="1"/>
  <c r="AT120" i="15"/>
  <c r="F122" i="15"/>
  <c r="L122" i="15" s="1"/>
  <c r="AT121" i="15" l="1"/>
  <c r="F124" i="15"/>
  <c r="L124" i="15" s="1"/>
  <c r="M122" i="15"/>
  <c r="V122" i="15"/>
  <c r="AU122" i="15"/>
  <c r="Y123" i="15"/>
  <c r="Z123" i="15"/>
  <c r="AS123" i="15"/>
  <c r="AT123" i="15" s="1"/>
  <c r="AW123" i="15"/>
  <c r="AZ123" i="15" s="1"/>
  <c r="AY123" i="15"/>
  <c r="Y122" i="15" l="1"/>
  <c r="Z122" i="15"/>
  <c r="V124" i="15"/>
  <c r="AU124" i="15"/>
  <c r="M124" i="15"/>
  <c r="AS122" i="15"/>
  <c r="AW122" i="15"/>
  <c r="AZ122" i="15" s="1"/>
  <c r="AY122" i="15"/>
  <c r="F125" i="15"/>
  <c r="L125" i="15" s="1"/>
  <c r="AT122" i="15" l="1"/>
  <c r="AY124" i="15"/>
  <c r="AW124" i="15"/>
  <c r="AZ124" i="15" s="1"/>
  <c r="AS124" i="15"/>
  <c r="Z124" i="15"/>
  <c r="Y124" i="15"/>
  <c r="AU125" i="15"/>
  <c r="V125" i="15"/>
  <c r="M125" i="15"/>
  <c r="F126" i="15"/>
  <c r="L126" i="15" s="1"/>
  <c r="AY125" i="15" l="1"/>
  <c r="AS125" i="15"/>
  <c r="AT125" i="15" s="1"/>
  <c r="AW125" i="15"/>
  <c r="AZ125" i="15" s="1"/>
  <c r="Y125" i="15"/>
  <c r="Z125" i="15"/>
  <c r="AT124" i="15"/>
  <c r="F127" i="15"/>
  <c r="L127" i="15" s="1"/>
  <c r="M126" i="15"/>
  <c r="V126" i="15"/>
  <c r="AU126" i="15"/>
  <c r="AU127" i="15" l="1"/>
  <c r="V127" i="15"/>
  <c r="M127" i="15"/>
  <c r="F128" i="15"/>
  <c r="L128" i="15" s="1"/>
  <c r="AW126" i="15"/>
  <c r="AZ126" i="15" s="1"/>
  <c r="AY126" i="15"/>
  <c r="AS126" i="15"/>
  <c r="Y126" i="15"/>
  <c r="Z126" i="15"/>
  <c r="V128" i="15" l="1"/>
  <c r="AU128" i="15"/>
  <c r="M128" i="15"/>
  <c r="F129" i="15"/>
  <c r="L129" i="15" s="1"/>
  <c r="AT126" i="15"/>
  <c r="Z127" i="15"/>
  <c r="Y127" i="15"/>
  <c r="AW127" i="15"/>
  <c r="AZ127" i="15" s="1"/>
  <c r="AS127" i="15"/>
  <c r="AY127" i="15"/>
  <c r="F130" i="15" l="1"/>
  <c r="L130" i="15" s="1"/>
  <c r="M129" i="15"/>
  <c r="V129" i="15"/>
  <c r="AU129" i="15"/>
  <c r="AT127" i="15"/>
  <c r="AS128" i="15"/>
  <c r="AT128" i="15" s="1"/>
  <c r="AW128" i="15"/>
  <c r="AZ128" i="15" s="1"/>
  <c r="AY128" i="15"/>
  <c r="Y128" i="15"/>
  <c r="Z128" i="15"/>
  <c r="F131" i="15" l="1"/>
  <c r="L131" i="15" s="1"/>
  <c r="AW129" i="15"/>
  <c r="AZ129" i="15" s="1"/>
  <c r="AY129" i="15"/>
  <c r="AS129" i="15"/>
  <c r="Y129" i="15"/>
  <c r="Z129" i="15"/>
  <c r="AU130" i="15"/>
  <c r="V130" i="15"/>
  <c r="M130" i="15"/>
  <c r="AT129" i="15" l="1"/>
  <c r="AU131" i="15"/>
  <c r="M131" i="15"/>
  <c r="V131" i="15"/>
  <c r="Z130" i="15"/>
  <c r="Y130" i="15"/>
  <c r="AW130" i="15"/>
  <c r="AZ130" i="15" s="1"/>
  <c r="AY130" i="15"/>
  <c r="AS130" i="15"/>
  <c r="F132" i="15"/>
  <c r="L132" i="15" s="1"/>
  <c r="F133" i="15" l="1"/>
  <c r="L133" i="15" s="1"/>
  <c r="Z131" i="15"/>
  <c r="Y131" i="15"/>
  <c r="V132" i="15"/>
  <c r="M132" i="15"/>
  <c r="AU132" i="15"/>
  <c r="AY131" i="15"/>
  <c r="AS131" i="15"/>
  <c r="AW131" i="15"/>
  <c r="AZ131" i="15" s="1"/>
  <c r="AT130" i="15"/>
  <c r="AY132" i="15" l="1"/>
  <c r="AW132" i="15"/>
  <c r="AZ132" i="15" s="1"/>
  <c r="AS132" i="15"/>
  <c r="AT131" i="15"/>
  <c r="Z132" i="15"/>
  <c r="Y132" i="15"/>
  <c r="M133" i="15"/>
  <c r="AU133" i="15"/>
  <c r="V133" i="15"/>
  <c r="F134" i="15"/>
  <c r="L134" i="15" s="1"/>
  <c r="F135" i="15" l="1"/>
  <c r="L135" i="15" s="1"/>
  <c r="AS133" i="15"/>
  <c r="AY133" i="15"/>
  <c r="AW133" i="15"/>
  <c r="AZ133" i="15" s="1"/>
  <c r="AT132" i="15"/>
  <c r="AU134" i="15"/>
  <c r="M134" i="15"/>
  <c r="V134" i="15"/>
  <c r="Y133" i="15"/>
  <c r="Z133" i="15"/>
  <c r="AT133" i="15" l="1"/>
  <c r="Z134" i="15"/>
  <c r="Y134" i="15"/>
  <c r="F208" i="15"/>
  <c r="L208" i="15" s="1"/>
  <c r="AS134" i="15"/>
  <c r="AT134" i="15" s="1"/>
  <c r="AY134" i="15"/>
  <c r="AW134" i="15"/>
  <c r="AZ134" i="15" s="1"/>
  <c r="M135" i="15"/>
  <c r="V135" i="15"/>
  <c r="AU135" i="15"/>
  <c r="AU208" i="15" l="1"/>
  <c r="V208" i="15"/>
  <c r="M208" i="15"/>
  <c r="F136" i="15"/>
  <c r="L136" i="15" s="1"/>
  <c r="AW135" i="15"/>
  <c r="AZ135" i="15" s="1"/>
  <c r="AY135" i="15"/>
  <c r="AS135" i="15"/>
  <c r="Z135" i="15"/>
  <c r="Y135" i="15"/>
  <c r="AT135" i="15" l="1"/>
  <c r="M136" i="15"/>
  <c r="V136" i="15"/>
  <c r="AU136" i="15"/>
  <c r="Z208" i="15"/>
  <c r="Y208" i="15"/>
  <c r="F209" i="15"/>
  <c r="L209" i="15" s="1"/>
  <c r="AW208" i="15"/>
  <c r="AZ208" i="15" s="1"/>
  <c r="AY208" i="15"/>
  <c r="AS208" i="15"/>
  <c r="AT208" i="15" s="1"/>
  <c r="AS136" i="15" l="1"/>
  <c r="AT136" i="15" s="1"/>
  <c r="AW136" i="15"/>
  <c r="AZ136" i="15" s="1"/>
  <c r="AY136" i="15"/>
  <c r="V209" i="15"/>
  <c r="M209" i="15"/>
  <c r="AU209" i="15"/>
  <c r="Z136" i="15"/>
  <c r="Y136" i="15"/>
  <c r="F137" i="15"/>
  <c r="L137" i="15" s="1"/>
  <c r="F138" i="15" l="1"/>
  <c r="L138" i="15" s="1"/>
  <c r="AY209" i="15"/>
  <c r="AW209" i="15"/>
  <c r="AZ209" i="15" s="1"/>
  <c r="AS209" i="15"/>
  <c r="AT209" i="15" s="1"/>
  <c r="Z209" i="15"/>
  <c r="Y209" i="15"/>
  <c r="M137" i="15"/>
  <c r="AU137" i="15"/>
  <c r="V137" i="15"/>
  <c r="F139" i="15" l="1"/>
  <c r="L139" i="15" s="1"/>
  <c r="M138" i="15"/>
  <c r="AU138" i="15"/>
  <c r="V138" i="15"/>
  <c r="Y137" i="15"/>
  <c r="Z137" i="15"/>
  <c r="AY137" i="15"/>
  <c r="AS137" i="15"/>
  <c r="AT137" i="15" s="1"/>
  <c r="AW137" i="15"/>
  <c r="AZ137" i="15" s="1"/>
  <c r="V139" i="15" l="1"/>
  <c r="AU139" i="15"/>
  <c r="M139" i="15"/>
  <c r="Z138" i="15"/>
  <c r="Y138" i="15"/>
  <c r="AW138" i="15"/>
  <c r="AZ138" i="15" s="1"/>
  <c r="AY138" i="15"/>
  <c r="AS138" i="15"/>
  <c r="AT138" i="15" s="1"/>
  <c r="F140" i="15"/>
  <c r="L140" i="15" s="1"/>
  <c r="AS139" i="15" l="1"/>
  <c r="AT139" i="15" s="1"/>
  <c r="AY139" i="15"/>
  <c r="AW139" i="15"/>
  <c r="AZ139" i="15" s="1"/>
  <c r="Y139" i="15"/>
  <c r="Z139" i="15"/>
  <c r="F238" i="15"/>
  <c r="L238" i="15" s="1"/>
  <c r="M140" i="15"/>
  <c r="V140" i="15"/>
  <c r="AU140" i="15"/>
  <c r="M238" i="15" l="1"/>
  <c r="AU238" i="15"/>
  <c r="V238" i="15"/>
  <c r="F145" i="15"/>
  <c r="L145" i="15" s="1"/>
  <c r="AY140" i="15"/>
  <c r="AS140" i="15"/>
  <c r="AT140" i="15" s="1"/>
  <c r="AW140" i="15"/>
  <c r="AZ140" i="15" s="1"/>
  <c r="Y140" i="15"/>
  <c r="Z140" i="15"/>
  <c r="AY238" i="15" l="1"/>
  <c r="AW238" i="15"/>
  <c r="AZ238" i="15" s="1"/>
  <c r="AS238" i="15"/>
  <c r="AU145" i="15"/>
  <c r="M145" i="15"/>
  <c r="V145" i="15"/>
  <c r="Z238" i="15"/>
  <c r="Y238" i="15"/>
  <c r="F147" i="15"/>
  <c r="L147" i="15" s="1"/>
  <c r="F146" i="15" l="1"/>
  <c r="L146" i="15" s="1"/>
  <c r="AT238" i="15"/>
  <c r="Y145" i="15"/>
  <c r="Z145" i="15"/>
  <c r="V147" i="15"/>
  <c r="M147" i="15"/>
  <c r="AU147" i="15"/>
  <c r="AY145" i="15"/>
  <c r="AS145" i="15"/>
  <c r="AW145" i="15"/>
  <c r="AZ145" i="15" s="1"/>
  <c r="AY147" i="15" l="1"/>
  <c r="AS147" i="15"/>
  <c r="AW147" i="15"/>
  <c r="AZ147" i="15" s="1"/>
  <c r="Y147" i="15"/>
  <c r="Z147" i="15"/>
  <c r="AT145" i="15"/>
  <c r="F141" i="15"/>
  <c r="M146" i="15"/>
  <c r="V146" i="15"/>
  <c r="AU146" i="15"/>
  <c r="L141" i="15" l="1"/>
  <c r="AS146" i="15"/>
  <c r="AY146" i="15"/>
  <c r="AW146" i="15"/>
  <c r="AZ146" i="15" s="1"/>
  <c r="Z146" i="15"/>
  <c r="Y146" i="15"/>
  <c r="AT147" i="15"/>
  <c r="AT146" i="15" l="1"/>
  <c r="F142" i="15"/>
  <c r="M141" i="15"/>
  <c r="V141" i="15"/>
  <c r="AU141" i="15"/>
  <c r="Y141" i="15" l="1"/>
  <c r="Z141" i="15"/>
  <c r="AS141" i="15"/>
  <c r="AY141" i="15"/>
  <c r="AW141" i="15"/>
  <c r="AZ141" i="15" s="1"/>
  <c r="F144" i="15"/>
  <c r="L144" i="15" s="1"/>
  <c r="L142" i="15"/>
  <c r="AU142" i="15" l="1"/>
  <c r="V142" i="15"/>
  <c r="M142" i="15"/>
  <c r="AU144" i="15"/>
  <c r="M144" i="15"/>
  <c r="V144" i="15"/>
  <c r="F143" i="15"/>
  <c r="AT141" i="15"/>
  <c r="L143" i="15" l="1"/>
  <c r="F214" i="15"/>
  <c r="L214" i="15" s="1"/>
  <c r="Z144" i="15"/>
  <c r="Y144" i="15"/>
  <c r="AS144" i="15"/>
  <c r="AY144" i="15"/>
  <c r="AW144" i="15"/>
  <c r="AZ144" i="15" s="1"/>
  <c r="Y142" i="15"/>
  <c r="Z142" i="15"/>
  <c r="AY142" i="15"/>
  <c r="AS142" i="15"/>
  <c r="AW142" i="15"/>
  <c r="AZ142" i="15" s="1"/>
  <c r="AU214" i="15" l="1"/>
  <c r="V214" i="15"/>
  <c r="M214" i="15"/>
  <c r="AT142" i="15"/>
  <c r="F148" i="15"/>
  <c r="AT144" i="15"/>
  <c r="AU143" i="15"/>
  <c r="M143" i="15"/>
  <c r="V143" i="15"/>
  <c r="AY143" i="15" l="1"/>
  <c r="AW143" i="15"/>
  <c r="AZ143" i="15" s="1"/>
  <c r="AS143" i="15"/>
  <c r="L148" i="15"/>
  <c r="F149" i="15"/>
  <c r="L149" i="15" s="1"/>
  <c r="Y143" i="15"/>
  <c r="Z143" i="15"/>
  <c r="Z214" i="15"/>
  <c r="Y214" i="15"/>
  <c r="AY214" i="15"/>
  <c r="AW214" i="15"/>
  <c r="AZ214" i="15" s="1"/>
  <c r="AS214" i="15"/>
  <c r="V149" i="15" l="1"/>
  <c r="M149" i="15"/>
  <c r="AU149" i="15"/>
  <c r="AT214" i="15"/>
  <c r="AT143" i="15"/>
  <c r="AU148" i="15"/>
  <c r="M148" i="15"/>
  <c r="V148" i="15"/>
  <c r="F156" i="15"/>
  <c r="L156" i="15" s="1"/>
  <c r="F150" i="15"/>
  <c r="Z148" i="15" l="1"/>
  <c r="Y148" i="15"/>
  <c r="L150" i="15"/>
  <c r="BG5" i="15"/>
  <c r="BF4" i="15"/>
  <c r="BF5" i="15"/>
  <c r="BF3" i="15"/>
  <c r="BG3" i="15"/>
  <c r="BG4" i="15"/>
  <c r="AS148" i="15"/>
  <c r="AW148" i="15"/>
  <c r="AZ148" i="15" s="1"/>
  <c r="AY148" i="15"/>
  <c r="AS149" i="15"/>
  <c r="AY149" i="15"/>
  <c r="AW149" i="15"/>
  <c r="AZ149" i="15" s="1"/>
  <c r="AU156" i="15"/>
  <c r="V156" i="15"/>
  <c r="M156" i="15"/>
  <c r="Z149" i="15"/>
  <c r="Y149" i="15"/>
  <c r="BH3" i="15" l="1"/>
  <c r="BH4" i="15"/>
  <c r="BI5" i="15"/>
  <c r="BI4" i="15"/>
  <c r="AT148" i="15"/>
  <c r="BI3" i="15"/>
  <c r="Z156" i="15"/>
  <c r="Y156" i="15"/>
  <c r="AT149" i="15"/>
  <c r="BH5" i="15"/>
  <c r="AY156" i="15"/>
  <c r="AS156" i="15"/>
  <c r="AW156" i="15"/>
  <c r="AZ156" i="15" s="1"/>
  <c r="V150" i="15"/>
  <c r="AU150" i="15"/>
  <c r="M150" i="15"/>
  <c r="Z150" i="15" l="1"/>
  <c r="Y150" i="15"/>
  <c r="AT156" i="15"/>
  <c r="AY150" i="15"/>
  <c r="AW150" i="15"/>
  <c r="AZ150" i="15" s="1"/>
  <c r="AS150" i="15"/>
  <c r="AT150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Paula Briñez</author>
  </authors>
  <commentList>
    <comment ref="F1" authorId="0" shapeId="0" xr:uid="{D7CEB142-B9D1-4CFD-A1C5-91EAACE91889}">
      <text>
        <r>
          <rPr>
            <b/>
            <sz val="9"/>
            <color indexed="81"/>
            <rFont val="Tahoma"/>
            <family val="2"/>
          </rPr>
          <t>Paula Briñez:</t>
        </r>
        <r>
          <rPr>
            <sz val="9"/>
            <color indexed="81"/>
            <rFont val="Tahoma"/>
            <family val="2"/>
          </rPr>
          <t xml:space="preserve">
Cantidad múltiple durante embalaje o producción</t>
        </r>
      </text>
    </comment>
    <comment ref="G1" authorId="0" shapeId="0" xr:uid="{7A495353-49A2-4D62-BE50-0383FAE52D1E}">
      <text>
        <r>
          <rPr>
            <b/>
            <sz val="9"/>
            <color indexed="81"/>
            <rFont val="Tahoma"/>
            <family val="2"/>
          </rPr>
          <t>Paula Briñez:</t>
        </r>
        <r>
          <rPr>
            <sz val="9"/>
            <color indexed="81"/>
            <rFont val="Tahoma"/>
            <family val="2"/>
          </rPr>
          <t xml:space="preserve">
cantidad mínima que se aplica a las transacciones de inventario</t>
        </r>
      </text>
    </comment>
    <comment ref="H1" authorId="0" shapeId="0" xr:uid="{6DB07F72-87C5-41F1-8D2C-E363E20AA6F1}">
      <text>
        <r>
          <rPr>
            <b/>
            <sz val="9"/>
            <color indexed="81"/>
            <rFont val="Tahoma"/>
            <family val="2"/>
          </rPr>
          <t>Paula Briñez:</t>
        </r>
        <r>
          <rPr>
            <sz val="9"/>
            <color indexed="81"/>
            <rFont val="Tahoma"/>
            <family val="2"/>
          </rPr>
          <t xml:space="preserve">
Tiempo de entrega predeterminado en número de días para el modulo</t>
        </r>
      </text>
    </comment>
    <comment ref="H22" authorId="0" shapeId="0" xr:uid="{62E9B704-2ECE-4524-874C-C56E45234B17}">
      <text>
        <r>
          <rPr>
            <b/>
            <sz val="9"/>
            <color indexed="81"/>
            <rFont val="Tahoma"/>
            <family val="2"/>
          </rPr>
          <t>Paula Briñez:</t>
        </r>
        <r>
          <rPr>
            <sz val="9"/>
            <color indexed="81"/>
            <rFont val="Tahoma"/>
            <family val="2"/>
          </rPr>
          <t xml:space="preserve">
Producto que importa el proveedor exclusivamente para un cliente nuestro, llega directo del puerto a Molinos Champion (Desde Nutriera China)</t>
        </r>
      </text>
    </comment>
    <comment ref="G93" authorId="0" shapeId="0" xr:uid="{9E5A434E-E749-4550-BB4F-1303CFCEFE64}">
      <text>
        <r>
          <rPr>
            <b/>
            <sz val="9"/>
            <color indexed="81"/>
            <rFont val="Tahoma"/>
            <family val="2"/>
          </rPr>
          <t>Paula Briñez:</t>
        </r>
        <r>
          <rPr>
            <sz val="9"/>
            <color indexed="81"/>
            <rFont val="Tahoma"/>
            <family val="2"/>
          </rPr>
          <t xml:space="preserve">
Se combinan la Treonina, valina y triptofano para traer contenedor de 26 TM entre los tres o dos en su defecto.</t>
        </r>
      </text>
    </comment>
    <comment ref="G95" authorId="0" shapeId="0" xr:uid="{272098D1-C1E2-4A8A-AB0B-5188696036D5}">
      <text>
        <r>
          <rPr>
            <b/>
            <sz val="9"/>
            <color indexed="81"/>
            <rFont val="Tahoma"/>
            <family val="2"/>
          </rPr>
          <t xml:space="preserve">Paula Briñez:
</t>
        </r>
        <r>
          <rPr>
            <sz val="9"/>
            <color indexed="81"/>
            <rFont val="Tahoma"/>
            <family val="2"/>
          </rPr>
          <t>Se combinan la Treonina, valina y triptofano para traer contenedor de 26 TM entre los tres o dos en su defecto.</t>
        </r>
      </text>
    </comment>
    <comment ref="G96" authorId="0" shapeId="0" xr:uid="{F6651009-B60E-4510-9E66-D4C5E377B424}">
      <text>
        <r>
          <rPr>
            <b/>
            <sz val="9"/>
            <color indexed="81"/>
            <rFont val="Tahoma"/>
            <family val="2"/>
          </rPr>
          <t xml:space="preserve">Paula Briñez:
</t>
        </r>
        <r>
          <rPr>
            <sz val="9"/>
            <color indexed="81"/>
            <rFont val="Tahoma"/>
            <family val="2"/>
          </rPr>
          <t>Se combinan la Treonina, valina y triptofano para traer contenedor de 26 TM entre los tres o dos en su defecto.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tc={9C54E384-D284-4814-A8EE-7F035F24B61D}</author>
  </authors>
  <commentList>
    <comment ref="AA4" authorId="0" shapeId="0" xr:uid="{9C54E384-D284-4814-A8EE-7F035F24B61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Stock en tránsito
</t>
      </text>
    </comment>
  </commentList>
</comments>
</file>

<file path=xl/sharedStrings.xml><?xml version="1.0" encoding="utf-8"?>
<sst xmlns="http://schemas.openxmlformats.org/spreadsheetml/2006/main" count="13571" uniqueCount="1241">
  <si>
    <t>Variable</t>
  </si>
  <si>
    <t>Constante</t>
  </si>
  <si>
    <t>A</t>
  </si>
  <si>
    <t>B</t>
  </si>
  <si>
    <t>C</t>
  </si>
  <si>
    <t>Q</t>
  </si>
  <si>
    <t>NIVEL SERVICIO</t>
  </si>
  <si>
    <t>R,S</t>
  </si>
  <si>
    <t>ROP</t>
  </si>
  <si>
    <t>Categoria</t>
  </si>
  <si>
    <t>Cód</t>
  </si>
  <si>
    <t>Homólogo</t>
  </si>
  <si>
    <t>LT DÍAS</t>
  </si>
  <si>
    <t>h</t>
  </si>
  <si>
    <t>k</t>
  </si>
  <si>
    <t>α</t>
  </si>
  <si>
    <t>Zα</t>
  </si>
  <si>
    <t>Ss</t>
  </si>
  <si>
    <t>COB Ss</t>
  </si>
  <si>
    <t>τ period (R+LT)</t>
  </si>
  <si>
    <t>SEG</t>
  </si>
  <si>
    <t>LÍNEA</t>
  </si>
  <si>
    <t>Cs</t>
  </si>
  <si>
    <t>Is</t>
  </si>
  <si>
    <t>R DÍAS</t>
  </si>
  <si>
    <t>PROM. MES</t>
  </si>
  <si>
    <t>Días</t>
  </si>
  <si>
    <t>Máx</t>
  </si>
  <si>
    <t>Mín</t>
  </si>
  <si>
    <t>Cs + Ss</t>
  </si>
  <si>
    <t>σ (MES)</t>
  </si>
  <si>
    <t>POLÍTICAS INVENTARIO</t>
  </si>
  <si>
    <t>Costo almacenar</t>
  </si>
  <si>
    <t>Costo Fijo</t>
  </si>
  <si>
    <t>Costo Mantener</t>
  </si>
  <si>
    <t>S,Q</t>
  </si>
  <si>
    <t>COB DÍAS Q</t>
  </si>
  <si>
    <t>COB DÍAS ROP</t>
  </si>
  <si>
    <t>TIPO</t>
  </si>
  <si>
    <t>COB Máx</t>
  </si>
  <si>
    <t>AÑO</t>
  </si>
  <si>
    <t>ADHESIVO REGISTRO INP | 9534</t>
  </si>
  <si>
    <t>AQUACHAMPION 22% 50X82 65GRS/M2 25KG | 1022-ME</t>
  </si>
  <si>
    <t>AQUACHAMPION 27% 50X82  65GRS/M2  25KG | 1023-ME</t>
  </si>
  <si>
    <t>AQUACHAMPION 30% 50X82  65GRS/M2  25KG | 1024-ME</t>
  </si>
  <si>
    <t>AQUACHAMPION 35% 50X82  65GRS/M2  25KG | 1025-ME</t>
  </si>
  <si>
    <t>AQUACHAMPION 35% 50X82  75GRS/M2  25KG | 1026-ME</t>
  </si>
  <si>
    <t>AQUACHAMPION 35% HD 50X82  75GRS/M2  25KG | 1027-ME</t>
  </si>
  <si>
    <t>AQUACHAMPION 40% HD 50X82  75GRS/M2  25KG | 1028-ME</t>
  </si>
  <si>
    <t>BIGBAG SIN IMPRESIÓN BL 170G 120X135 V/CAR/DES | 1021-ME</t>
  </si>
  <si>
    <t>CINTA TRANSP.EMBALAJE 2" | CINTA</t>
  </si>
  <si>
    <t>CLASSICFEED 22% 50X82  65GRS/M2  25KG | 1029-ME</t>
  </si>
  <si>
    <t>CLASSICFEED 27% 50X82  65GRS/M2  25KG | 1030-ME</t>
  </si>
  <si>
    <t>CLASSICFEED 35% 50X82  65GRS/M2  25KG | 1031-ME</t>
  </si>
  <si>
    <t>CONEJO WAYNE (60X96) | 0175-ME</t>
  </si>
  <si>
    <t>ENVASE KONGO CACHORROS 21 KG | 1035-ME</t>
  </si>
  <si>
    <t>ETIQUETAS LARVA# 1  1 KLO | 9511</t>
  </si>
  <si>
    <t>ETIQUETAS LARVAS #2  1KLO | 9505</t>
  </si>
  <si>
    <t>ETIQUETAS RACEWAY #2  5KL | 9512</t>
  </si>
  <si>
    <t>ETIQUETAS RACEWAY #3 5 KL | 9506</t>
  </si>
  <si>
    <t>ETIQUETAS RACEWAY# 1 5KLO | 9513</t>
  </si>
  <si>
    <t>FDA. PLAST. NAT. FUELLE | 0118-ME</t>
  </si>
  <si>
    <t>FDAS.LARVAS-RACEWAY 5 KG | 0083-ME</t>
  </si>
  <si>
    <t>FDAS.PLAST.NAT. 23x40" | 0077-ME</t>
  </si>
  <si>
    <t>FDAS.PLAST.NAT.370x750 mm | 0073-ME</t>
  </si>
  <si>
    <t>FDS.LARVAS-RACEWAY  1KILO | 0084-ME</t>
  </si>
  <si>
    <t xml:space="preserve"> MYCOFIX SELECT | 732</t>
  </si>
  <si>
    <t>ACUAGEST | 1039</t>
  </si>
  <si>
    <t>ADOXINE SE | 1010</t>
  </si>
  <si>
    <t>AMARILLO TARTRAZINA | 317</t>
  </si>
  <si>
    <t>AMINOÁCIDO ARGININA | 901</t>
  </si>
  <si>
    <t>AMOXICILINA | 929</t>
  </si>
  <si>
    <t>AQUALYSOL ADISSEO | 900</t>
  </si>
  <si>
    <t>AQUASAVOR | 1009</t>
  </si>
  <si>
    <t>AVIAX PLUS | 388</t>
  </si>
  <si>
    <t>BACITRACINA DE ZINC | 1070</t>
  </si>
  <si>
    <t>BACTINI NIL AQUA de Biobac | 1045</t>
  </si>
  <si>
    <t>CLORTETRACICLINA | 470.5</t>
  </si>
  <si>
    <t>CLORURO DE LISINA | 495</t>
  </si>
  <si>
    <t>CLORURO DE MAGNESIO | 743</t>
  </si>
  <si>
    <t>CLORURO DE POTASIO | 744</t>
  </si>
  <si>
    <t>CONCENTRADO PARA BALANCEADO-ZHIPPING 973 FOR SHRIM | 1073</t>
  </si>
  <si>
    <t>COXISTAC | 475</t>
  </si>
  <si>
    <t>DAIRYLAC 80% | 131.3</t>
  </si>
  <si>
    <t>DICLAZURIL GRANULAR | 340.1</t>
  </si>
  <si>
    <t>FLORAFIL HP 40 AMARILLO | 936</t>
  </si>
  <si>
    <t>FLORAFIL R3 ROJO | 937</t>
  </si>
  <si>
    <t>FLORFENICOL 98% | 520.5</t>
  </si>
  <si>
    <t>FLUIDAROM 1975 AROMATIZANTE COCO-LÁCTEO  (EXPRAPEC). | 877</t>
  </si>
  <si>
    <t>FOSFATO BICALCICO | 719</t>
  </si>
  <si>
    <t>FUMARATO TIAMULINA TIADEM | 912.5</t>
  </si>
  <si>
    <t>GUSTOR AVES | 492.12</t>
  </si>
  <si>
    <t>HALQUINOL 24% | 549.1</t>
  </si>
  <si>
    <t>DDGS | 223</t>
  </si>
  <si>
    <t>ACEITE DE PALMA | 42</t>
  </si>
  <si>
    <t>ACEITE DE PESCADO | 40</t>
  </si>
  <si>
    <t>AFRECHO DE MALTA | 301</t>
  </si>
  <si>
    <t>AFRECHO DE TRIGO | 200</t>
  </si>
  <si>
    <t>CALIZA | 701</t>
  </si>
  <si>
    <t>HARINA AVIAR LOCAL - PROTEINA 65% | 116</t>
  </si>
  <si>
    <t>MAT-EMP</t>
  </si>
  <si>
    <t>MIC-IMP</t>
  </si>
  <si>
    <t>MIC-LOCAL</t>
  </si>
  <si>
    <t>MP-IMP</t>
  </si>
  <si>
    <t>MP-LOCAL</t>
  </si>
  <si>
    <t>SACOS BLANCOS LAMINADOS | 0201-ME</t>
  </si>
  <si>
    <t>SACO WAYNE POLLO ENGORDE COSTA | 0993-ME</t>
  </si>
  <si>
    <t>SACOS WAYNE POLLO ESTANDA | 0171-ME</t>
  </si>
  <si>
    <t>SACO WAYNE POLLO INICIAL COSTA | 0995-ME</t>
  </si>
  <si>
    <t>SACOS CERDO CRECIM. PREMIUM 40KG | 1018-ME</t>
  </si>
  <si>
    <t>SACOS GANADO SUPER LECHE | 0751-ME</t>
  </si>
  <si>
    <t>SACOS CERDO FINALIZADOR PREMIUM 40KG | 1019-ME</t>
  </si>
  <si>
    <t>PEAK PERFORMER  (60X96) | 0754-ME</t>
  </si>
  <si>
    <t>SACOS CERDO FINALIZADOR | 0983-ME</t>
  </si>
  <si>
    <t>SACOS CERDO CRECIM.1 Y 2 | 0982-ME</t>
  </si>
  <si>
    <t>SACO GANADO FERTISA | 0115-ME</t>
  </si>
  <si>
    <t>TERNERA INICIAL-CRECIMIENTO (60X96) | 0752-ME</t>
  </si>
  <si>
    <t>SACOS AVECAM INICIAL COSTA | 0987-ME</t>
  </si>
  <si>
    <t>SACO WAYNE POLLO ENGORDE SIERRA | 0994-ME</t>
  </si>
  <si>
    <t>SACOS AVECAM ENGORDE COSTA | 0988-ME</t>
  </si>
  <si>
    <t>SACOS CERDA GESTACION | 0986-ME</t>
  </si>
  <si>
    <t>SACO WAYNE POLLO INICIAL SIERRA | 0996-ME</t>
  </si>
  <si>
    <t>PONEDORA COMERCIAL WAYNE (60X96) | 0174-ME</t>
  </si>
  <si>
    <t>SACOS CERDA LACTANCIA | 0984-ME</t>
  </si>
  <si>
    <t>SACOS CERDOS | 0112-ME</t>
  </si>
  <si>
    <t>SACOS BLANCOS S/I | 0111-ME</t>
  </si>
  <si>
    <t>SACOS CERDA LEVANTE GORRINAS | 0985-ME</t>
  </si>
  <si>
    <t>PIOLA UNIDADES | PIOLA (UNID)</t>
  </si>
  <si>
    <t>SACOS BLANCOS LIV. | 0202-ME</t>
  </si>
  <si>
    <t>RE-ETIQUETADO EMPAQUE SUPER LARVA | 9517</t>
  </si>
  <si>
    <t>METHIONINA | 511.2</t>
  </si>
  <si>
    <t>LECITINA | 45</t>
  </si>
  <si>
    <t>SAL INDUSTRIAL | 704</t>
  </si>
  <si>
    <t>SULFATO DE LISINA | 497.5</t>
  </si>
  <si>
    <t>PREMIX PEAK PERFORMER | 806</t>
  </si>
  <si>
    <t>NÚCLEO CAMARONES MOCHASA | 990</t>
  </si>
  <si>
    <t>MIX BIND PREVIMI DRY | 910</t>
  </si>
  <si>
    <t>MICOFUNG | 439</t>
  </si>
  <si>
    <t>HEMOGLOBINA | 173</t>
  </si>
  <si>
    <t>TREONINA | 379</t>
  </si>
  <si>
    <t>NUCLEO MINERAL | 701.2</t>
  </si>
  <si>
    <t>VITAMINAS C 35% | 1007.5</t>
  </si>
  <si>
    <t>MINERAL CERDO LEVANTE CEBA | 499.11</t>
  </si>
  <si>
    <t>INGASO ZAFIRO | 740</t>
  </si>
  <si>
    <t>PREMIX TERNERA INICIAL ÑUCA | 810</t>
  </si>
  <si>
    <t>PREMEZCLA MINERAL COMPLEMIN SHRIMP | 1068</t>
  </si>
  <si>
    <t>INGASO P-140 | 741</t>
  </si>
  <si>
    <t>INGASO LOTUS | 742</t>
  </si>
  <si>
    <t>NUFOCARE P | 945</t>
  </si>
  <si>
    <t>MINERAL AVES | 488.1</t>
  </si>
  <si>
    <t>VITAMINAS AVES | 455.3</t>
  </si>
  <si>
    <t>PAQ TIVATE | 1059</t>
  </si>
  <si>
    <t>MINERAL CERDA CRIA (VIMIN) | 499.12</t>
  </si>
  <si>
    <t>VITAM LEVANT CEBA | 456.12</t>
  </si>
  <si>
    <t>VALINA | 508</t>
  </si>
  <si>
    <t>SANACORE | 907</t>
  </si>
  <si>
    <t>OXIDO DE ZINC | 706</t>
  </si>
  <si>
    <t>MINERAL BOVINO | 498.1</t>
  </si>
  <si>
    <t>VITAMINA CERDA CRIA | 456.9</t>
  </si>
  <si>
    <t>PROTEASA DE JEFO | 70</t>
  </si>
  <si>
    <t>PACKING LIST FITASA AVES | 68</t>
  </si>
  <si>
    <t>TOCO BP | 46.5</t>
  </si>
  <si>
    <t>SULFATO DE COBRE | 716</t>
  </si>
  <si>
    <t>RUMALATO | 933</t>
  </si>
  <si>
    <t>TRIPTOFANO | 442.4</t>
  </si>
  <si>
    <t>OXIDO DE HIERRO | 316</t>
  </si>
  <si>
    <t>PIG LIGHT | 527.1</t>
  </si>
  <si>
    <t>SOLUCION GELATINA | 601</t>
  </si>
  <si>
    <t>OXIDO DE HIERRO | 311</t>
  </si>
  <si>
    <t>TARTRATO DE TILOSINA 99% | 685</t>
  </si>
  <si>
    <t>PLASMA | 110.2</t>
  </si>
  <si>
    <t>VALOSIN 425 | 981.2</t>
  </si>
  <si>
    <t>RELEASER PORFENC AVES | 58</t>
  </si>
  <si>
    <t>NUFOAQUA AMINO VIT PRO | 1051</t>
  </si>
  <si>
    <t>PROTAZ PROTEINA ACIDA | 170</t>
  </si>
  <si>
    <t>HARINA CABEZA CAMARON HIDROLIZADA | 160</t>
  </si>
  <si>
    <t>VITAMINAS CAMARON | 461</t>
  </si>
  <si>
    <t>IVEGAN PREMIX (CARVAL) | 1016</t>
  </si>
  <si>
    <t>MYCOFUNG ACUICOLA | 439.3</t>
  </si>
  <si>
    <t>NATUSTAT | 600</t>
  </si>
  <si>
    <t>PASTA DE SOYA 47% DE PROTEINA | 122</t>
  </si>
  <si>
    <t>TRIGO 12% PROTEINA | 17.2</t>
  </si>
  <si>
    <t>MAIZ NACIONAL | 1</t>
  </si>
  <si>
    <t>POLVILLO DE ARROZ | 410</t>
  </si>
  <si>
    <t>HARINA DE CERDO | 111</t>
  </si>
  <si>
    <t>SOYA COCINADA | 100.2</t>
  </si>
  <si>
    <t>PALMISTE | 214</t>
  </si>
  <si>
    <t>MELAZA | 14</t>
  </si>
  <si>
    <t>HARINA DE TRIGO | 211</t>
  </si>
  <si>
    <t>INGREDIENTE FINO 35% | 1041</t>
  </si>
  <si>
    <t>STICKER GANAMIN | 9530</t>
  </si>
  <si>
    <t>HARINA DE PESCADO. IND. BAJA PROTEINA - 51% | 106</t>
  </si>
  <si>
    <t>CATEGORIA'[CategoriaDescripcion]</t>
  </si>
  <si>
    <t>Item-Codigo</t>
  </si>
  <si>
    <t>ProveedorName</t>
  </si>
  <si>
    <t>Promedio de PRICEUNIT_FT</t>
  </si>
  <si>
    <t>MACRO IMPORTADO</t>
  </si>
  <si>
    <t>Enero</t>
  </si>
  <si>
    <t>MACRO LOCAL</t>
  </si>
  <si>
    <t>MAIZ NACIONAL  |1  |QQ</t>
  </si>
  <si>
    <t>AGROINTRADING S.A.S.</t>
  </si>
  <si>
    <t>COMERCIAL AGRICOLA AIDASA S. A. COAGRIDA</t>
  </si>
  <si>
    <t>Abril</t>
  </si>
  <si>
    <t>COMERCIALIZADORA DE CEREALES COCEREAL S.A.</t>
  </si>
  <si>
    <t>SANCAMILO S.A. COMERCIALIZADORA DE GRANOS</t>
  </si>
  <si>
    <t>Febrero</t>
  </si>
  <si>
    <t>Marzo</t>
  </si>
  <si>
    <t>POLVILLO DE ARROZ  |410  |QQ</t>
  </si>
  <si>
    <t>COMERCIALIZADORA LEDESMA &amp; LEDESMA AGROGRULED S.A.</t>
  </si>
  <si>
    <t>MACIAS CASTRO FREDDY GERMAN</t>
  </si>
  <si>
    <t>ORTIZ MORAN GENY JACINTO</t>
  </si>
  <si>
    <t>PEREZ ZAVALA DIEGO GASTON</t>
  </si>
  <si>
    <t>RENGIFO BARCIONA MIGUEL ANDRES</t>
  </si>
  <si>
    <t>VILLARREAL ZAMBRANO MANUEL MAURICIO</t>
  </si>
  <si>
    <t>DDGS  |223  |TM</t>
  </si>
  <si>
    <t>SEABOARD OVERSEAS LIMITED</t>
  </si>
  <si>
    <t>PASTA DE SOYA 47% DE PROTEINA  |122  |TM</t>
  </si>
  <si>
    <t>TRIGO IMPORTADO  |871  |TM</t>
  </si>
  <si>
    <t>MODERNA ALIMENTOS S.A.</t>
  </si>
  <si>
    <t>ACEITE DE PALMA  |42  |TM</t>
  </si>
  <si>
    <t>AGROOLEAGINOSAS LOS RIOS OLEORIOS S.A.</t>
  </si>
  <si>
    <t>GUERRERO ARELLANO YURY ALFREDO</t>
  </si>
  <si>
    <t>MANOBANDACORP C.A.</t>
  </si>
  <si>
    <t>CAICHE MALAVE CESAR JAVIER</t>
  </si>
  <si>
    <t>ACEITE DE PESCADO  |40  |TM</t>
  </si>
  <si>
    <t>AFRECHO DE MALTA  |301  |TM</t>
  </si>
  <si>
    <t>PROCESADORA DE ALIMENTOS S. A. PRODAL</t>
  </si>
  <si>
    <t>AFRECHO DE TRIGO  |200  |KG</t>
  </si>
  <si>
    <t>AFRECHO DE TRIGO  |200  |TM</t>
  </si>
  <si>
    <t>PROSERSUR AGROMERCANTIL S.A.</t>
  </si>
  <si>
    <t>CALIZA  |701  |KG</t>
  </si>
  <si>
    <t>CALCAREOS DEL PACIFICO CALPACSA S. A.</t>
  </si>
  <si>
    <t>CALIZA  |701  |TM</t>
  </si>
  <si>
    <t>H.PESC.INDUSTRIAL 66%  |156.4  |TM</t>
  </si>
  <si>
    <t>FEEDPRO S.A.</t>
  </si>
  <si>
    <t>FORTIDEX S.A.</t>
  </si>
  <si>
    <t>TADEL S.A.</t>
  </si>
  <si>
    <t>HARINA AVIAR LOCAL - PROTEINA 65%  |116  |TM</t>
  </si>
  <si>
    <t>ANIPROTEIN PROTEINA ANIMAL CIA. LTDA.</t>
  </si>
  <si>
    <t>BALANCEADOS CAMPO S.A. BALCAMSA</t>
  </si>
  <si>
    <t>HARINA DE CERDO  |111  |TM</t>
  </si>
  <si>
    <t>BISNESMUN S.A.</t>
  </si>
  <si>
    <t>HARINA DE PESCADO. IND. BAJA PROTEINA - 53%  |159.9  |TM</t>
  </si>
  <si>
    <t>HARINA DE TRIGO  |211  |TM</t>
  </si>
  <si>
    <t>COMPAÑIA DE FABRICACION Y DISTRIBUCION DE MIEL MELAZA FREIRE</t>
  </si>
  <si>
    <t>MELAZA  |14  |TM</t>
  </si>
  <si>
    <t>NUTRIMELAZA CIA. LTDA.</t>
  </si>
  <si>
    <t>PALMISTE  |214  |KG</t>
  </si>
  <si>
    <t>EXTRACTORA AGRICOLA RIO MANSO EXA S.A.</t>
  </si>
  <si>
    <t>ADMECUADOR CIA. LTDA.</t>
  </si>
  <si>
    <t>MAIZ IMPORTADO  |808  |TM</t>
  </si>
  <si>
    <t>CAI TRADING LLC</t>
  </si>
  <si>
    <t>ASOCIACION ECUATORIANA DE FABRICANTES DE ALIMENTOS BALANCEAD</t>
  </si>
  <si>
    <t>BIOPREMIX CIA. LTDA.</t>
  </si>
  <si>
    <t>BUNGE NORTH AMERICA, INC.</t>
  </si>
  <si>
    <t>ACEITE DE PESCADO (ULTIMO REG MARZO)  |40.1  |TM</t>
  </si>
  <si>
    <t>MATERIAL EMPAQUE</t>
  </si>
  <si>
    <t>#0  500µm - 700µm  |9536  |UND</t>
  </si>
  <si>
    <t>OBERTI MORALES RAQUEL DENISE</t>
  </si>
  <si>
    <t>#1  700µm - 1000µm  |9537  |UND</t>
  </si>
  <si>
    <t>#2  1000µm - 1300µm  |9538  |UND</t>
  </si>
  <si>
    <t>AQUACHAMPION 27% 50X82  65GRS/M2  25KG  |1023-ME  |UND</t>
  </si>
  <si>
    <t>PLASTICSACKS CIA. LTDA.</t>
  </si>
  <si>
    <t>SACOPLAST S. A.</t>
  </si>
  <si>
    <t>AQUACHAMPION 30% 50X82  65GRS/M2  25KG  |1024-ME  |UND</t>
  </si>
  <si>
    <t>AQUACHAMPION 35% 50X82  65GRS/M2  25KG  |1025-ME  |UND</t>
  </si>
  <si>
    <t>AQUACHAMPION 35% 50X82  75GRS/M2  25KG  |1026-ME  |UND</t>
  </si>
  <si>
    <t>SACOS DURAN REYSAC S.A.</t>
  </si>
  <si>
    <t>AQUACHAMPION 40% HD 50X82  75GRS/M2  25KG  |1028-ME  |UND</t>
  </si>
  <si>
    <t>BIGBAG SIN IMPRESIÓN BL 170G 120X135 V/CAR/DES  |1021-ME  |UND</t>
  </si>
  <si>
    <t>CINTA TRANSP.EMBALAJE 2"  |CINTA  |UND</t>
  </si>
  <si>
    <t>CORPORACION QUIMICA NACIONAL CIA.LTDA. COQUINA</t>
  </si>
  <si>
    <t>CLASSICFEED 22% 50X82  65GRS/M2  25KG  |1029-ME  |UND</t>
  </si>
  <si>
    <t>CLASSICFEED 27% 50X82  65GRS/M2  25KG  |1030-ME  |UND</t>
  </si>
  <si>
    <t>CLASSICFEED 35% 50X82  65GRS/M2  25KG  |1031-ME  |UND</t>
  </si>
  <si>
    <t>ENVASE KONGO CACHORROS 21 KG  |1035-ME  |UND</t>
  </si>
  <si>
    <t>AGRO INDUSTRIAS BAIRES S.A.</t>
  </si>
  <si>
    <t>ENVASE KONGO GATOS ADULTO SABOR CARNE Y POLLO X 8KG  |1043-ME  |UND</t>
  </si>
  <si>
    <t>ENVASE KONGO GOLD ADULTOS 21 KG  |1033-ME  |UND</t>
  </si>
  <si>
    <t>ENVASE KONGO GOLD NATURAL ADULTO 21 KG +3KG  |1037-ME  |UND</t>
  </si>
  <si>
    <t>ENVASE KONGO NATURAL ADULTO MED Y GRANDES 21+3 KG  |1040-ME  |UND</t>
  </si>
  <si>
    <t>FDAS.PLAST.NAT. 23x40"  |0077-ME  |UND</t>
  </si>
  <si>
    <t>DASANPLAST S.A.</t>
  </si>
  <si>
    <t>PEAK PERFORMER  (60X96)  |0754-ME  |UND</t>
  </si>
  <si>
    <t>PIOLA UNIDADES  |PIOLA (UNID)  |UND</t>
  </si>
  <si>
    <t>CORDELERIA ISANCRIS CIA. LTDA.</t>
  </si>
  <si>
    <t>SERINTU S.A.</t>
  </si>
  <si>
    <t>SACO GANADO FERTISA  |0115-ME  |UND</t>
  </si>
  <si>
    <t>SACO WAYNE POLLO ENGORDE COSTA  |0993-ME  |UND</t>
  </si>
  <si>
    <t>SACO WAYNE POLLO ENGORDE SIERRA  |0994-ME  |UND</t>
  </si>
  <si>
    <t>SACO WAYNE POLLO INICIAL COSTA  |0995-ME  |UND</t>
  </si>
  <si>
    <t>SACOS AVECAM ENGORDE COSTA  |0988-ME  |UND</t>
  </si>
  <si>
    <t>SACOS AVECAM INICIAL COSTA  |0987-ME  |UND</t>
  </si>
  <si>
    <t>SACOS BLANCOS LAMINADOS  |0201-ME  |UND</t>
  </si>
  <si>
    <t>SACOS BLANCOS S/I  |0111-ME  |UND</t>
  </si>
  <si>
    <t>SACOS CERDA LACTANCIA  |0984-ME  |UND</t>
  </si>
  <si>
    <t>SACOS CERDO CRECIM. PREMIUM 40KG  |1018-ME  |UND</t>
  </si>
  <si>
    <t>SACOS CERDO CRECIM.1 Y 2  |0982-ME  |UND</t>
  </si>
  <si>
    <t>SACOS CERDO FINALIZADOR PREMIUM 40KG  |1019-ME  |UND</t>
  </si>
  <si>
    <t>SACOS CERDOS  |0112-ME  |UND</t>
  </si>
  <si>
    <t>SACOS GANADO SUPER LECHE  |0751-ME  |UND</t>
  </si>
  <si>
    <t>SACOS WAYNE POLLO ESTANDA  |0171-ME  |UND</t>
  </si>
  <si>
    <t>MICRO IMPORTADO</t>
  </si>
  <si>
    <t>METHIONINA  |511.2  |KG</t>
  </si>
  <si>
    <t>EVONIK ECUADOR S.A.</t>
  </si>
  <si>
    <t>MICRO LOCAL</t>
  </si>
  <si>
    <t xml:space="preserve"> MYCOFIX SELECT  |732  |KG</t>
  </si>
  <si>
    <t>Z&amp;R CORP S. A.</t>
  </si>
  <si>
    <t>ACUAGEST  |1039  |KG</t>
  </si>
  <si>
    <t>DIMUNE S.A</t>
  </si>
  <si>
    <t>ADOXINE SE  |1010  |KG</t>
  </si>
  <si>
    <t>ADITIVOS Y ALIMENTOS S.A. ADILISA</t>
  </si>
  <si>
    <t>AMARILLO TARTRAZINA  |317  |KG</t>
  </si>
  <si>
    <t>ECUADPREMEX S.A.</t>
  </si>
  <si>
    <t>AMINOÁCIDO ARGININA  |901  |KG</t>
  </si>
  <si>
    <t>TADEC TECNICOS AGROPECUARIOS DEL ECUADOR CIA LTDA</t>
  </si>
  <si>
    <t>AMOXICILINA  |929  |KG</t>
  </si>
  <si>
    <t>COMERCIALIZADORA SNAPSI CIA LTDA</t>
  </si>
  <si>
    <t>AQUALYSOL ADISSEO  |900  |KG</t>
  </si>
  <si>
    <t>BIOBAC S. A.</t>
  </si>
  <si>
    <t>AQUASAVOR  |1009  |KG</t>
  </si>
  <si>
    <t>EQUINSA EQUIPOS E INSUMOS S.A.</t>
  </si>
  <si>
    <t>AVIAX PLUS  |388  |KG</t>
  </si>
  <si>
    <t>FARMAVET FARMACOS VETERINARIOS S. A.</t>
  </si>
  <si>
    <t>BACITRACINA DE ZINC  |1070  |KG</t>
  </si>
  <si>
    <t>BACTINI NIL AQUA de Biobac  |1045  |KG</t>
  </si>
  <si>
    <t>CLORTETRACICLINA  |470.5  |KG</t>
  </si>
  <si>
    <t>EXPROVET CIA.LTDA.</t>
  </si>
  <si>
    <t>CLORURO DE LISINA  |495  |KG</t>
  </si>
  <si>
    <t>PROTEINAS NATURALES S.A. PROTENAT</t>
  </si>
  <si>
    <t>CLORURO DE POTASIO  |744  |KG</t>
  </si>
  <si>
    <t>SOLVESA ECUADOR S.A.</t>
  </si>
  <si>
    <t>CONCENTRADO PARA BALANCEADO-ZHIPPING 973 FOR SHRIM  |1073  |KG</t>
  </si>
  <si>
    <t>CRUSTACEOS &amp; PECES DE SUD AMERICA S A CRUPES</t>
  </si>
  <si>
    <t>COXISTAC  |475  |KG</t>
  </si>
  <si>
    <t>DAIRYLAC 80%  |131.3  |KG</t>
  </si>
  <si>
    <t>DICLAZURIL GRANULAR  |340.1  |KG</t>
  </si>
  <si>
    <t>FLORAFIL HP 40 AMARILLO  |936  |KG</t>
  </si>
  <si>
    <t>FLORAFIL R3 ROJO  |937  |KG</t>
  </si>
  <si>
    <t>FLORFENICOL 98%  |520.5  |KG</t>
  </si>
  <si>
    <t>FLUIDAROM 1975 AROMATIZANTE COCO-LÁCTEO  (EXPRAPEC).  |877  |KG</t>
  </si>
  <si>
    <t>FOSFATO BICALCICO  |719  |KG</t>
  </si>
  <si>
    <t>QUIMPAC ECUADOR S.A QUIMPACSA</t>
  </si>
  <si>
    <t>FOSFATO BICALCICO  |719  |TM</t>
  </si>
  <si>
    <t>FUMARATO TIAMULINA TIADEM  |912.5  |KG</t>
  </si>
  <si>
    <t>SIGMA FEED ADDITIVES AND NUTRITION S.A.S.</t>
  </si>
  <si>
    <t>GUSTOR AVES  |492.12  |KG</t>
  </si>
  <si>
    <t>HALQUINOL  60%  |550  |KG</t>
  </si>
  <si>
    <t>MONTANA ECUADOR MONTANEC S.A.</t>
  </si>
  <si>
    <t>HARINA CABEZA CAMARON HIDROLIZADA  |160  |KG</t>
  </si>
  <si>
    <t>HEMOGLOBINA  |173  |KG</t>
  </si>
  <si>
    <t>QUALICHEM COMPAÑIA LIMITADA</t>
  </si>
  <si>
    <t>INGASO LOTUS  |742  |KG</t>
  </si>
  <si>
    <t>WONG SANTA CRUZ MANUEL ALFONSO</t>
  </si>
  <si>
    <t>INGASO P-140  |741  |KG</t>
  </si>
  <si>
    <t>INGASO ZAFIRO  |740  |KG</t>
  </si>
  <si>
    <t>IVEGAN PREMIX (CARVAL)  |1016  |KG</t>
  </si>
  <si>
    <t>CARVALECUADOR S.A.</t>
  </si>
  <si>
    <t>IVEGAN PREMIX (CARVAL)  |1016  |S 25KG</t>
  </si>
  <si>
    <t>LECITINA  |45  |KG</t>
  </si>
  <si>
    <t>LECITINA  |45  |TM</t>
  </si>
  <si>
    <t>LECITINA EN POLVO  |49  |KG</t>
  </si>
  <si>
    <t>MICOFUNG  |439  |KG</t>
  </si>
  <si>
    <t>CHEMICAL PHARM DEL ECUADOR C. LTDA.</t>
  </si>
  <si>
    <t>MINERAL AVES  |488.1  |KG</t>
  </si>
  <si>
    <t>VIMIN VITAMINAS Y MINERALES C.A.</t>
  </si>
  <si>
    <t>MINERAL CERDO LEVANTE CEBA  |499.11  |KG</t>
  </si>
  <si>
    <t>MIX BIND PREVIMI DRY  |910  |KG</t>
  </si>
  <si>
    <t>MN GROW  |381  |KG</t>
  </si>
  <si>
    <t>MYCOFUNG ACUICOLA  |439.3  |KG</t>
  </si>
  <si>
    <t>NATUSTAT  |600  |KG</t>
  </si>
  <si>
    <t>ALLTECH ECUADOR CIA. LTDA.</t>
  </si>
  <si>
    <t>NUCLEO MINERAL  |701.2  |KG</t>
  </si>
  <si>
    <t>RODRIGUEZ MORAN LARRY DAVID</t>
  </si>
  <si>
    <t>NUFOAQUA AMINO VIT PRO  |1051  |KG</t>
  </si>
  <si>
    <t>NUFOCARE P  |945  |KG</t>
  </si>
  <si>
    <t>OXIDO DE HIERRO  |311  |KG</t>
  </si>
  <si>
    <t>MINERVA S.A.</t>
  </si>
  <si>
    <t>OXIDO DE HIERRO  |316  |KG</t>
  </si>
  <si>
    <t>MATHECU S.A.</t>
  </si>
  <si>
    <t>OXIDO DE ZINC  |706  |KG</t>
  </si>
  <si>
    <t>RESIQUIM S.A.</t>
  </si>
  <si>
    <t>PACKING LIST FITASA AVES  |68  |KG</t>
  </si>
  <si>
    <t>PAQ TIVATE  |1059  |KG</t>
  </si>
  <si>
    <t>PIG LIGHT  |527.1  |KG</t>
  </si>
  <si>
    <t>DISAN ECUADOR S. A.</t>
  </si>
  <si>
    <t>PLASMA  |110.2  |KG</t>
  </si>
  <si>
    <t>ADITMAQ ADITIVOS Y MAQUINARIAS S.A.S.</t>
  </si>
  <si>
    <t>PREMEZCLA MINERAL COMPLEMIN SHRIMP  |1068  |KG</t>
  </si>
  <si>
    <t>PREMIX PEAK PERFORMER  |806  |KG</t>
  </si>
  <si>
    <t>NUTRIMIXES IMPORTACION Y COMERCIALIZACION DE PRODUCTOS AGROP</t>
  </si>
  <si>
    <t>PREMIX TERNERA INICIAL ÑUCA  |810  |KG</t>
  </si>
  <si>
    <t>PROTAZ PROTEINA ACIDA  |170  |KG</t>
  </si>
  <si>
    <t>VASCONEZ BREEDY MARIO XAVIER</t>
  </si>
  <si>
    <t>PROTEASA DE JEFO  |70  |KG</t>
  </si>
  <si>
    <t>VENTAS AVICOLAS VETAVES CIA. LTDA.</t>
  </si>
  <si>
    <t>RELEASER PORFENC AVES  |58  |KG</t>
  </si>
  <si>
    <t>RUMALATO  |933  |KG</t>
  </si>
  <si>
    <t>SAL INDUSTRIAL  |704  |KG</t>
  </si>
  <si>
    <t>ECUATORIANA DE SAL Y PRODUCTOS QUIMICOS C.A. ECUASAL</t>
  </si>
  <si>
    <t>SANACORE  |907  |KG</t>
  </si>
  <si>
    <t>SNT INNOVA  |1049  |KG</t>
  </si>
  <si>
    <t>SULFATO DE COBRE  |716  |KG</t>
  </si>
  <si>
    <t>SULFATO DE LISINA  |497.5  |KG</t>
  </si>
  <si>
    <t>PROVEEDORES QUIMICOS PROVEQUIM C. A.</t>
  </si>
  <si>
    <t>SULFATO DE LISINA  |497.5  |TM</t>
  </si>
  <si>
    <t>TARTRATO DE TILOSINA 99%  |685  |KG</t>
  </si>
  <si>
    <t>TOCO BP  |46.5  |KG</t>
  </si>
  <si>
    <t>TREONINA  |379  |KG</t>
  </si>
  <si>
    <t>TREONINA  |379  |TM</t>
  </si>
  <si>
    <t>VALINA  |508  |KG</t>
  </si>
  <si>
    <t>VALINA  |508  |TM</t>
  </si>
  <si>
    <t>VALOSIN 425  |981.2  |KG</t>
  </si>
  <si>
    <t>VITAM LEVANT CEBA  |456.12  |KG</t>
  </si>
  <si>
    <t>VITAMINAS AVES  |455.3  |KG</t>
  </si>
  <si>
    <t>DSM NUTRITIONAL PRODUCTS ECUADOR S.A.</t>
  </si>
  <si>
    <t>VITAMINAS C 35%  |1007.5  |KG</t>
  </si>
  <si>
    <t>VITAMINAS CAMARON  |461  |KG</t>
  </si>
  <si>
    <t xml:space="preserve">Presentación </t>
  </si>
  <si>
    <t>Costo por unidad (/tm)</t>
  </si>
  <si>
    <t>$ Almacenar</t>
  </si>
  <si>
    <t>Montacarguista</t>
  </si>
  <si>
    <t>Granel</t>
  </si>
  <si>
    <t>Sacos</t>
  </si>
  <si>
    <t>Sueldo</t>
  </si>
  <si>
    <t>Valor Hora</t>
  </si>
  <si>
    <t>Valor Hora + BBSS</t>
  </si>
  <si>
    <t>Ayudante de Bodega</t>
  </si>
  <si>
    <t>Tecnico de Bodega</t>
  </si>
  <si>
    <t>Supervisor de Logistica</t>
  </si>
  <si>
    <t>Detalle de costos</t>
  </si>
  <si>
    <t>Estibador</t>
  </si>
  <si>
    <t>Operador de Volteadora</t>
  </si>
  <si>
    <t>Ayudante de Volteadora</t>
  </si>
  <si>
    <t>Costo Pedir</t>
  </si>
  <si>
    <t>A. Patronal</t>
  </si>
  <si>
    <t>XIII</t>
  </si>
  <si>
    <t>XIV</t>
  </si>
  <si>
    <t>Vacaciones</t>
  </si>
  <si>
    <t>F. Reserva</t>
  </si>
  <si>
    <t>Valor Total</t>
  </si>
  <si>
    <t>Coordinador Logistica</t>
  </si>
  <si>
    <t>Coordinador Micro</t>
  </si>
  <si>
    <t>Coordinador Macro</t>
  </si>
  <si>
    <t>$ Recibir</t>
  </si>
  <si>
    <t>$ Pedir</t>
  </si>
  <si>
    <t>$ Pedir / Compras</t>
  </si>
  <si>
    <t>$ Pedir /Supply</t>
  </si>
  <si>
    <t>$ h/h</t>
  </si>
  <si>
    <t>ciclo stock</t>
  </si>
  <si>
    <t>SACOS</t>
  </si>
  <si>
    <t>TM SACOS</t>
  </si>
  <si>
    <t>TM POR PALLETS</t>
  </si>
  <si>
    <t>PALLET /MES</t>
  </si>
  <si>
    <t>Costo Total (/ TM |Uni)</t>
  </si>
  <si>
    <t>Horas</t>
  </si>
  <si>
    <t>Costo Recibir</t>
  </si>
  <si>
    <t>LT COMPRAS</t>
  </si>
  <si>
    <t>KRILL | 167.16</t>
  </si>
  <si>
    <t>SURMAX | 951</t>
  </si>
  <si>
    <t>LT CONTABILIDAD</t>
  </si>
  <si>
    <t>LT CALIDAD</t>
  </si>
  <si>
    <t>Punto de reorden</t>
  </si>
  <si>
    <t>COB MES Q</t>
  </si>
  <si>
    <t>hora/proveedor</t>
  </si>
  <si>
    <t>horas</t>
  </si>
  <si>
    <t>$/dia</t>
  </si>
  <si>
    <t>D(LT+R)</t>
  </si>
  <si>
    <t>0073-ME</t>
  </si>
  <si>
    <t>0077-ME</t>
  </si>
  <si>
    <t>0083-ME</t>
  </si>
  <si>
    <t>0084-ME</t>
  </si>
  <si>
    <t>0111-ME</t>
  </si>
  <si>
    <t>0112-ME</t>
  </si>
  <si>
    <t>0115-ME</t>
  </si>
  <si>
    <t>0118-ME</t>
  </si>
  <si>
    <t>0171-ME</t>
  </si>
  <si>
    <t>0174-ME</t>
  </si>
  <si>
    <t>0201-ME</t>
  </si>
  <si>
    <t>0202-ME</t>
  </si>
  <si>
    <t>0751-ME</t>
  </si>
  <si>
    <t>0752-ME</t>
  </si>
  <si>
    <t>0754-ME</t>
  </si>
  <si>
    <t>0982-ME</t>
  </si>
  <si>
    <t>0983-ME</t>
  </si>
  <si>
    <t>0984-ME</t>
  </si>
  <si>
    <t>0985-ME</t>
  </si>
  <si>
    <t>0986-ME</t>
  </si>
  <si>
    <t>0987-ME</t>
  </si>
  <si>
    <t>0988-ME</t>
  </si>
  <si>
    <t>0993-ME</t>
  </si>
  <si>
    <t>0994-ME</t>
  </si>
  <si>
    <t>0995-ME</t>
  </si>
  <si>
    <t>0996-ME</t>
  </si>
  <si>
    <t>1.1</t>
  </si>
  <si>
    <t>1007.5</t>
  </si>
  <si>
    <t>1018-ME</t>
  </si>
  <si>
    <t>1019-ME</t>
  </si>
  <si>
    <t>1021-ME</t>
  </si>
  <si>
    <t>1022-ME</t>
  </si>
  <si>
    <t>1023-ME</t>
  </si>
  <si>
    <t>1024-ME</t>
  </si>
  <si>
    <t>1025-ME</t>
  </si>
  <si>
    <t>1026-ME</t>
  </si>
  <si>
    <t>1027-ME</t>
  </si>
  <si>
    <t>1028-ME</t>
  </si>
  <si>
    <t>1029-ME</t>
  </si>
  <si>
    <t>1030-ME</t>
  </si>
  <si>
    <t>1031-ME</t>
  </si>
  <si>
    <t>1032-ME</t>
  </si>
  <si>
    <t>1033-ME</t>
  </si>
  <si>
    <t>1034-ME</t>
  </si>
  <si>
    <t>1035-ME</t>
  </si>
  <si>
    <t>1036-ME</t>
  </si>
  <si>
    <t>1037-ME</t>
  </si>
  <si>
    <t>1038-ME</t>
  </si>
  <si>
    <t>1039-ME</t>
  </si>
  <si>
    <t>1040-ME</t>
  </si>
  <si>
    <t>1041-ME</t>
  </si>
  <si>
    <t>1042-ME</t>
  </si>
  <si>
    <t>1044-ME</t>
  </si>
  <si>
    <t>1045-ME</t>
  </si>
  <si>
    <t>110.2</t>
  </si>
  <si>
    <t>131.3</t>
  </si>
  <si>
    <t>156.4</t>
  </si>
  <si>
    <t>159.9</t>
  </si>
  <si>
    <t>167.16</t>
  </si>
  <si>
    <t>AFRECHO DE TRIGO</t>
  </si>
  <si>
    <t>DDGS</t>
  </si>
  <si>
    <t>340.1</t>
  </si>
  <si>
    <t>439.3</t>
  </si>
  <si>
    <t>442.4</t>
  </si>
  <si>
    <t>455.3</t>
  </si>
  <si>
    <t>456.12</t>
  </si>
  <si>
    <t>456.9</t>
  </si>
  <si>
    <t>46.5</t>
  </si>
  <si>
    <t>470.5</t>
  </si>
  <si>
    <t>475.1</t>
  </si>
  <si>
    <t>488.1</t>
  </si>
  <si>
    <t>492.12</t>
  </si>
  <si>
    <t>497.5</t>
  </si>
  <si>
    <t>SULFATO DE LISINA</t>
  </si>
  <si>
    <t>498.1</t>
  </si>
  <si>
    <t>499.11</t>
  </si>
  <si>
    <t>499.12</t>
  </si>
  <si>
    <t>511.2</t>
  </si>
  <si>
    <t>520.5</t>
  </si>
  <si>
    <t>527.1</t>
  </si>
  <si>
    <t>6102-FER</t>
  </si>
  <si>
    <t>6202-FER</t>
  </si>
  <si>
    <t>6410-FER</t>
  </si>
  <si>
    <t>68.1</t>
  </si>
  <si>
    <t>68.2</t>
  </si>
  <si>
    <t>701.2</t>
  </si>
  <si>
    <t>TRIGO IMPORTADO</t>
  </si>
  <si>
    <t>912.5</t>
  </si>
  <si>
    <t>981.2</t>
  </si>
  <si>
    <t>CINTA</t>
  </si>
  <si>
    <t>PIOLA (UNID)</t>
  </si>
  <si>
    <t>122.3</t>
  </si>
  <si>
    <t>Inv Perfecto</t>
  </si>
  <si>
    <t>OUL</t>
  </si>
  <si>
    <t>Actualizado</t>
  </si>
  <si>
    <t>Revisar que la MP este en pestaña "Planificación" (Filtrar #N/A)</t>
  </si>
  <si>
    <t>VERIFICADOR</t>
  </si>
  <si>
    <t>NATUSTAT  |600</t>
  </si>
  <si>
    <t># Pedidos Anuales</t>
  </si>
  <si>
    <t>Q´</t>
  </si>
  <si>
    <t>$Costo de Pedir Anual</t>
  </si>
  <si>
    <t>MP Compra Min</t>
  </si>
  <si>
    <t>LT Supply</t>
  </si>
  <si>
    <t>OXIDO DE HIERRO | 710</t>
  </si>
  <si>
    <t xml:space="preserve"> </t>
  </si>
  <si>
    <t>Externo</t>
  </si>
  <si>
    <t>Planta</t>
  </si>
  <si>
    <t>Cuarentena</t>
  </si>
  <si>
    <t>OCs</t>
  </si>
  <si>
    <t>Consumo Ult. 3 sems</t>
  </si>
  <si>
    <t>Disp# Sem</t>
  </si>
  <si>
    <t>ConsUlt 2Mes</t>
  </si>
  <si>
    <t>ConsUlt 3Mes</t>
  </si>
  <si>
    <t>PROMMeses</t>
  </si>
  <si>
    <t>CobertMES</t>
  </si>
  <si>
    <t>FOSFATO MONOCALCICO (POLVO)  |720</t>
  </si>
  <si>
    <t>KRILL  |167.16</t>
  </si>
  <si>
    <t>METHIONINA  |511.2</t>
  </si>
  <si>
    <t xml:space="preserve"> MYCOFIX SELECT  |732</t>
  </si>
  <si>
    <t>ACUAGEST  |1039</t>
  </si>
  <si>
    <t>ADOXINE SE  |1010</t>
  </si>
  <si>
    <t>AMARILLO TARTRAZINA  |317</t>
  </si>
  <si>
    <t>AMINOÁCIDO ARGININA  |901</t>
  </si>
  <si>
    <t>AMOXICILINA  |929</t>
  </si>
  <si>
    <t>AQUALYSOL ADISSEO  |900</t>
  </si>
  <si>
    <t>AQUASAVOR  |1009</t>
  </si>
  <si>
    <t>AVIAX PLUS  |388</t>
  </si>
  <si>
    <t>BACITRACINA DE ZINC  |1070</t>
  </si>
  <si>
    <t>BACTINI NIL AQUA de Biobac  |1045</t>
  </si>
  <si>
    <t>CLORTETRACICLINA  |470.5</t>
  </si>
  <si>
    <t>CLORURO DE LISINA  |495</t>
  </si>
  <si>
    <t>CLORURO DE MAGNESIO  |743</t>
  </si>
  <si>
    <t>CLORURO DE POTASIO  |744</t>
  </si>
  <si>
    <t>CONCENTRADO PARA BALANCEADO-ZHIPPING 973 FOR SHRIM  |1073</t>
  </si>
  <si>
    <t>COXISTAC  |475</t>
  </si>
  <si>
    <t>DAIRYLAC 80%  |131.3</t>
  </si>
  <si>
    <t>DICLAZURIL GRANULAR  |340.1</t>
  </si>
  <si>
    <t>FLORAFIL HP 40 AMARILLO  |936</t>
  </si>
  <si>
    <t>FLORAFIL R3 ROJO  |937</t>
  </si>
  <si>
    <t>FLORFENICOL 98%  |520.5</t>
  </si>
  <si>
    <t>FOSFATO BICALCICO  |719</t>
  </si>
  <si>
    <t>FUMARATO TIAMULINA TIADEM  |912.5</t>
  </si>
  <si>
    <t>GUSTOR AVES  |492.12</t>
  </si>
  <si>
    <t>HALQUINOL  60%  |550</t>
  </si>
  <si>
    <t>HARINA CABEZA CAMARON HIDROLIZADA  |160</t>
  </si>
  <si>
    <t>HEMOGLOBINA  |173</t>
  </si>
  <si>
    <t>INGASO LOTUS  |742</t>
  </si>
  <si>
    <t>INGASO P-140  |741</t>
  </si>
  <si>
    <t>INGASO ZAFIRO  |740</t>
  </si>
  <si>
    <t>IVEGAN PREMIX (CARVAL)  |1016</t>
  </si>
  <si>
    <t>LECITINA  |45</t>
  </si>
  <si>
    <t>MICOFUNG  |439</t>
  </si>
  <si>
    <t>MINERAL AVES  |488.1</t>
  </si>
  <si>
    <t>MINERAL BOVINO  |498.1</t>
  </si>
  <si>
    <t>MINERAL CERDA CRIA (VIMIN)  |499.12</t>
  </si>
  <si>
    <t>MINERAL CERDO LEVANTE CEBA  |499.11</t>
  </si>
  <si>
    <t>MIX BIND PREVIMI DRY  |910</t>
  </si>
  <si>
    <t>MYCOFUNG ACUICOLA  |439.3</t>
  </si>
  <si>
    <t>NÚCLEO CAMARONES MOCHASA  |990</t>
  </si>
  <si>
    <t>NUCLEO MINERAL  |701.2</t>
  </si>
  <si>
    <t>NUFOCARE P  |945</t>
  </si>
  <si>
    <t>OXIDO DE HIERRO  |316</t>
  </si>
  <si>
    <t>OXIDO DE HIERRO  |710</t>
  </si>
  <si>
    <t>OXIDO DE ZINC  |706</t>
  </si>
  <si>
    <t>PACKING LIST FITASA  |68.2</t>
  </si>
  <si>
    <t>PACKING LIST FITASA AVES  |68</t>
  </si>
  <si>
    <t>PACKING LIST FITASA CERDOS  |68.1</t>
  </si>
  <si>
    <t>PAQ TIVATE  |1059</t>
  </si>
  <si>
    <t>PIG LIGHT  |527.1</t>
  </si>
  <si>
    <t>PLASMA  |110.2</t>
  </si>
  <si>
    <t>PREMEZCLA MINERAL COMPLEMIN SHRIMP  |1068</t>
  </si>
  <si>
    <t>PREMIX PEAK PERFORMER  |806</t>
  </si>
  <si>
    <t>PREMIX TERNERA INICIAL ÑUCA  |810</t>
  </si>
  <si>
    <t>PROTAZ PROTEINA ACIDA  |170</t>
  </si>
  <si>
    <t>PROTEASA DE JEFO  |70</t>
  </si>
  <si>
    <t>RELEASER PORFENC AVES  |58</t>
  </si>
  <si>
    <t>RELEASER PORFENC CERDOS  |58.1</t>
  </si>
  <si>
    <t>RUMALATO  |933</t>
  </si>
  <si>
    <t>SAL INDUSTRIAL  |704</t>
  </si>
  <si>
    <t>SANACORE  |907</t>
  </si>
  <si>
    <t>SOLUCION GELATINA  |601</t>
  </si>
  <si>
    <t>SULFAPREX  |1050</t>
  </si>
  <si>
    <t>SULFATO DE COBRE  |716</t>
  </si>
  <si>
    <t>SULFATO DE LISINA  |497.5</t>
  </si>
  <si>
    <t>TARTRATO DE TILOSINA 99%  |685</t>
  </si>
  <si>
    <t>TOCO BP  |46.5</t>
  </si>
  <si>
    <t>TREONINA  |379</t>
  </si>
  <si>
    <t>TRIPTOFANO  |442.4</t>
  </si>
  <si>
    <t>VALINA  |508</t>
  </si>
  <si>
    <t>VALOSIN 425  |981.2</t>
  </si>
  <si>
    <t>VITAM LEVANT CEBA  |456.12</t>
  </si>
  <si>
    <t>VITAMINA CERDA CRIA  |456.9</t>
  </si>
  <si>
    <t>VITAMINAS AVES  |455.3</t>
  </si>
  <si>
    <t>VITAMINAS C 35%  |1007.5</t>
  </si>
  <si>
    <t>VITAMINAS CAMARON  |461</t>
  </si>
  <si>
    <t>DDGS  |223</t>
  </si>
  <si>
    <t>PASTA DE SOYA 47% DE PROTEINA  |122</t>
  </si>
  <si>
    <t>TRIGO IMPORTADO  |871</t>
  </si>
  <si>
    <t>ACEITE DE PALMA  |42</t>
  </si>
  <si>
    <t>ACEITE DE PESCADO  |40</t>
  </si>
  <si>
    <t>AFRECHO DE MALTA  |301</t>
  </si>
  <si>
    <t>AFRECHO DE TRIGO  |200</t>
  </si>
  <si>
    <t>CALIZA  |701</t>
  </si>
  <si>
    <t>H.PESC.INDUSTRIAL 66%  |156.4</t>
  </si>
  <si>
    <t>HARINA DE CERDO  |111</t>
  </si>
  <si>
    <t>HARINA DE TRIGO  |211</t>
  </si>
  <si>
    <t>MAIZ ESPECIAL  |1.1</t>
  </si>
  <si>
    <t>MAIZ NACIONAL  |1</t>
  </si>
  <si>
    <t>MELAZA  |14</t>
  </si>
  <si>
    <t>PALMISTE  |214</t>
  </si>
  <si>
    <t>POLVILLO (BAJA GRASA)  |410.1</t>
  </si>
  <si>
    <t>POLVILLO DE ARROZ  |410</t>
  </si>
  <si>
    <t>TARJETAS</t>
  </si>
  <si>
    <t>TERNERA INICIAL FERTISA  |6102-FER</t>
  </si>
  <si>
    <t>LECHERO 14% FERTISA  |6410-FER</t>
  </si>
  <si>
    <t>TERNERA CRECIMIENTO FERTISA  |6202-FER</t>
  </si>
  <si>
    <t>TERNERA INICIAL  |6100</t>
  </si>
  <si>
    <t>REPRODUCTORA CRIA  |1202</t>
  </si>
  <si>
    <t>FDS.LARVAS-RACEWAY  1KILO  |0084-ME</t>
  </si>
  <si>
    <t>ETIQUETAS LARVAS #2  1KLO  |9505</t>
  </si>
  <si>
    <t>ETIQUETAS LARVA# 1  1 KLO  |9511</t>
  </si>
  <si>
    <t>SACOS CERDO FINALIZADOR PREMIUM 40KG  |1019-ME</t>
  </si>
  <si>
    <t>PONEDORA POSTURA  |2408</t>
  </si>
  <si>
    <t>POLLO PREINICIAL COSTA  |3001</t>
  </si>
  <si>
    <t>SACOS CERDA LEVANTE GORRINAS  |0985-ME</t>
  </si>
  <si>
    <t>SACOS BLANCOS S/I  |0111-ME</t>
  </si>
  <si>
    <t>ADHESIVO REGISTRO INP  |9534</t>
  </si>
  <si>
    <t>SACOS CERDA LACTANCIA  |0984-ME</t>
  </si>
  <si>
    <t>TERNERA INICIAL-CRECIMIENTO (60X96)  |0752-ME</t>
  </si>
  <si>
    <t>REPRODUCTORA 3  |2435</t>
  </si>
  <si>
    <t>POLLO INICIAL GRANJA  |3135</t>
  </si>
  <si>
    <t>FDA. PLAST. NAT. FUELLE  |0118-ME</t>
  </si>
  <si>
    <t>CERDO CRECIMIENTO 2  |5206</t>
  </si>
  <si>
    <t>SACOS CERDO CRECIM.1 Y 2  |0982-ME</t>
  </si>
  <si>
    <t>SACO GANADO FERTISA  |0115-ME</t>
  </si>
  <si>
    <t>PEAK PERFORMER  (60X96)  |0754-ME</t>
  </si>
  <si>
    <t>SACO WAYNE POLLO INICIAL SIERRA  |0996-ME</t>
  </si>
  <si>
    <t>SACOS CERDA GESTACION  |0986-ME</t>
  </si>
  <si>
    <t>AQUACHAMPION 22% 50X82 65GRS/M2 25KG  |1022-ME</t>
  </si>
  <si>
    <t>CERDO CRECIMIENTO 3  |5207</t>
  </si>
  <si>
    <t>AQUACHAMPION 40% HD 50X82  75GRS/M2  25KG  |1028-ME</t>
  </si>
  <si>
    <t>CLASSICFEED 27% 50X82  65GRS/M2  25KG  |1030-ME</t>
  </si>
  <si>
    <t>SACOS CERDO FINALIZADOR  |0983-ME</t>
  </si>
  <si>
    <t>SACOS CERDO CRECIM. PREMIUM 40KG  |1018-ME</t>
  </si>
  <si>
    <t>SACO WAYNE POLLO ENGORDE COSTA  |0993-ME</t>
  </si>
  <si>
    <t>REPRODUCTORA 1  |2423</t>
  </si>
  <si>
    <t>AQUACHAMPION 35% HD 50X82  75GRS/M2  25KG  |1027-ME</t>
  </si>
  <si>
    <t>CLASSICFEED 22% 50X82  65GRS/M2  25KG  |1029-ME</t>
  </si>
  <si>
    <t>REPRODUCTORA 2  |2434</t>
  </si>
  <si>
    <t>AQUACHAMPION 30% 50X82  65GRS/M2  25KG  |1024-ME</t>
  </si>
  <si>
    <t>MACHO REPRODUCTOR  |2451</t>
  </si>
  <si>
    <t>SACOS AVECAM ENGORDE COSTA  |0988-ME</t>
  </si>
  <si>
    <t>ETIQUETAS RACEWAY# 1 5KLO  |9513</t>
  </si>
  <si>
    <t>SACO WAYNE POLLO INICIAL COSTA  |0995-ME</t>
  </si>
  <si>
    <t>SACOS AVECAM INICIAL COSTA  |0987-ME</t>
  </si>
  <si>
    <t>PAVO 2  |4200</t>
  </si>
  <si>
    <t>CERDO CRECIMIENTO 1  |5205</t>
  </si>
  <si>
    <t>PIOLA UNIDADES  |PIOLA (UNID)</t>
  </si>
  <si>
    <t>SACOS GANADO SUPER LECHE  |0751-ME</t>
  </si>
  <si>
    <t>SACO WAYNE POLLO ENGORDE SIERRA  |0994-ME</t>
  </si>
  <si>
    <t>PONEDORA COMERCIAL WAYNE (60X96)  |0174-ME</t>
  </si>
  <si>
    <t>AQUACHAMPION 27% 50X82  65GRS/M2  25KG  |1023-ME</t>
  </si>
  <si>
    <t>SACOS WAYNE POLLO ESTANDA  |0171-ME</t>
  </si>
  <si>
    <t>CLASSICFEED 35% 50X82  65GRS/M2  25KG  |1031-ME</t>
  </si>
  <si>
    <t>SACOS BLANCOS LAMINADOS  |0201-ME</t>
  </si>
  <si>
    <t>PAVO 3  |4300</t>
  </si>
  <si>
    <t>FDAS.LARVAS-RACEWAY 5 KG  |0083-ME</t>
  </si>
  <si>
    <t>POLLO ENGORDE GRANJA  |3262</t>
  </si>
  <si>
    <t>AQUACHAMPION 35% 50X82  65GRS/M2  25KG  |1025-ME</t>
  </si>
  <si>
    <t>#0  500µm - 700µm  |9536</t>
  </si>
  <si>
    <t>#1  700µm - 1000µm  |9537</t>
  </si>
  <si>
    <t>#2  1000µm - 1300µm  |9538</t>
  </si>
  <si>
    <t>ADHESIVO REGISTRO INP  |9535</t>
  </si>
  <si>
    <t>BIGBAG SIN IMPRESIÓN BL 170G 120X135 V/CAR/DES  |1021-ME</t>
  </si>
  <si>
    <t>CINTA TRANSP.EMBALAJE 2"  |CINTA</t>
  </si>
  <si>
    <t>ENVASE KONGO GATOS ADULTO SABOR CARNE Y POLLO X 0,5KG (2019)  |1045-ME</t>
  </si>
  <si>
    <t>ENVASE KONGO GATOS ADULTO SABOR CARNE Y POLLO X 1KG (2019)  |1044-ME</t>
  </si>
  <si>
    <t>ENVASE KONGO GOLD ADULTO X 3KG (2019)  |1038-ME</t>
  </si>
  <si>
    <t>ENVASE KONGO GOLD ADULTOS 21 KG  |1033-ME</t>
  </si>
  <si>
    <t>ENVASE KONGO GOLD NATURAL ADULTO 21 KG +3KG  |1037-ME</t>
  </si>
  <si>
    <t>ENVASE KONGO GOLD PUPPIES 15 KG  |1032-ME</t>
  </si>
  <si>
    <t>ENVASE KONGO GOLD PUPPIES 21KG  |1036-ME</t>
  </si>
  <si>
    <t>ENVASE KONGO GOLD PUPPY X 3KG (2019)  |1039-ME</t>
  </si>
  <si>
    <t>ENVASE KONGO MEDIANOS Y GRANDES 21 KG  |1034-ME</t>
  </si>
  <si>
    <t>ENVASE KONGO NATURAL ADULTO MED Y GRANDES 21+3 KG  |1040-ME</t>
  </si>
  <si>
    <t>ENVASE KONGO REGULAR ADULTO X3KG (2019)  |1041-ME</t>
  </si>
  <si>
    <t>ENVASE KONGO REGULAR PUPPY X3KG (2019)  |1042-ME</t>
  </si>
  <si>
    <t>ETIQUETAS RACEWAY #2  5KL  |9512</t>
  </si>
  <si>
    <t>ETIQUETAS RACEWAY #3 5 KL  |9506</t>
  </si>
  <si>
    <t>FDAS.PLAST.NAT. 23x40"  |0077-ME</t>
  </si>
  <si>
    <t>RE-ETIQUETADO EMPAQUE SUPER LARVA  |9517</t>
  </si>
  <si>
    <t>SACOS CERDOS  |0112-ME</t>
  </si>
  <si>
    <t>STICKER GANAMIN  |9530</t>
  </si>
  <si>
    <t>STICKER GANAMIN  |9531</t>
  </si>
  <si>
    <t>STICKER GANAMIN  |9532</t>
  </si>
  <si>
    <t>CERDA LACTANCIA  |5402</t>
  </si>
  <si>
    <t>CERDO FINALIZADOR  |5318</t>
  </si>
  <si>
    <t>CERDO INICIAL FASE 3  |5106</t>
  </si>
  <si>
    <t>CONEJO  |9502</t>
  </si>
  <si>
    <t>CUY  |9501</t>
  </si>
  <si>
    <t>PAVO 1  |4100</t>
  </si>
  <si>
    <t>PAVO INICIAL  |4101</t>
  </si>
  <si>
    <t>PEAK PERFORMER  |6403</t>
  </si>
  <si>
    <t>POLLO CONCENTRADO  |3500</t>
  </si>
  <si>
    <t>POLLO FINALIZADOR GRANJA  |3280</t>
  </si>
  <si>
    <t>REPRODUCTORA INICIAL  |1102</t>
  </si>
  <si>
    <t>REPRODUCTORA RECRIA  |1217</t>
  </si>
  <si>
    <t>COD</t>
  </si>
  <si>
    <t>Columna1</t>
  </si>
  <si>
    <t>REPRODUCTORA 2 | 2434</t>
  </si>
  <si>
    <t>CERDO FINALIZADOR | 5302</t>
  </si>
  <si>
    <t>REPRODUCTORA 1 | 2423</t>
  </si>
  <si>
    <t>CERDA GESTACION | 5400</t>
  </si>
  <si>
    <t>POLLO PREINICIAL COSTA | 3001</t>
  </si>
  <si>
    <t>CERDO INICIAL FASE 3 | 5106</t>
  </si>
  <si>
    <t>LECHERO 14% FERTISA | 6410-FER</t>
  </si>
  <si>
    <t>CERDA LACTANCIA | 5402</t>
  </si>
  <si>
    <t>REPRODUCTORA CRIA | 1202</t>
  </si>
  <si>
    <t>POLLO ENGORDE GRANJA | 3262</t>
  </si>
  <si>
    <t>PAVO 3 | 4300</t>
  </si>
  <si>
    <t>POLLO INICIAL GRANJA | 3135</t>
  </si>
  <si>
    <t>PONEDORA POSTURA | 2408</t>
  </si>
  <si>
    <t>PAVO 2 | 4200</t>
  </si>
  <si>
    <t>REPRODUCTORA RECRIA | 1217</t>
  </si>
  <si>
    <t>TERNERA CRECIMIENTO FERTISA | 6202-FER</t>
  </si>
  <si>
    <t>TERNERA INICIAL | 6100</t>
  </si>
  <si>
    <t>TERNERO CRECIMIENTO | 6200</t>
  </si>
  <si>
    <t>POLLO ENGORDE COSTA SIN PIGMENTO | 3212</t>
  </si>
  <si>
    <t>MACHO REPRODUCTOR | 2451</t>
  </si>
  <si>
    <t>POLLO CONCENTRADO | 3500</t>
  </si>
  <si>
    <t>CERDO INICIAL FASE 2 | 5107</t>
  </si>
  <si>
    <t>CERDA LEVANTE 2 GORRINA | 5410</t>
  </si>
  <si>
    <t>CERDO INICIAL FASE 1 | 5009</t>
  </si>
  <si>
    <t>REPRODUCTORA 3 | 2435</t>
  </si>
  <si>
    <t>TERNERA INICIAL FERTISA | 6102-FER</t>
  </si>
  <si>
    <t>CERDO CRECIMIENTO 3 | 5207</t>
  </si>
  <si>
    <t>REPRODUCTORA INICIAL | 1102</t>
  </si>
  <si>
    <t>CERDO CRECIMIENTO 2 | 5206</t>
  </si>
  <si>
    <t>CERDA LEVANTE 1 GORRINA | 5409</t>
  </si>
  <si>
    <t>CERDO CRECIMIENTO 1 | 5205</t>
  </si>
  <si>
    <t>SUPER LECHE PREMIUN | 6402</t>
  </si>
  <si>
    <t>PEAK PERFORMER | 6403</t>
  </si>
  <si>
    <t>PAVO 1 | 4100</t>
  </si>
  <si>
    <t>PAVO INICIAL | 4101</t>
  </si>
  <si>
    <t>40.1</t>
  </si>
  <si>
    <t>1043-ME</t>
  </si>
  <si>
    <t>DDGS  |223  |KG</t>
  </si>
  <si>
    <t>ADM AMERICAS S. DE R.L</t>
  </si>
  <si>
    <t>Octubre</t>
  </si>
  <si>
    <t>COMERCIALIZADORA DE CEREALES GOLDENGRAIN S.A.</t>
  </si>
  <si>
    <t>Agosto</t>
  </si>
  <si>
    <t>Septiembre</t>
  </si>
  <si>
    <t>Junio</t>
  </si>
  <si>
    <t>Julio</t>
  </si>
  <si>
    <t>LUZAR TRADING S.A.</t>
  </si>
  <si>
    <t>HARINA DE CERDO IMPORTADA  |114  |TM</t>
  </si>
  <si>
    <t>MAIZ IMPORTADO  |808  |QQ</t>
  </si>
  <si>
    <t>LIRIS S.A.</t>
  </si>
  <si>
    <t>Mayo</t>
  </si>
  <si>
    <t>TRIGO 12% PROTEINA  |17.2  |TM</t>
  </si>
  <si>
    <t>Noviembre</t>
  </si>
  <si>
    <t>Diciembre</t>
  </si>
  <si>
    <t>ACEITE DE PESCADO  |40  |KG</t>
  </si>
  <si>
    <t>SYCFARUMS S.A.</t>
  </si>
  <si>
    <t>ALICORP S A.A.</t>
  </si>
  <si>
    <t>JINEZ MEDINA JUAN GEOVANNY</t>
  </si>
  <si>
    <t>COMERCIALIZADORA FERMINTESA S.A.</t>
  </si>
  <si>
    <t>CALIZA  |701  |S 50KG</t>
  </si>
  <si>
    <t>PRODUCTOS PESQUEROS S.A. PRODUPES</t>
  </si>
  <si>
    <t>AGROINDUSTRIAL CHIRZEV S.A.</t>
  </si>
  <si>
    <t>HARINA DE CERDO  |111.5  |TM</t>
  </si>
  <si>
    <t>HARINA DE PESCADO IND.  ALTA PROTEINA - 66%  |156  |KG</t>
  </si>
  <si>
    <t>HARINA DE PESCADO IND.  ALTA PROTEINA - 66%  |156  |TM</t>
  </si>
  <si>
    <t>HARINA DE PESCADO. IND. BAJA PROTEINA - 52%  |159  |TM</t>
  </si>
  <si>
    <t>HARINAPEZ S.A.</t>
  </si>
  <si>
    <t>HARINA DE PESCADO. IND. BAJA PROTEINA - 53%  |159.9  |KG</t>
  </si>
  <si>
    <t>HARINA DE TRIGO  |211  |KG</t>
  </si>
  <si>
    <t>ASOCIACION DE PRODUCCION AGRICOLA CEAYCON ASOPROAGRICE</t>
  </si>
  <si>
    <t>CASTILLO LANDETA HENRY GUILLERMO</t>
  </si>
  <si>
    <t>GILER SOLORZANO YEN FREDY</t>
  </si>
  <si>
    <t>JIMENEZ ALBIÑO XAVIER MARCELO</t>
  </si>
  <si>
    <t>MOREIRA POSLIGUA ANGEL ALFREDO</t>
  </si>
  <si>
    <t>MELAZA  |14  |KG</t>
  </si>
  <si>
    <t>MIELPALM CIA.LTDA.</t>
  </si>
  <si>
    <t>AGRONOVA SCC</t>
  </si>
  <si>
    <t>PALMISTE  |214  |S 50KG</t>
  </si>
  <si>
    <t>PALMISTE  |214  |TM</t>
  </si>
  <si>
    <t>AGRO CORPORATION</t>
  </si>
  <si>
    <t>PASTA DE SOYA  |121  |TM</t>
  </si>
  <si>
    <t>ARROZGARABI S.A.</t>
  </si>
  <si>
    <t>CATPO TRADING S.A.</t>
  </si>
  <si>
    <t>CENTERCORP S.A.</t>
  </si>
  <si>
    <t>FLORES VELASCO MARIANA ESTHER</t>
  </si>
  <si>
    <t>JARAMILLO VASQUEZ GABRIEL ANTONIO</t>
  </si>
  <si>
    <t>MARISCAL GONZALEZ SINTHYA DENNISE</t>
  </si>
  <si>
    <t>MORAN GONZALEZ ANTHONY ISIDRO</t>
  </si>
  <si>
    <t>ORTA SALAZAR MARTHA MARIAM</t>
  </si>
  <si>
    <t>PITA RUGEL BORIS BAUTISTA</t>
  </si>
  <si>
    <t>PRODURICE S A</t>
  </si>
  <si>
    <t>VIZUETA PITA DANNY LENIN</t>
  </si>
  <si>
    <t>ZAVALA AREVALO LUIS FERNANDO</t>
  </si>
  <si>
    <t>SOYA EN GRANO  |100  |QQ</t>
  </si>
  <si>
    <t>ASOCIACION DE AGRICULTORES EL ROSIO ASOAGRO</t>
  </si>
  <si>
    <t>COMPAÑIA AGRICOLA NASEJU S.A.</t>
  </si>
  <si>
    <t>PEÑA ARTEAGA GRETTA AMPARITO</t>
  </si>
  <si>
    <t>TRIGO BRASIL GOLDEN GRAIN  |17.5  |TM</t>
  </si>
  <si>
    <t>GARCES ESCOBAR CELESTE EDILMA</t>
  </si>
  <si>
    <t>ADHESIVO REGISTRO INP  |9534  |UND</t>
  </si>
  <si>
    <t>AQUACHAMPION 22% 50X82 65GRS/M2 25KG  |1022-ME  |UND</t>
  </si>
  <si>
    <t>AQUACHAMPION 35% HD 50X82  75GRS/M2  25KG  |1027-ME  |UND</t>
  </si>
  <si>
    <t>ENVASE KONGO GATOS ADULTO SABOR CARNE Y POLLO X 0,5KG (2019)  |1045-ME  |UND</t>
  </si>
  <si>
    <t>ENVASE KONGO GATOS ADULTO SABOR CARNE Y POLLO X 1KG (2019)  |1044-ME  |UND</t>
  </si>
  <si>
    <t>ENVASE KONGO GOLD ADULTO X 3KG (2019)  |1038-ME  |UND</t>
  </si>
  <si>
    <t>ENVASE KONGO GOLD PUPPIES 15 KG  |1032-ME  |UND</t>
  </si>
  <si>
    <t>ENVASE KONGO GOLD PUPPY X 3KG (2019)  |1039-ME  |UND</t>
  </si>
  <si>
    <t>ENVASE KONGO MEDIANOS Y GRANDES 21 KG  |1034-ME  |UND</t>
  </si>
  <si>
    <t>ENVASE KONGO REGULAR ADULTO X3KG (2019)  |1041-ME  |UND</t>
  </si>
  <si>
    <t>ENVASE KONGO REGULAR PUPPY  21 KG +3KG  |1046-ME  |UND</t>
  </si>
  <si>
    <t>ENVASE KONGO REGULAR PUPPY X3KG (2019)  |1042-ME  |UND</t>
  </si>
  <si>
    <t>FDAS.PLAST.NAT.370x750 mm  |0073-ME  |UND</t>
  </si>
  <si>
    <t>PONEDORA COMERCIAL WAYNE (60X96)  |0174-ME  |UND</t>
  </si>
  <si>
    <t>RE-ETIQUETADO EMPAQUE SUPER LARVA  |9517  |UND</t>
  </si>
  <si>
    <t>SACO WAYNE POLLO INICIAL SIERRA  |0996-ME  |UND</t>
  </si>
  <si>
    <t>SACOS BLANCOS LIV.  |0202-ME  |UND</t>
  </si>
  <si>
    <t>SACOS CERDA GESTACION  |0986-ME  |UND</t>
  </si>
  <si>
    <t>SACOS CERDO FINALIZADOR  |0983-ME  |UND</t>
  </si>
  <si>
    <t>TERNERA INICIAL-CRECIMIENTO (60X96)  |0752-ME  |UND</t>
  </si>
  <si>
    <t>FOSFATO MONOCALCICO (POLVO)  |720  |KG</t>
  </si>
  <si>
    <t>KRILL  |167.16  |TM</t>
  </si>
  <si>
    <t>AKER BIOMARINE ARTARCTIC AS</t>
  </si>
  <si>
    <t>GISIS S.A.</t>
  </si>
  <si>
    <t>LECITINA DE SOYA  |45.2  |TM</t>
  </si>
  <si>
    <t>ANTIOXIDANTE ABIQUIM  |1010.6  |KG</t>
  </si>
  <si>
    <t>BROILER PIGMENTO ECUADPREMEX  |903.17  |KG</t>
  </si>
  <si>
    <t>CLORURO DE MAGNESIO  |743  |KG</t>
  </si>
  <si>
    <t>FRAMACUA S.A.</t>
  </si>
  <si>
    <t>FARMAXILIN 50 %  |929.1  |KG</t>
  </si>
  <si>
    <t>ADIFEED S.A.</t>
  </si>
  <si>
    <t>REPRESENTACIONES INTERNACIONALES VERA TOMALA S.A. RIVETO TRA</t>
  </si>
  <si>
    <t>HALQUINOL 24%  |549.1  |KG</t>
  </si>
  <si>
    <t>LEADER YELLOW 4 %  |903.18  |KG</t>
  </si>
  <si>
    <t>INDUSTRIAL DE OLEAGINOSAS AMERICANAS, S.A.</t>
  </si>
  <si>
    <t>RIVETO LLC</t>
  </si>
  <si>
    <t>MINERAL BOVINO  |498.1  |KG</t>
  </si>
  <si>
    <t>MINERAL BOVINO EXPROVET  |498.4  |KG</t>
  </si>
  <si>
    <t>MINERAL CERDA CRIA (VIMIN)  |499.12  |KG</t>
  </si>
  <si>
    <t>NUFLOR  |520  |KG</t>
  </si>
  <si>
    <t>IMPVET IMPORTADORA VETERINARIA CIA. LTDA.</t>
  </si>
  <si>
    <t>OXIDO DE HIERRO  |710  |KG</t>
  </si>
  <si>
    <t>FEEDNUTRITION S.A.</t>
  </si>
  <si>
    <t>PROMAX (HALQUINOL) PROMOTOR DE CRECIMIENTO  |549  |KG</t>
  </si>
  <si>
    <t>SAL INDUSTRIAL  |704  |S 25KG</t>
  </si>
  <si>
    <t>SAL FIBRAS PILCO SALFIPIL S.A.</t>
  </si>
  <si>
    <t>SALINOMICINA 12%  |475.1  |KG</t>
  </si>
  <si>
    <t>SEQUICARBONATO DE SODIO (DISAN)  |701.3  |KG</t>
  </si>
  <si>
    <t>SOLUCION GELATINA  |601  |KG</t>
  </si>
  <si>
    <t>LEVAPAN DEL ECUADOR S.A.</t>
  </si>
  <si>
    <t>SULFAPREX  |1050  |KG</t>
  </si>
  <si>
    <t>SURMAX  |951  |KG</t>
  </si>
  <si>
    <t>PROCESADORA NACIONAL DE ALIMENTOS C. A. PRONACA</t>
  </si>
  <si>
    <t>TRIPTOFANO  |442.4  |KG</t>
  </si>
  <si>
    <t>TRIPTOFANO  |442.4  |TM</t>
  </si>
  <si>
    <t>VITAM. CERDA CRIA (VIMIN)  |456.13  |KG</t>
  </si>
  <si>
    <t>VITAMINA CERDA CRIA  |456.9  |KG</t>
  </si>
  <si>
    <t>17.2</t>
  </si>
  <si>
    <t>111.5</t>
  </si>
  <si>
    <t>17.5</t>
  </si>
  <si>
    <t>1046-ME</t>
  </si>
  <si>
    <t>45.2</t>
  </si>
  <si>
    <t>1010.6</t>
  </si>
  <si>
    <t>903.17</t>
  </si>
  <si>
    <t>929.1</t>
  </si>
  <si>
    <t>549.1</t>
  </si>
  <si>
    <t>903.18</t>
  </si>
  <si>
    <t>498.4</t>
  </si>
  <si>
    <t>701.3</t>
  </si>
  <si>
    <t>456.13</t>
  </si>
  <si>
    <t>HARINA AVIAR 65% PC  |116</t>
  </si>
  <si>
    <t>ETIQUETA CHAMPION PIGLET – FASE 1  |9539</t>
  </si>
  <si>
    <t>ETIQUETA CHAMPION PIGLET – FASE 2  |9540</t>
  </si>
  <si>
    <t>ETIQUETA CHAMPION PIGLET – FASE 3  |9541</t>
  </si>
  <si>
    <t>SACO CHAMPION PIGLET F1  |1047-ME</t>
  </si>
  <si>
    <t>SACO CHAMPION PIGLET F2  |1048-ME</t>
  </si>
  <si>
    <t>SACO CHAMPION PIGLET F3  |1049-ME</t>
  </si>
  <si>
    <t>SACO CHAMPION PIGLET F4  |1050-ME</t>
  </si>
  <si>
    <t>1047-ME</t>
  </si>
  <si>
    <t>1048-ME</t>
  </si>
  <si>
    <t>1049-ME</t>
  </si>
  <si>
    <t>1050-ME</t>
  </si>
  <si>
    <t>CLORURO COLINA  |459</t>
  </si>
  <si>
    <t>FLUIDAROM 1085  |920</t>
  </si>
  <si>
    <t>LECHE DESCREMADA  |922</t>
  </si>
  <si>
    <t>MINERAL CERDA CRIA  |499.12</t>
  </si>
  <si>
    <t>MN GROW  |381</t>
  </si>
  <si>
    <t>NUFOAQUA AMINO VIT PRO  |1051</t>
  </si>
  <si>
    <t>OXIDO DE HIERRO  |311</t>
  </si>
  <si>
    <t>SUERO DE LECHE  |921</t>
  </si>
  <si>
    <t>ARROCILLO  |27</t>
  </si>
  <si>
    <t>NO ALIMENTAR EQUINOS  |9504</t>
  </si>
  <si>
    <t>ARROCILLO | 27</t>
  </si>
  <si>
    <t>#0  500µm - 700µm | 9536</t>
  </si>
  <si>
    <t>AVINOVA | 930</t>
  </si>
  <si>
    <t>ALPHYTOCIDEX | 932</t>
  </si>
  <si>
    <t>POLLO FINALIZADOR GRANJA | 3280</t>
  </si>
  <si>
    <t>MINERAL CERDA CRIA | 499.12</t>
  </si>
  <si>
    <t>SULFAPREX | 1050</t>
  </si>
  <si>
    <t>BMD | 931</t>
  </si>
  <si>
    <t>ADHESIVO REGISTRO INP | 9535</t>
  </si>
  <si>
    <t>c</t>
  </si>
  <si>
    <t>H.PESC.INDUSTRIAL 66% | 156.4</t>
  </si>
  <si>
    <t>PREMIX MINERALES CERDO LECHON  |499.6</t>
  </si>
  <si>
    <t>PREMIX VITAMINAS CERDO LECHON  |456.7</t>
  </si>
  <si>
    <t>499.6</t>
  </si>
  <si>
    <t>CLORURO COLINA | 459</t>
  </si>
  <si>
    <t>LOCAL</t>
  </si>
  <si>
    <t>HARINA AVIAR LOCAL - PROTEINA 65%  |116</t>
  </si>
  <si>
    <t>IMPORTADO</t>
  </si>
  <si>
    <t>HARINA DE PESCADO. IND. BAJA PROTEINA - 53%  |159.9</t>
  </si>
  <si>
    <t>PASTA DE SOYA  |121</t>
  </si>
  <si>
    <t>SOYA COCINADA  |100.2</t>
  </si>
  <si>
    <t>SOYA EN GRANO  |100</t>
  </si>
  <si>
    <t>Tiempo de procesamiento y aprobación de OC</t>
  </si>
  <si>
    <t>Origen Actual</t>
  </si>
  <si>
    <t>Categoria Actual DAX</t>
  </si>
  <si>
    <t>Codigo</t>
  </si>
  <si>
    <t>HARINA AVIAR 65% PC  |116  |TM</t>
  </si>
  <si>
    <t>CASTA ROJA AGROINDUSTRIAL CASTAROJA S.A.</t>
  </si>
  <si>
    <t>ETIQUETA CHAMPION PIGLET – FASE 1  |9539  |UND</t>
  </si>
  <si>
    <t>ETIQUETA CHAMPION PIGLET – FASE 2  |9540  |UND</t>
  </si>
  <si>
    <t>ETIQUETA CHAMPION PIGLET – FASE 3  |9541  |UND</t>
  </si>
  <si>
    <t>SACO CHAMPION PIGLET F1  |1047-ME  |UND</t>
  </si>
  <si>
    <t>SACO CHAMPION PIGLET F2  |1048-ME  |UND</t>
  </si>
  <si>
    <t>SACO CHAMPION PIGLET F3  |1049-ME  |UND</t>
  </si>
  <si>
    <t>SACO CHAMPION PIGLET F4  |1050-ME  |UND</t>
  </si>
  <si>
    <t>CLORURO COLINA  |459  |KG</t>
  </si>
  <si>
    <t>FLUIDAROM 1085  |920  |KG</t>
  </si>
  <si>
    <t>LECHE DESCREMADA  |922  |KG</t>
  </si>
  <si>
    <t>TRADESUR COMPANY S.A.</t>
  </si>
  <si>
    <t>PREMIX MINERALES CERDO LECHON  |499.6  |KG</t>
  </si>
  <si>
    <t>SUERO DE LECHE  |921  |KG</t>
  </si>
  <si>
    <t>CERDO CRECIMIENTO 1  |5205  |UND</t>
  </si>
  <si>
    <t>MACHO REPRODUCTOR  |2451  |UND</t>
  </si>
  <si>
    <t>NO ALIMENTAR EQUINOS  |9504  |UND</t>
  </si>
  <si>
    <t>PAVO 1  |4100  |UND</t>
  </si>
  <si>
    <t>PAVO 2  |4200  |UND</t>
  </si>
  <si>
    <t>PAVO 3  |4300  |UND</t>
  </si>
  <si>
    <t>POLLO ENGORDE GRANJA  |3262  |UND</t>
  </si>
  <si>
    <t>REPRODUCTORA 1  |2423  |UND</t>
  </si>
  <si>
    <t>REPRODUCTORA 2  |2434  |UND</t>
  </si>
  <si>
    <t>REPRODUCTORA 3  |2435  |UND</t>
  </si>
  <si>
    <t>TERRAMARLATAM S.A.</t>
  </si>
  <si>
    <t>PASTA DE SOYA IMPORTADA  |122.3  |TM</t>
  </si>
  <si>
    <t>FOSFATO MONOCALCICO (POLVO)  |720  |TM</t>
  </si>
  <si>
    <t>METHIONINA  |511.2  |TM</t>
  </si>
  <si>
    <t>CERDA GESTACION  |5400  |UND</t>
  </si>
  <si>
    <t>CERDA LACTANCIA  |5402  |UND</t>
  </si>
  <si>
    <t>CERDO CRECIMIENTO 2  |5206  |UND</t>
  </si>
  <si>
    <t>CERDO CRECIMIENTO 3  |5207  |UND</t>
  </si>
  <si>
    <t>CERDO CRECIMIENTO FASE 2  |5200  |UND</t>
  </si>
  <si>
    <t>CERDO FINALIZADOR  |5302  |UND</t>
  </si>
  <si>
    <t>CERDO FINALIZADOR  |5318  |UND</t>
  </si>
  <si>
    <t>PAVO ENGORDE  |4301  |UND</t>
  </si>
  <si>
    <t>PAVO INICIAL  |4101  |UND</t>
  </si>
  <si>
    <t>POLLO FINALIZADOR  |3411  |UND</t>
  </si>
  <si>
    <t>POLLO FINALIZADOR GRANJA  |3280  |UND</t>
  </si>
  <si>
    <t>POLLO INICIAL COSTA  |3110  |UND</t>
  </si>
  <si>
    <t>POLLO INICIAL GRANJA  |3135  |UND</t>
  </si>
  <si>
    <t>REPRODUCTORA CRIA  |1202  |UND</t>
  </si>
  <si>
    <t>REPRODUCTORA INICIAL  |1102  |UND</t>
  </si>
  <si>
    <t>REPRODUCTORA RECRIA  |1217  |UND</t>
  </si>
  <si>
    <t>TERNERA CRECIMIENTO FERTISA  |6202-FER  |UND</t>
  </si>
  <si>
    <t>TERNERA INICIAL FERTISA  |6102-FER  |UND</t>
  </si>
  <si>
    <t>NO ALIMENTAR EQUINOS | 9504</t>
  </si>
  <si>
    <t>FLUIDAROM 1985 MILK VAINILLA</t>
  </si>
  <si>
    <t>Tiempo de entrega Orden de Compra
(Lead Time desde que se recibe la solicitud de pedido acordada entre supply y compras)</t>
  </si>
  <si>
    <t>Cantidad Minima Pedido
TM</t>
  </si>
  <si>
    <t>Varias
(Múltiplo ó unidad de empaque)</t>
  </si>
  <si>
    <t>NEOMICINA PREMIX 50 %  DISAN  |913</t>
  </si>
  <si>
    <t>8635.AQ</t>
  </si>
  <si>
    <t>CERDO CRECIMIENTO FASE 2  | 5204</t>
  </si>
  <si>
    <t>NEOMICINA PREMIX 50 %  DISAN  | 913</t>
  </si>
  <si>
    <t>PREMIX MINERALES CERDO LECHON  | 499.6</t>
  </si>
  <si>
    <t>PREMIX VITAMINAS CERDO LECHON  | 456.7</t>
  </si>
  <si>
    <t>ETIQUETA CHAMPION PIGLET – FASE 1  | 9539</t>
  </si>
  <si>
    <t>ETIQUETA CHAMPION PIGLET – FASE 2  | 9540</t>
  </si>
  <si>
    <t>ETIQUETA CHAMPION PIGLET – FASE 3  | 9541</t>
  </si>
  <si>
    <t>ETIQUETA CHAMPION PIGLET – FASE 4  | 9542</t>
  </si>
  <si>
    <t>CERDO FINALIZADOR  | 5318</t>
  </si>
  <si>
    <t>CONEJO  | 9502</t>
  </si>
  <si>
    <t>CUY  | 9501</t>
  </si>
  <si>
    <t>LECHERO 12% FERTISA  | 6409-FER</t>
  </si>
  <si>
    <t>POLLO ENGORDE SIERRA  | 3220</t>
  </si>
  <si>
    <t>POLLO INICIAL SIERRA  | 3120</t>
  </si>
  <si>
    <t>PONEDORA POSTURA 2  | 2448</t>
  </si>
  <si>
    <t>RATON  | 9500</t>
  </si>
  <si>
    <t>SUPER CABALLO  | 7400</t>
  </si>
  <si>
    <t>SUPER U 22% SB  | 8822</t>
  </si>
  <si>
    <t>SUPER U 27% SB  | 8827</t>
  </si>
  <si>
    <t>SUPER U 30% SB  | 8830</t>
  </si>
  <si>
    <t>SUPER U 35%  | 8035</t>
  </si>
  <si>
    <t>SUPER U 35% PREMIUM  | 8635</t>
  </si>
  <si>
    <t>SUPER U 35% SB  | 8835</t>
  </si>
  <si>
    <t>SUPER U 40%  | 8040</t>
  </si>
  <si>
    <t>TILAPIA ENGORDE  | 8622</t>
  </si>
  <si>
    <t>TILAPIA ENGORDE  | 8628</t>
  </si>
  <si>
    <t>ACEITE DE PESCADO  |40.1</t>
  </si>
  <si>
    <t>FLUIDAROM 1085 | 920</t>
  </si>
  <si>
    <t>INGREDIENTE FINO 35%  |1041</t>
  </si>
  <si>
    <t>PAYLEAN  |527</t>
  </si>
  <si>
    <t>FOSFATO MONOCALCICO | 720</t>
  </si>
  <si>
    <t>PAYLEAN | 527</t>
  </si>
  <si>
    <t>PASTA DE SOYA 47% DE PROTEINA</t>
  </si>
  <si>
    <t>TRIGO IMPORTADO  |17</t>
  </si>
  <si>
    <t>INGREDIENTE LARVAS  |1040</t>
  </si>
  <si>
    <t>Cód.</t>
  </si>
  <si>
    <t>INGREDIENTE LARVAS | 1040</t>
  </si>
  <si>
    <t>REMILL POLLO  |800</t>
  </si>
  <si>
    <t>REMILL CAMARON  |801</t>
  </si>
  <si>
    <t>PASTA DE SOYA</t>
  </si>
  <si>
    <t>POLVILLO DE ARROZ</t>
  </si>
  <si>
    <t>MAIZ NACIONAL</t>
  </si>
  <si>
    <t>Trigo Duro Usa WRS m/n Sheila Gisis  Silo # 5</t>
  </si>
  <si>
    <t>ARROCILLO</t>
  </si>
  <si>
    <t>ACEITE DE PALMA</t>
  </si>
  <si>
    <t>H.PESC.INDUSTRIAL 66%</t>
  </si>
  <si>
    <t>HARINA DE CERDO</t>
  </si>
  <si>
    <t>CALIZA</t>
  </si>
  <si>
    <t>PALMISTE</t>
  </si>
  <si>
    <t>LECITINA</t>
  </si>
  <si>
    <t>CONCENTRADO PARA BALANCEADO-ZHIPPING 973 FOR SHRIM</t>
  </si>
  <si>
    <t>MELAZA</t>
  </si>
  <si>
    <t>SAL INDUSTRIAL</t>
  </si>
  <si>
    <t>ACEITE DE PESCADO</t>
  </si>
  <si>
    <t>HARINA DE TRIGO</t>
  </si>
  <si>
    <t>FOSFATO MONOCALCICO (POLVO)</t>
  </si>
  <si>
    <t>METHIONINA</t>
  </si>
  <si>
    <t>INGREDIENTE FINO 35%</t>
  </si>
  <si>
    <t>TREONINA</t>
  </si>
  <si>
    <t>CLORURO DE LISINA</t>
  </si>
  <si>
    <t>MIX BIND PREVIMI DRY</t>
  </si>
  <si>
    <t>DAIRYLAC 80%</t>
  </si>
  <si>
    <t>AFRECHO DE MALTA</t>
  </si>
  <si>
    <t>NÚCLEO CAMARONES MOCHASA</t>
  </si>
  <si>
    <t>MICOFUNG</t>
  </si>
  <si>
    <t>PLASMA</t>
  </si>
  <si>
    <t>PREMIX PEAK PERFORMER</t>
  </si>
  <si>
    <t>BACTINI NIL AQUA de Biobac</t>
  </si>
  <si>
    <t xml:space="preserve"> MYCOFIX SELECT</t>
  </si>
  <si>
    <t>AQUASAVOR</t>
  </si>
  <si>
    <t>KRILL</t>
  </si>
  <si>
    <t>MYCOFUNG ACUICOLA</t>
  </si>
  <si>
    <t>VALINA</t>
  </si>
  <si>
    <t>PREMEZCLA MINERAL COMPLEMIN SHRIMP</t>
  </si>
  <si>
    <t>VITAMINAS C 35%</t>
  </si>
  <si>
    <t>SULFATO DE COBRE</t>
  </si>
  <si>
    <t>INGASO LOTUS</t>
  </si>
  <si>
    <t>INGASO ZAFIRO</t>
  </si>
  <si>
    <t>INGASO P-140</t>
  </si>
  <si>
    <t>AMINOÁCIDO ARGININA</t>
  </si>
  <si>
    <t>VITAMINAS CAMARON</t>
  </si>
  <si>
    <t>HEMOGLOBINA</t>
  </si>
  <si>
    <t>CLORURO COLINA</t>
  </si>
  <si>
    <t>PROTEASA DE JEFO</t>
  </si>
  <si>
    <t>VALOSIN 425</t>
  </si>
  <si>
    <t>TRIPTOFANO</t>
  </si>
  <si>
    <t>PROTAZ PROTEINA ACIDA</t>
  </si>
  <si>
    <t>HALQUINOL  60%</t>
  </si>
  <si>
    <t>PAQ TIVATE</t>
  </si>
  <si>
    <t>GUSTOR AVES</t>
  </si>
  <si>
    <t>RELEASER PORFENC AVES</t>
  </si>
  <si>
    <t>COXISTAC</t>
  </si>
  <si>
    <t>SULFAPREX</t>
  </si>
  <si>
    <t>CLORTETRACICLINA</t>
  </si>
  <si>
    <t>PREMIX TERNERA INICIAL ÑUCA</t>
  </si>
  <si>
    <t>PACKING LIST FITASA</t>
  </si>
  <si>
    <t>TOCO BP</t>
  </si>
  <si>
    <t>OXIDO DE ZINC</t>
  </si>
  <si>
    <t>FLORAFIL HP 40 AMARILLO</t>
  </si>
  <si>
    <t>ACUAGEST</t>
  </si>
  <si>
    <t>ADOXINE SE</t>
  </si>
  <si>
    <t>NUCLEO MINERAL</t>
  </si>
  <si>
    <t>AVIAX PLUS</t>
  </si>
  <si>
    <t>AMARILLO TARTRAZINA</t>
  </si>
  <si>
    <t>NATUSTAT</t>
  </si>
  <si>
    <t>PAYLEAN</t>
  </si>
  <si>
    <t>RUMALATO</t>
  </si>
  <si>
    <t>AMOXICILINA</t>
  </si>
  <si>
    <t>FUMARATO TIAMULINA TIADEM</t>
  </si>
  <si>
    <t>FLUIDAROM 1085</t>
  </si>
  <si>
    <t>IVEGAN PREMIX (CARVAL)</t>
  </si>
  <si>
    <t>PACKING LIST FITASA AVES</t>
  </si>
  <si>
    <t>BACITRACINA DE ZINC</t>
  </si>
  <si>
    <t>OXIDO DE HIERRO</t>
  </si>
  <si>
    <t>AQUALYSOL ADISSEO</t>
  </si>
  <si>
    <t>FLORFENICOL 98%</t>
  </si>
  <si>
    <t>FLORAFIL R3 ROJO</t>
  </si>
  <si>
    <t>SANACORE</t>
  </si>
  <si>
    <t>DICLAZURIL GRANULAR</t>
  </si>
  <si>
    <t>NEOMICINA PREMIX 50 %  DISAN</t>
  </si>
  <si>
    <t>TARTRATO DE TILOSINA 99%</t>
  </si>
  <si>
    <t>PACKING LIST FITASA CERDOS</t>
  </si>
  <si>
    <t>SOLUCION GELATINA</t>
  </si>
  <si>
    <t>NUFOAQUA AMINO VIT PRO</t>
  </si>
  <si>
    <t>116.1</t>
  </si>
  <si>
    <t>SKU</t>
  </si>
  <si>
    <t>HARINA AVIAR LOCAL - PROTEINA 65%</t>
  </si>
  <si>
    <t>VITAMINAS AVES (DSM)</t>
  </si>
  <si>
    <t>VITAM LEVANT CEBA (VIMIN)</t>
  </si>
  <si>
    <t>VITAMINA CERDA CRIA DSM</t>
  </si>
  <si>
    <t>MINERAL AVES (VIMIN)</t>
  </si>
  <si>
    <t>MINERAL PREMIX - VIMIN</t>
  </si>
  <si>
    <t>MINERAL CERDO LEVANTE CEBA (VIMIN)</t>
  </si>
  <si>
    <t>MINERAL CERDA CRIA (VIMIN)</t>
  </si>
  <si>
    <t>FEBENDAZOLE  |522</t>
  </si>
  <si>
    <t>HARINA AVIAR 60% PC  |116.1</t>
  </si>
  <si>
    <t>410.1</t>
  </si>
  <si>
    <t>100.2</t>
  </si>
  <si>
    <t>INOSINATO DE SODIO  |1055</t>
  </si>
  <si>
    <t>FEBENDAZOLE  | 522</t>
  </si>
  <si>
    <t>INOSINATO DE SODIO  | 1055</t>
  </si>
  <si>
    <t xml:space="preserve">L-Isoleucina </t>
  </si>
  <si>
    <t xml:space="preserve">POLVILLO (BAJA GRASA) </t>
  </si>
  <si>
    <t>SURMAX</t>
  </si>
  <si>
    <t>AQUACHAMPION 35%</t>
  </si>
  <si>
    <t>SOYA COCINADA</t>
  </si>
  <si>
    <t>TRIGO IMPORTADO | 871</t>
  </si>
  <si>
    <t>TRIGO IMPORTADO | 17</t>
  </si>
  <si>
    <t>TRIGO IMPORTADO  |17  |TM</t>
  </si>
  <si>
    <t>ACEITE DE PESCADO  |40.1  |TM</t>
  </si>
  <si>
    <t>ARROCILLO  |27  |QQ</t>
  </si>
  <si>
    <t>BAJAÑA ROMAN FERMIN ROSENDO</t>
  </si>
  <si>
    <t>INDUSTRIAS DAJAHU S.A.S.</t>
  </si>
  <si>
    <t>PAEZ MONGE PABLO SANTIAGO</t>
  </si>
  <si>
    <t>SOYA EN GRANO  |100  |TM</t>
  </si>
  <si>
    <t>ETIQUETAS RACEWAY# 1 5KLO  |9513  |UND</t>
  </si>
  <si>
    <t>FDAS.LARVAS-RACEWAY 5 KG  |0083-ME  |UND</t>
  </si>
  <si>
    <t>NEYPLEX CIA.LTDA.</t>
  </si>
  <si>
    <t>FEBENDAZOLE  |522  |KG</t>
  </si>
  <si>
    <t>ALTVET ALTERNATIVAS-VETERINARIAS S.A.</t>
  </si>
  <si>
    <t>MINERAL CERDA CRIA  |499.12  |KG</t>
  </si>
  <si>
    <t>NEOMICINA PREMIX 50 %  DISAN  |913  |KG</t>
  </si>
  <si>
    <t>PAYLEAN  |527  |KG</t>
  </si>
  <si>
    <t>PREMIX VITAMINAS CERDO LECHON  |456.7  |KG</t>
  </si>
  <si>
    <t>LABORATORIOS CALIER DEL ECUADOR LABCALIER S.A.</t>
  </si>
  <si>
    <t>PONEDORA POSTURA  |2408  |UND</t>
  </si>
  <si>
    <t>456.7</t>
  </si>
  <si>
    <t>SURMAX  |951</t>
  </si>
  <si>
    <t>COLESTEROL  |47</t>
  </si>
  <si>
    <t>ECOBIOL PROBIOTICO EVONIK  |33</t>
  </si>
  <si>
    <t>L-ISOLEUCINA  |510</t>
  </si>
  <si>
    <t>LIV PROTEC PROTECTOR HEPATICO  |32</t>
  </si>
  <si>
    <t>Almacenar, mover</t>
  </si>
  <si>
    <t>lead_time</t>
  </si>
  <si>
    <t>lead_time_compras</t>
  </si>
  <si>
    <t>lead_time_supply</t>
  </si>
  <si>
    <t>lead_time_ac</t>
  </si>
  <si>
    <t>sku</t>
  </si>
  <si>
    <t>58.1</t>
  </si>
  <si>
    <t>ANTIOXIDANTE ABIQUIM | 1010.6</t>
  </si>
  <si>
    <t>MYCOFIX SELECT | 732</t>
  </si>
  <si>
    <t>BROILER PIGMENTO ECUADPREMEX | 903.17</t>
  </si>
  <si>
    <t>FARMAXILIN 50 % | 929.1</t>
  </si>
  <si>
    <t>MINERAL BOVINO EXPROVET | 498.4</t>
  </si>
  <si>
    <t>NUFLOR | 520</t>
  </si>
  <si>
    <t>PROMAX (HALQUINOL) PROMOTOR DE CRECIMIENTO | 549</t>
  </si>
  <si>
    <t>LEADER YELLOW 4 % | 903.18</t>
  </si>
  <si>
    <t>SEQUICARBONATO DE SODIO (DISAN) | 701.3</t>
  </si>
  <si>
    <t>costo</t>
  </si>
  <si>
    <t>mes</t>
  </si>
  <si>
    <t>anio</t>
  </si>
  <si>
    <t>inventario</t>
  </si>
  <si>
    <t>consumo_ult_sem</t>
  </si>
  <si>
    <t>Consumo_ult_mes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</si>
</sst>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  <numFmt numFmtId="165" formatCode="0.000"/>
    <numFmt numFmtId="166" formatCode="0.00000"/>
    <numFmt numFmtId="167" formatCode="_ &quot;$&quot;* #,##0.000_ ;_ &quot;$&quot;* \-#,##0.000_ ;_ &quot;$&quot;* &quot;-&quot;??_ ;_ @_ "/>
    <numFmt numFmtId="168" formatCode="_(* #,##0.00_);_(* \(#,##0.00\);_(* &quot;-&quot;??_);_(@_)"/>
    <numFmt numFmtId="169" formatCode="_ * #,##0.000_ ;_ * \-#,##0.000_ ;_ * &quot;-&quot;??_ ;_ @_ "/>
    <numFmt numFmtId="170" formatCode="#,##0.000"/>
    <numFmt numFmtId="171" formatCode="_ * #,##0.0000_ ;_ * \-#,##0.0000_ ;_ * &quot;-&quot;??_ ;_ @_ "/>
    <numFmt numFmtId="172" formatCode="_ &quot;$&quot;* #,##0.0_ ;_ &quot;$&quot;* \-#,##0.0_ ;_ &quot;$&quot;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8"/>
      <color rgb="FFC00000"/>
      <name val="Calibri"/>
      <family val="2"/>
      <scheme val="minor"/>
    </font>
    <font>
      <b/>
      <sz val="11"/>
      <name val="Calibri"/>
      <family val="2"/>
    </font>
    <font>
      <sz val="7"/>
      <name val="Courier New"/>
      <family val="3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3" tint="-0.249977111117893"/>
        <bgColor theme="4" tint="0.79998168889431442"/>
      </patternFill>
    </fill>
    <fill>
      <patternFill patternType="solid">
        <fgColor theme="6" tint="-0.499984740745262"/>
        <bgColor theme="4" tint="0.79998168889431442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theme="4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6" fillId="0" borderId="0"/>
    <xf numFmtId="168" fontId="1" fillId="0" borderId="0" applyFont="0" applyFill="0" applyBorder="0" applyAlignment="0" applyProtection="0"/>
  </cellStyleXfs>
  <cellXfs count="121">
    <xf numFmtId="0" fontId="0" fillId="0" borderId="0" xfId="0"/>
    <xf numFmtId="164" fontId="0" fillId="0" borderId="0" xfId="0" applyNumberFormat="1"/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43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9" fontId="0" fillId="0" borderId="0" xfId="2" applyFont="1" applyAlignment="1">
      <alignment horizontal="center" vertical="center"/>
    </xf>
    <xf numFmtId="43" fontId="0" fillId="0" borderId="0" xfId="1" applyFont="1"/>
    <xf numFmtId="0" fontId="5" fillId="0" borderId="0" xfId="0" applyFont="1"/>
    <xf numFmtId="0" fontId="2" fillId="0" borderId="0" xfId="0" applyFont="1" applyAlignment="1">
      <alignment vertical="center"/>
    </xf>
    <xf numFmtId="0" fontId="3" fillId="9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0" fillId="0" borderId="0" xfId="1" applyNumberFormat="1" applyFont="1" applyBorder="1"/>
    <xf numFmtId="43" fontId="0" fillId="0" borderId="0" xfId="1" applyFont="1" applyBorder="1"/>
    <xf numFmtId="164" fontId="0" fillId="0" borderId="5" xfId="0" applyNumberFormat="1" applyBorder="1"/>
    <xf numFmtId="0" fontId="0" fillId="0" borderId="4" xfId="0" applyBorder="1" applyAlignment="1">
      <alignment horizontal="center" vertical="center"/>
    </xf>
    <xf numFmtId="165" fontId="0" fillId="0" borderId="0" xfId="0" applyNumberFormat="1"/>
    <xf numFmtId="164" fontId="0" fillId="0" borderId="5" xfId="0" applyNumberFormat="1" applyBorder="1" applyAlignment="1">
      <alignment horizontal="center" vertical="center"/>
    </xf>
    <xf numFmtId="0" fontId="0" fillId="0" borderId="4" xfId="0" applyBorder="1"/>
    <xf numFmtId="2" fontId="0" fillId="0" borderId="5" xfId="0" applyNumberFormat="1" applyBorder="1"/>
    <xf numFmtId="164" fontId="0" fillId="0" borderId="5" xfId="1" applyNumberFormat="1" applyFont="1" applyBorder="1"/>
    <xf numFmtId="164" fontId="0" fillId="0" borderId="4" xfId="1" applyNumberFormat="1" applyFont="1" applyBorder="1"/>
    <xf numFmtId="0" fontId="0" fillId="0" borderId="4" xfId="0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4" fontId="0" fillId="0" borderId="0" xfId="3" applyFont="1"/>
    <xf numFmtId="0" fontId="7" fillId="0" borderId="0" xfId="0" applyFont="1"/>
    <xf numFmtId="44" fontId="0" fillId="0" borderId="0" xfId="0" applyNumberFormat="1"/>
    <xf numFmtId="44" fontId="0" fillId="0" borderId="0" xfId="3" applyFont="1" applyBorder="1"/>
    <xf numFmtId="44" fontId="2" fillId="0" borderId="0" xfId="0" applyNumberFormat="1" applyFont="1"/>
    <xf numFmtId="164" fontId="0" fillId="0" borderId="0" xfId="1" applyNumberFormat="1" applyFont="1" applyBorder="1" applyAlignment="1">
      <alignment horizontal="center"/>
    </xf>
    <xf numFmtId="166" fontId="0" fillId="0" borderId="0" xfId="0" applyNumberFormat="1"/>
    <xf numFmtId="167" fontId="0" fillId="0" borderId="4" xfId="3" applyNumberFormat="1" applyFont="1" applyBorder="1"/>
    <xf numFmtId="167" fontId="0" fillId="0" borderId="0" xfId="3" applyNumberFormat="1" applyFont="1" applyBorder="1"/>
    <xf numFmtId="167" fontId="0" fillId="0" borderId="0" xfId="1" applyNumberFormat="1" applyFont="1" applyBorder="1"/>
    <xf numFmtId="0" fontId="8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11" borderId="0" xfId="0" applyFill="1"/>
    <xf numFmtId="0" fontId="3" fillId="12" borderId="15" xfId="0" applyFont="1" applyFill="1" applyBorder="1" applyAlignment="1">
      <alignment horizontal="center" vertical="center"/>
    </xf>
    <xf numFmtId="43" fontId="0" fillId="0" borderId="4" xfId="1" applyFont="1" applyBorder="1"/>
    <xf numFmtId="43" fontId="0" fillId="0" borderId="5" xfId="1" applyFont="1" applyBorder="1"/>
    <xf numFmtId="0" fontId="6" fillId="8" borderId="9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0" fillId="11" borderId="14" xfId="0" applyFill="1" applyBorder="1"/>
    <xf numFmtId="0" fontId="0" fillId="11" borderId="1" xfId="0" applyFill="1" applyBorder="1"/>
    <xf numFmtId="1" fontId="0" fillId="0" borderId="0" xfId="0" applyNumberFormat="1"/>
    <xf numFmtId="169" fontId="0" fillId="0" borderId="0" xfId="1" applyNumberFormat="1" applyFont="1" applyBorder="1" applyAlignment="1">
      <alignment horizontal="center"/>
    </xf>
    <xf numFmtId="43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4" xfId="0" applyBorder="1"/>
    <xf numFmtId="0" fontId="0" fillId="13" borderId="0" xfId="0" applyFill="1"/>
    <xf numFmtId="0" fontId="8" fillId="2" borderId="10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0" fillId="14" borderId="0" xfId="0" applyFill="1"/>
    <xf numFmtId="0" fontId="17" fillId="15" borderId="12" xfId="0" applyFont="1" applyFill="1" applyBorder="1" applyAlignment="1">
      <alignment vertical="center" wrapText="1"/>
    </xf>
    <xf numFmtId="0" fontId="16" fillId="0" borderId="0" xfId="4"/>
    <xf numFmtId="3" fontId="16" fillId="0" borderId="0" xfId="4" applyNumberFormat="1"/>
    <xf numFmtId="0" fontId="16" fillId="0" borderId="0" xfId="4" applyAlignment="1">
      <alignment horizontal="left"/>
    </xf>
    <xf numFmtId="3" fontId="16" fillId="0" borderId="16" xfId="4" applyNumberFormat="1" applyBorder="1" applyAlignment="1">
      <alignment vertical="center"/>
    </xf>
    <xf numFmtId="0" fontId="16" fillId="0" borderId="16" xfId="4" applyBorder="1" applyAlignment="1">
      <alignment horizontal="left"/>
    </xf>
    <xf numFmtId="0" fontId="16" fillId="0" borderId="16" xfId="4" applyBorder="1" applyAlignment="1">
      <alignment vertical="top"/>
    </xf>
    <xf numFmtId="3" fontId="16" fillId="0" borderId="12" xfId="4" applyNumberFormat="1" applyBorder="1"/>
    <xf numFmtId="3" fontId="16" fillId="0" borderId="12" xfId="4" applyNumberFormat="1" applyBorder="1" applyAlignment="1">
      <alignment vertical="center"/>
    </xf>
    <xf numFmtId="0" fontId="16" fillId="0" borderId="12" xfId="4" applyBorder="1" applyAlignment="1">
      <alignment horizontal="left"/>
    </xf>
    <xf numFmtId="3" fontId="16" fillId="0" borderId="11" xfId="4" applyNumberFormat="1" applyBorder="1"/>
    <xf numFmtId="3" fontId="16" fillId="0" borderId="11" xfId="4" applyNumberFormat="1" applyBorder="1" applyAlignment="1">
      <alignment vertical="center"/>
    </xf>
    <xf numFmtId="0" fontId="16" fillId="0" borderId="11" xfId="4" applyBorder="1" applyAlignment="1">
      <alignment horizontal="left"/>
    </xf>
    <xf numFmtId="0" fontId="16" fillId="0" borderId="11" xfId="4" applyBorder="1" applyAlignment="1">
      <alignment horizontal="left" vertical="top"/>
    </xf>
    <xf numFmtId="0" fontId="16" fillId="0" borderId="11" xfId="4" applyBorder="1" applyAlignment="1">
      <alignment vertical="top"/>
    </xf>
    <xf numFmtId="170" fontId="16" fillId="0" borderId="11" xfId="4" applyNumberFormat="1" applyBorder="1"/>
    <xf numFmtId="0" fontId="16" fillId="0" borderId="5" xfId="4" applyBorder="1"/>
    <xf numFmtId="4" fontId="16" fillId="0" borderId="11" xfId="4" applyNumberFormat="1" applyBorder="1"/>
    <xf numFmtId="0" fontId="16" fillId="0" borderId="11" xfId="4" applyBorder="1"/>
    <xf numFmtId="0" fontId="16" fillId="0" borderId="0" xfId="4" applyAlignment="1">
      <alignment horizontal="justify" vertical="top" wrapText="1"/>
    </xf>
    <xf numFmtId="3" fontId="4" fillId="16" borderId="11" xfId="4" applyNumberFormat="1" applyFont="1" applyFill="1" applyBorder="1" applyAlignment="1">
      <alignment horizontal="center" vertical="center" wrapText="1"/>
    </xf>
    <xf numFmtId="0" fontId="4" fillId="16" borderId="11" xfId="4" applyFont="1" applyFill="1" applyBorder="1" applyAlignment="1">
      <alignment horizontal="center" vertical="center" wrapText="1"/>
    </xf>
    <xf numFmtId="0" fontId="16" fillId="0" borderId="5" xfId="4" applyBorder="1" applyAlignment="1">
      <alignment horizontal="left"/>
    </xf>
    <xf numFmtId="43" fontId="12" fillId="0" borderId="0" xfId="0" applyNumberFormat="1" applyFont="1"/>
    <xf numFmtId="13" fontId="0" fillId="0" borderId="0" xfId="1" applyNumberFormat="1" applyFont="1"/>
    <xf numFmtId="17" fontId="11" fillId="11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/>
    <xf numFmtId="169" fontId="0" fillId="0" borderId="0" xfId="0" applyNumberFormat="1" applyAlignment="1">
      <alignment horizontal="center" vertical="center"/>
    </xf>
    <xf numFmtId="43" fontId="7" fillId="0" borderId="0" xfId="1" applyFont="1"/>
    <xf numFmtId="171" fontId="0" fillId="0" borderId="0" xfId="1" applyNumberFormat="1" applyFont="1"/>
    <xf numFmtId="43" fontId="0" fillId="13" borderId="0" xfId="1" applyFont="1" applyFill="1"/>
    <xf numFmtId="172" fontId="0" fillId="0" borderId="0" xfId="3" applyNumberFormat="1" applyFont="1" applyBorder="1"/>
    <xf numFmtId="17" fontId="2" fillId="11" borderId="1" xfId="0" applyNumberFormat="1" applyFont="1" applyFill="1" applyBorder="1" applyAlignment="1">
      <alignment horizontal="left"/>
    </xf>
    <xf numFmtId="171" fontId="12" fillId="0" borderId="0" xfId="0" applyNumberFormat="1" applyFont="1"/>
    <xf numFmtId="4" fontId="0" fillId="0" borderId="0" xfId="0" applyNumberFormat="1"/>
    <xf numFmtId="0" fontId="16" fillId="0" borderId="12" xfId="4" applyBorder="1" applyAlignment="1">
      <alignment vertical="top"/>
    </xf>
    <xf numFmtId="0" fontId="0" fillId="0" borderId="11" xfId="0" applyBorder="1"/>
    <xf numFmtId="0" fontId="16" fillId="0" borderId="0" xfId="4" applyAlignment="1">
      <alignment vertical="top"/>
    </xf>
    <xf numFmtId="0" fontId="16" fillId="0" borderId="5" xfId="4" applyBorder="1" applyAlignment="1">
      <alignment horizontal="left" vertical="top"/>
    </xf>
    <xf numFmtId="170" fontId="16" fillId="0" borderId="16" xfId="4" applyNumberFormat="1" applyBorder="1"/>
    <xf numFmtId="0" fontId="9" fillId="0" borderId="0" xfId="0" applyFont="1" applyAlignment="1">
      <alignment horizontal="center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wrapText="1"/>
    </xf>
    <xf numFmtId="0" fontId="3" fillId="10" borderId="0" xfId="0" applyFont="1" applyFill="1" applyAlignment="1">
      <alignment horizontal="center"/>
    </xf>
    <xf numFmtId="0" fontId="3" fillId="10" borderId="13" xfId="0" applyFont="1" applyFill="1" applyBorder="1" applyAlignment="1">
      <alignment horizontal="center"/>
    </xf>
  </cellXfs>
  <cellStyles count="6">
    <cellStyle name="Millares" xfId="1" builtinId="3"/>
    <cellStyle name="Millares 2 2" xfId="5" xr:uid="{DF1034F2-D0BB-4441-A66F-8B4FC9019B19}"/>
    <cellStyle name="Moneda" xfId="3" builtinId="4"/>
    <cellStyle name="Normal" xfId="0" builtinId="0"/>
    <cellStyle name="Normal 2" xfId="4" xr:uid="{422F23C2-51AF-4EDA-B948-C088512A8891}"/>
    <cellStyle name="Porcentaje" xfId="2" builtinId="5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Courier New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7"/>
        <color auto="1"/>
        <name val="Courier New"/>
        <family val="3"/>
        <scheme val="none"/>
      </font>
      <numFmt numFmtId="0" formatCode="General"/>
    </dxf>
    <dxf>
      <numFmt numFmtId="0" formatCode="General"/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4" formatCode="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ybelline Frere" id="{D28B7640-3490-492A-9169-109D97E72D39}" userId="S::mfrere@MOCHASA.COM.EC::7aacf427-d576-429a-a473-8b11a6f41aa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3447F8-5A23-426B-B071-17407E15D012}" name="Tabla2" displayName="Tabla2" ref="A1:R223" totalsRowShown="0" dataDxfId="55" tableBorderDxfId="54">
  <autoFilter ref="A1:R223" xr:uid="{EE3447F8-5A23-426B-B071-17407E15D012}"/>
  <sortState xmlns:xlrd2="http://schemas.microsoft.com/office/spreadsheetml/2017/richdata2" ref="A2:R109">
    <sortCondition ref="B1:B211"/>
  </sortState>
  <tableColumns count="18">
    <tableColumn id="1" xr3:uid="{D24B7A5B-8463-4EB8-92D1-C23F6996BBE4}" name="Categoria" dataDxfId="53"/>
    <tableColumn id="2" xr3:uid="{D514750E-0280-44AD-AC0A-057160A88672}" name="Item-Codigo" dataDxfId="52"/>
    <tableColumn id="3" xr3:uid="{16A52A97-DB4B-4E72-B997-8E8B6E20990C}" name="inventario" dataDxfId="51"/>
    <tableColumn id="4" xr3:uid="{57EB8A5F-80A2-40C8-9556-5ABD21EBF909}" name="Externo" dataDxfId="50"/>
    <tableColumn id="5" xr3:uid="{FE2D1D38-BBAB-44C8-8753-E35090877807}" name="Planta" dataDxfId="49"/>
    <tableColumn id="6" xr3:uid="{40324373-621B-4EB6-A619-FBEAD1A9E346}" name="Cuarentena" dataDxfId="48"/>
    <tableColumn id="7" xr3:uid="{1E2AA67B-0A4A-4C1D-9B47-1579770B3F87}" name="OCs" dataDxfId="47"/>
    <tableColumn id="8" xr3:uid="{E63F51E8-8D42-4B50-83B3-498A57FBAEA4}" name="consumo_ult_sem" dataDxfId="46"/>
    <tableColumn id="9" xr3:uid="{51D3775F-80F3-4D8F-A976-07FF26F5A4C9}" name="Consumo Ult. 3 sems" dataDxfId="45"/>
    <tableColumn id="10" xr3:uid="{9FC1E8A6-4F7D-410D-8F30-DEFA8AD30B57}" name="Disp# Sem" dataDxfId="44"/>
    <tableColumn id="11" xr3:uid="{11C6964C-1D7B-4A4C-B79E-4AB48CE8DD2E}" name="Consumo_ult_mes" dataDxfId="43"/>
    <tableColumn id="12" xr3:uid="{75C7C548-DC4A-4965-931F-F6C69CB8897B}" name="ConsUlt 2Mes" dataDxfId="42"/>
    <tableColumn id="13" xr3:uid="{F0593344-ECA0-4C53-B297-28B3DDE7CA7A}" name="ConsUlt 3Mes" dataDxfId="41"/>
    <tableColumn id="14" xr3:uid="{17F9B365-2CEC-420B-BF5E-C338EA269202}" name="PROMMeses" dataDxfId="40"/>
    <tableColumn id="15" xr3:uid="{A1AC24AD-2D98-4D7C-AAD2-93D9193690A0}" name="CobertMES" dataDxfId="39"/>
    <tableColumn id="16" xr3:uid="{62EE2ACD-8568-4C4F-A1CD-349C3C1817F4}" name="COD" dataDxfId="38">
      <calculatedColumnFormula>+RIGHT(Tabla2[[#This Row],[Item-Codigo]], LEN(Tabla2[[#This Row],[Item-Codigo]]) - FIND(" |", Tabla2[[#This Row],[Item-Codigo]]) - 1)</calculatedColumnFormula>
    </tableColumn>
    <tableColumn id="18" xr3:uid="{ED43B402-B1AC-4953-96A0-1267C0012900}" name="Columna1" dataDxfId="37"/>
    <tableColumn id="17" xr3:uid="{A06DF64C-AC51-4720-8FC1-9B6DBDC69C09}" name="sku" dataDxfId="3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EEBDE0-7E7A-4A5E-8BDD-1E9C354F6397}" name="Table156" displayName="Table156" ref="A1:K2088">
  <autoFilter ref="A1:K2088" xr:uid="{00000000-0009-0000-0100-000001000000}"/>
  <sortState xmlns:xlrd2="http://schemas.microsoft.com/office/spreadsheetml/2017/richdata2" ref="A2:K1752">
    <sortCondition ref="F1:F1752"/>
  </sortState>
  <tableColumns count="11">
    <tableColumn id="1" xr3:uid="{E4C4A467-1F00-48E8-8983-9703B5D0223E}" name="CATEGORIA'[CategoriaDescripcion]"/>
    <tableColumn id="2" xr3:uid="{2E3C9611-8D61-43B1-A576-BA34355C4DB2}" name="Item-Codigo"/>
    <tableColumn id="3" xr3:uid="{C5F225E2-1027-4191-8506-238B0BE70865}" name="ProveedorName"/>
    <tableColumn id="4" xr3:uid="{D680B5EE-F186-42E5-A232-C7E933EB8BB1}" name="Promedio de PRICEUNIT_FT"/>
    <tableColumn id="5" xr3:uid="{50F4B9C2-8295-4D15-A229-D9B3A14D2D02}" name="mes"/>
    <tableColumn id="6" xr3:uid="{39647765-C8A3-46B3-8D5A-C5A4B707590E}" name="anio"/>
    <tableColumn id="10" xr3:uid="{B3C8A39E-26FD-4F75-BAEE-DF2270A9C928}" name="Presentación " dataDxfId="35">
      <calculatedColumnFormula>TRIM(RIGHT(Table156[[#This Row],[Item-Codigo]], LEN(Table156[[#This Row],[Item-Codigo]]) - FIND("|", CONCATENATE(B2), FIND("|", CONCATENATE(B2)) + 1)))</calculatedColumnFormula>
    </tableColumn>
    <tableColumn id="7" xr3:uid="{D3202E95-73E5-4E30-8D7B-C56BD547B22D}" name="Cód" dataDxfId="34">
      <calculatedColumnFormula>TRIM(MID(Table156[[#This Row],[Item-Codigo]], FIND("|", Table156[[#This Row],[Item-Codigo]]) + 1, FIND("|", Table156[[#This Row],[Item-Codigo]], FIND("|", Table156[[#This Row],[Item-Codigo]]) + 1) - FIND("|", Table156[[#This Row],[Item-Codigo]]) - 2))</calculatedColumnFormula>
    </tableColumn>
    <tableColumn id="9" xr3:uid="{5C0BD920-AA55-405D-81EA-25D54FADB96B}" name="Columna1" dataDxfId="33"/>
    <tableColumn id="11" xr3:uid="{B67697FB-A9EB-4FCF-89AE-FCD2B0F73A26}" name="costo" dataDxfId="32">
      <calculatedColumnFormula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calculatedColumnFormula>
    </tableColumn>
    <tableColumn id="8" xr3:uid="{52ECADD9-2C90-4890-919A-5B9818593108}" name="sku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4" dT="2024-04-30T14:50:30.06" personId="{D28B7640-3490-492A-9169-109D97E72D39}" id="{9C54E384-D284-4814-A8EE-7F035F24B61D}">
    <text xml:space="preserve">Stock en tránsito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60DA-C4A8-4B31-AABA-AC56C8D3B3E0}">
  <sheetPr codeName="Hoja20"/>
  <dimension ref="A1:M119"/>
  <sheetViews>
    <sheetView zoomScale="60" zoomScaleNormal="100" workbookViewId="0">
      <pane xSplit="5" ySplit="1" topLeftCell="F2" activePane="bottomRight" state="frozen"/>
      <selection pane="topRight" activeCell="D1" sqref="D1"/>
      <selection pane="bottomLeft" activeCell="A2" sqref="A2"/>
      <selection pane="bottomRight" activeCell="M102" sqref="A1:M102"/>
    </sheetView>
  </sheetViews>
  <sheetFormatPr baseColWidth="10" defaultColWidth="11.453125" defaultRowHeight="14.5" x14ac:dyDescent="0.35"/>
  <cols>
    <col min="1" max="2" width="11.453125" style="75"/>
    <col min="3" max="3" width="44.26953125" style="77" customWidth="1"/>
    <col min="4" max="4" width="59.81640625" style="77" bestFit="1" customWidth="1"/>
    <col min="5" max="5" width="12.1796875" style="77" customWidth="1"/>
    <col min="6" max="6" width="12.7265625" style="76" bestFit="1" customWidth="1"/>
    <col min="7" max="7" width="11.453125" style="76"/>
    <col min="8" max="10" width="19.54296875" style="76" customWidth="1"/>
    <col min="11" max="11" width="22.54296875" style="76" bestFit="1" customWidth="1"/>
    <col min="12" max="12" width="11.453125" style="75"/>
    <col min="13" max="13" width="9.453125" style="75" bestFit="1" customWidth="1"/>
    <col min="14" max="16384" width="11.453125" style="75"/>
  </cols>
  <sheetData>
    <row r="1" spans="1:13" s="93" customFormat="1" ht="101.5" x14ac:dyDescent="0.35">
      <c r="A1" s="74" t="s">
        <v>992</v>
      </c>
      <c r="B1" s="95" t="s">
        <v>991</v>
      </c>
      <c r="C1" s="95" t="s">
        <v>193</v>
      </c>
      <c r="D1" s="95" t="s">
        <v>1224</v>
      </c>
      <c r="E1" s="95" t="s">
        <v>990</v>
      </c>
      <c r="F1" s="94" t="s">
        <v>1044</v>
      </c>
      <c r="G1" s="94" t="s">
        <v>1043</v>
      </c>
      <c r="H1" s="94" t="s">
        <v>1042</v>
      </c>
      <c r="I1" s="94" t="s">
        <v>989</v>
      </c>
      <c r="J1" s="94" t="s">
        <v>1221</v>
      </c>
      <c r="K1" s="94" t="s">
        <v>1222</v>
      </c>
      <c r="L1" s="94" t="s">
        <v>1223</v>
      </c>
      <c r="M1" s="94" t="s">
        <v>1220</v>
      </c>
    </row>
    <row r="2" spans="1:13" x14ac:dyDescent="0.35">
      <c r="A2" t="str">
        <f t="shared" ref="A2:A29" si="0">+RIGHT(C2, LEN(C2) - FIND("|", C2))</f>
        <v>42</v>
      </c>
      <c r="B2" s="88">
        <v>42</v>
      </c>
      <c r="C2" s="86" t="s">
        <v>666</v>
      </c>
      <c r="D2" s="86" t="s">
        <v>94</v>
      </c>
      <c r="E2" s="86" t="s">
        <v>982</v>
      </c>
      <c r="F2" s="84">
        <v>30</v>
      </c>
      <c r="G2" s="84">
        <v>30</v>
      </c>
      <c r="H2" s="85">
        <v>20</v>
      </c>
      <c r="I2" s="85">
        <v>3</v>
      </c>
      <c r="J2" s="85">
        <f t="shared" ref="J2:J33" si="1">+I2+H2</f>
        <v>23</v>
      </c>
      <c r="K2" s="84">
        <v>2</v>
      </c>
      <c r="L2" s="75">
        <v>4</v>
      </c>
      <c r="M2" s="76">
        <f>+SUM(J2:L2)</f>
        <v>29</v>
      </c>
    </row>
    <row r="3" spans="1:13" x14ac:dyDescent="0.35">
      <c r="A3" t="str">
        <f t="shared" si="0"/>
        <v>40</v>
      </c>
      <c r="B3" s="88">
        <v>40</v>
      </c>
      <c r="C3" s="86" t="s">
        <v>667</v>
      </c>
      <c r="D3" s="86" t="s">
        <v>95</v>
      </c>
      <c r="E3" s="86" t="s">
        <v>982</v>
      </c>
      <c r="F3" s="84">
        <v>1</v>
      </c>
      <c r="G3" s="84">
        <v>14</v>
      </c>
      <c r="H3" s="84">
        <v>20</v>
      </c>
      <c r="I3" s="85">
        <v>3</v>
      </c>
      <c r="J3" s="85">
        <f t="shared" si="1"/>
        <v>23</v>
      </c>
      <c r="K3" s="84">
        <v>2</v>
      </c>
      <c r="L3" s="75">
        <v>4</v>
      </c>
      <c r="M3" s="76">
        <f t="shared" ref="M3:M66" si="2">+SUM(J3:L3)</f>
        <v>29</v>
      </c>
    </row>
    <row r="4" spans="1:13" x14ac:dyDescent="0.35">
      <c r="A4" t="str">
        <f t="shared" si="0"/>
        <v>1039</v>
      </c>
      <c r="B4" s="88">
        <v>1039</v>
      </c>
      <c r="C4" s="86" t="s">
        <v>587</v>
      </c>
      <c r="D4" s="86" t="s">
        <v>67</v>
      </c>
      <c r="E4" s="86" t="s">
        <v>982</v>
      </c>
      <c r="F4" s="89">
        <f>25/1000</f>
        <v>2.5000000000000001E-2</v>
      </c>
      <c r="G4" s="89">
        <f>25/1000</f>
        <v>2.5000000000000001E-2</v>
      </c>
      <c r="H4" s="85">
        <v>15</v>
      </c>
      <c r="I4" s="85">
        <v>2</v>
      </c>
      <c r="J4" s="85">
        <f t="shared" si="1"/>
        <v>17</v>
      </c>
      <c r="K4" s="84">
        <v>2</v>
      </c>
      <c r="L4" s="75">
        <v>4</v>
      </c>
      <c r="M4" s="76">
        <f t="shared" si="2"/>
        <v>23</v>
      </c>
    </row>
    <row r="5" spans="1:13" x14ac:dyDescent="0.35">
      <c r="A5" t="str">
        <f t="shared" si="0"/>
        <v>1010</v>
      </c>
      <c r="B5" s="88">
        <v>1010</v>
      </c>
      <c r="C5" s="86" t="s">
        <v>588</v>
      </c>
      <c r="D5" s="86" t="s">
        <v>68</v>
      </c>
      <c r="E5" s="86" t="s">
        <v>982</v>
      </c>
      <c r="F5" s="89">
        <f>25/1000</f>
        <v>2.5000000000000001E-2</v>
      </c>
      <c r="G5" s="89">
        <f>25/1000</f>
        <v>2.5000000000000001E-2</v>
      </c>
      <c r="H5" s="85">
        <v>15</v>
      </c>
      <c r="I5" s="85">
        <v>2</v>
      </c>
      <c r="J5" s="85">
        <f t="shared" si="1"/>
        <v>17</v>
      </c>
      <c r="K5" s="84">
        <v>2</v>
      </c>
      <c r="L5" s="75">
        <v>4</v>
      </c>
      <c r="M5" s="76">
        <f t="shared" si="2"/>
        <v>23</v>
      </c>
    </row>
    <row r="6" spans="1:13" x14ac:dyDescent="0.35">
      <c r="A6" t="str">
        <f t="shared" si="0"/>
        <v>301</v>
      </c>
      <c r="B6" s="88">
        <v>301</v>
      </c>
      <c r="C6" s="86" t="s">
        <v>668</v>
      </c>
      <c r="D6" s="86" t="s">
        <v>96</v>
      </c>
      <c r="E6" s="86" t="s">
        <v>982</v>
      </c>
      <c r="F6" s="89">
        <f>35/1000</f>
        <v>3.5000000000000003E-2</v>
      </c>
      <c r="G6" s="84">
        <v>11</v>
      </c>
      <c r="H6" s="84">
        <v>20</v>
      </c>
      <c r="I6" s="85">
        <v>5</v>
      </c>
      <c r="J6" s="85">
        <f t="shared" si="1"/>
        <v>25</v>
      </c>
      <c r="K6" s="84">
        <v>2</v>
      </c>
      <c r="L6" s="75">
        <v>4</v>
      </c>
      <c r="M6" s="76">
        <f t="shared" si="2"/>
        <v>31</v>
      </c>
    </row>
    <row r="7" spans="1:13" x14ac:dyDescent="0.35">
      <c r="A7" t="str">
        <f t="shared" si="0"/>
        <v>200</v>
      </c>
      <c r="B7" s="88">
        <v>200</v>
      </c>
      <c r="C7" s="86" t="s">
        <v>669</v>
      </c>
      <c r="D7" s="86" t="s">
        <v>97</v>
      </c>
      <c r="E7" s="86" t="s">
        <v>982</v>
      </c>
      <c r="F7" s="89">
        <f>30/1000</f>
        <v>0.03</v>
      </c>
      <c r="G7" s="84">
        <v>21</v>
      </c>
      <c r="H7" s="84">
        <v>20</v>
      </c>
      <c r="I7" s="85">
        <v>5</v>
      </c>
      <c r="J7" s="85">
        <f t="shared" si="1"/>
        <v>25</v>
      </c>
      <c r="K7" s="84">
        <v>2</v>
      </c>
      <c r="L7" s="75">
        <v>4</v>
      </c>
      <c r="M7" s="76">
        <f t="shared" si="2"/>
        <v>31</v>
      </c>
    </row>
    <row r="8" spans="1:13" x14ac:dyDescent="0.35">
      <c r="A8" t="str">
        <f t="shared" si="0"/>
        <v>317</v>
      </c>
      <c r="B8" s="88">
        <v>317</v>
      </c>
      <c r="C8" s="86" t="s">
        <v>589</v>
      </c>
      <c r="D8" s="86" t="s">
        <v>69</v>
      </c>
      <c r="E8" s="86" t="s">
        <v>982</v>
      </c>
      <c r="F8" s="89">
        <f>25/1000</f>
        <v>2.5000000000000001E-2</v>
      </c>
      <c r="G8" s="89">
        <f>25/1000</f>
        <v>2.5000000000000001E-2</v>
      </c>
      <c r="H8" s="85">
        <v>15</v>
      </c>
      <c r="I8" s="85">
        <v>2</v>
      </c>
      <c r="J8" s="85">
        <f t="shared" si="1"/>
        <v>17</v>
      </c>
      <c r="K8" s="84">
        <v>2</v>
      </c>
      <c r="L8" s="75">
        <v>4</v>
      </c>
      <c r="M8" s="76">
        <f t="shared" si="2"/>
        <v>23</v>
      </c>
    </row>
    <row r="9" spans="1:13" x14ac:dyDescent="0.35">
      <c r="A9" t="str">
        <f t="shared" si="0"/>
        <v>901</v>
      </c>
      <c r="B9" s="88">
        <v>901</v>
      </c>
      <c r="C9" s="92" t="s">
        <v>590</v>
      </c>
      <c r="D9" s="86" t="s">
        <v>70</v>
      </c>
      <c r="E9" s="86" t="s">
        <v>982</v>
      </c>
      <c r="F9" s="89"/>
      <c r="G9" s="89">
        <f>25/1000</f>
        <v>2.5000000000000001E-2</v>
      </c>
      <c r="H9" s="85">
        <v>15</v>
      </c>
      <c r="I9" s="85">
        <v>2</v>
      </c>
      <c r="J9" s="85">
        <f t="shared" si="1"/>
        <v>17</v>
      </c>
      <c r="K9" s="84">
        <v>2</v>
      </c>
      <c r="L9" s="75">
        <v>4</v>
      </c>
      <c r="M9" s="76">
        <f t="shared" si="2"/>
        <v>23</v>
      </c>
    </row>
    <row r="10" spans="1:13" x14ac:dyDescent="0.35">
      <c r="A10" t="str">
        <f t="shared" si="0"/>
        <v>929</v>
      </c>
      <c r="B10" s="88">
        <v>929</v>
      </c>
      <c r="C10" s="86" t="s">
        <v>591</v>
      </c>
      <c r="D10" s="86" t="s">
        <v>71</v>
      </c>
      <c r="E10" s="86" t="s">
        <v>982</v>
      </c>
      <c r="F10" s="89">
        <f>25/1000</f>
        <v>2.5000000000000001E-2</v>
      </c>
      <c r="G10" s="89">
        <f>25/1000</f>
        <v>2.5000000000000001E-2</v>
      </c>
      <c r="H10" s="85">
        <v>15</v>
      </c>
      <c r="I10" s="85">
        <v>2</v>
      </c>
      <c r="J10" s="85">
        <f t="shared" si="1"/>
        <v>17</v>
      </c>
      <c r="K10" s="84">
        <v>2</v>
      </c>
      <c r="L10" s="75">
        <v>4</v>
      </c>
      <c r="M10" s="76">
        <f t="shared" si="2"/>
        <v>23</v>
      </c>
    </row>
    <row r="11" spans="1:13" x14ac:dyDescent="0.35">
      <c r="A11" t="str">
        <f t="shared" si="0"/>
        <v>900</v>
      </c>
      <c r="B11" s="88">
        <v>900</v>
      </c>
      <c r="C11" s="86" t="s">
        <v>592</v>
      </c>
      <c r="D11" s="86" t="s">
        <v>72</v>
      </c>
      <c r="E11" s="86" t="s">
        <v>982</v>
      </c>
      <c r="F11" s="89">
        <f>20/1000</f>
        <v>0.02</v>
      </c>
      <c r="G11" s="89">
        <f>200/1000</f>
        <v>0.2</v>
      </c>
      <c r="H11" s="85">
        <v>15</v>
      </c>
      <c r="I11" s="85">
        <v>2</v>
      </c>
      <c r="J11" s="85">
        <f t="shared" si="1"/>
        <v>17</v>
      </c>
      <c r="K11" s="84">
        <v>2</v>
      </c>
      <c r="L11" s="75">
        <v>4</v>
      </c>
      <c r="M11" s="76">
        <f t="shared" si="2"/>
        <v>23</v>
      </c>
    </row>
    <row r="12" spans="1:13" x14ac:dyDescent="0.35">
      <c r="A12" t="str">
        <f t="shared" si="0"/>
        <v>1009</v>
      </c>
      <c r="B12" s="88">
        <v>1009</v>
      </c>
      <c r="C12" s="86" t="s">
        <v>593</v>
      </c>
      <c r="D12" s="86" t="s">
        <v>73</v>
      </c>
      <c r="E12" s="86" t="s">
        <v>982</v>
      </c>
      <c r="F12" s="89">
        <f t="shared" ref="F12:G14" si="3">25/1000</f>
        <v>2.5000000000000001E-2</v>
      </c>
      <c r="G12" s="89">
        <f t="shared" si="3"/>
        <v>2.5000000000000001E-2</v>
      </c>
      <c r="H12" s="85">
        <v>15</v>
      </c>
      <c r="I12" s="85">
        <v>2</v>
      </c>
      <c r="J12" s="85">
        <f t="shared" si="1"/>
        <v>17</v>
      </c>
      <c r="K12" s="84">
        <v>2</v>
      </c>
      <c r="L12" s="75">
        <v>4</v>
      </c>
      <c r="M12" s="76">
        <f t="shared" si="2"/>
        <v>23</v>
      </c>
    </row>
    <row r="13" spans="1:13" x14ac:dyDescent="0.35">
      <c r="A13" t="str">
        <f t="shared" si="0"/>
        <v>381</v>
      </c>
      <c r="B13" s="88">
        <v>381</v>
      </c>
      <c r="C13" s="86" t="s">
        <v>961</v>
      </c>
      <c r="D13" s="86" t="s">
        <v>74</v>
      </c>
      <c r="E13" s="86" t="s">
        <v>982</v>
      </c>
      <c r="F13" s="89">
        <f t="shared" si="3"/>
        <v>2.5000000000000001E-2</v>
      </c>
      <c r="G13" s="89">
        <f t="shared" si="3"/>
        <v>2.5000000000000001E-2</v>
      </c>
      <c r="H13" s="85">
        <v>15</v>
      </c>
      <c r="I13" s="85">
        <v>2</v>
      </c>
      <c r="J13" s="85">
        <f t="shared" si="1"/>
        <v>17</v>
      </c>
      <c r="K13" s="84">
        <v>2</v>
      </c>
      <c r="L13" s="75">
        <v>4</v>
      </c>
      <c r="M13" s="76">
        <f t="shared" si="2"/>
        <v>23</v>
      </c>
    </row>
    <row r="14" spans="1:13" x14ac:dyDescent="0.35">
      <c r="A14" t="str">
        <f t="shared" si="0"/>
        <v>1070</v>
      </c>
      <c r="B14" s="88">
        <v>1070</v>
      </c>
      <c r="C14" s="86" t="s">
        <v>595</v>
      </c>
      <c r="D14" s="86" t="s">
        <v>75</v>
      </c>
      <c r="E14" s="86" t="s">
        <v>982</v>
      </c>
      <c r="F14" s="89">
        <f t="shared" si="3"/>
        <v>2.5000000000000001E-2</v>
      </c>
      <c r="G14" s="89">
        <f t="shared" si="3"/>
        <v>2.5000000000000001E-2</v>
      </c>
      <c r="H14" s="85">
        <v>15</v>
      </c>
      <c r="I14" s="85">
        <v>2</v>
      </c>
      <c r="J14" s="85">
        <f t="shared" si="1"/>
        <v>17</v>
      </c>
      <c r="K14" s="84">
        <v>2</v>
      </c>
      <c r="L14" s="75">
        <v>4</v>
      </c>
      <c r="M14" s="76">
        <f t="shared" si="2"/>
        <v>23</v>
      </c>
    </row>
    <row r="15" spans="1:13" x14ac:dyDescent="0.35">
      <c r="A15" t="str">
        <f t="shared" si="0"/>
        <v>1045</v>
      </c>
      <c r="B15" s="88">
        <v>1045</v>
      </c>
      <c r="C15" s="86" t="s">
        <v>596</v>
      </c>
      <c r="D15" s="86" t="s">
        <v>76</v>
      </c>
      <c r="E15" s="86" t="s">
        <v>982</v>
      </c>
      <c r="F15" s="89">
        <f>20/1000</f>
        <v>0.02</v>
      </c>
      <c r="G15" s="89">
        <f>20/1000</f>
        <v>0.02</v>
      </c>
      <c r="H15" s="85">
        <v>15</v>
      </c>
      <c r="I15" s="85">
        <v>2</v>
      </c>
      <c r="J15" s="85">
        <f t="shared" si="1"/>
        <v>17</v>
      </c>
      <c r="K15" s="84">
        <v>2</v>
      </c>
      <c r="L15" s="75">
        <v>4</v>
      </c>
      <c r="M15" s="76">
        <f t="shared" si="2"/>
        <v>23</v>
      </c>
    </row>
    <row r="16" spans="1:13" x14ac:dyDescent="0.35">
      <c r="A16" t="str">
        <f t="shared" si="0"/>
        <v>701</v>
      </c>
      <c r="B16" s="88">
        <v>701</v>
      </c>
      <c r="C16" s="86" t="s">
        <v>670</v>
      </c>
      <c r="D16" s="86" t="s">
        <v>98</v>
      </c>
      <c r="E16" s="86" t="s">
        <v>982</v>
      </c>
      <c r="F16" s="89">
        <f>50/1000</f>
        <v>0.05</v>
      </c>
      <c r="G16" s="84">
        <f>+F16*300</f>
        <v>15</v>
      </c>
      <c r="H16" s="84">
        <v>20</v>
      </c>
      <c r="I16" s="85">
        <v>3</v>
      </c>
      <c r="J16" s="85">
        <f t="shared" si="1"/>
        <v>23</v>
      </c>
      <c r="K16" s="84">
        <v>2</v>
      </c>
      <c r="L16" s="75">
        <v>4</v>
      </c>
      <c r="M16" s="76">
        <f t="shared" si="2"/>
        <v>29</v>
      </c>
    </row>
    <row r="17" spans="1:13" x14ac:dyDescent="0.35">
      <c r="A17" t="str">
        <f t="shared" si="0"/>
        <v>470.5</v>
      </c>
      <c r="B17" s="88" t="s">
        <v>536</v>
      </c>
      <c r="C17" s="86" t="s">
        <v>597</v>
      </c>
      <c r="D17" s="86" t="s">
        <v>77</v>
      </c>
      <c r="E17" s="86" t="s">
        <v>982</v>
      </c>
      <c r="F17" s="89">
        <f>25/1000</f>
        <v>2.5000000000000001E-2</v>
      </c>
      <c r="G17" s="89">
        <f>25/1000</f>
        <v>2.5000000000000001E-2</v>
      </c>
      <c r="H17" s="85">
        <v>15</v>
      </c>
      <c r="I17" s="85">
        <v>2</v>
      </c>
      <c r="J17" s="85">
        <f t="shared" si="1"/>
        <v>17</v>
      </c>
      <c r="K17" s="84">
        <v>2</v>
      </c>
      <c r="L17" s="75">
        <v>4</v>
      </c>
      <c r="M17" s="76">
        <f t="shared" si="2"/>
        <v>23</v>
      </c>
    </row>
    <row r="18" spans="1:13" x14ac:dyDescent="0.35">
      <c r="A18" t="str">
        <f t="shared" si="0"/>
        <v>459</v>
      </c>
      <c r="B18" s="88">
        <v>459</v>
      </c>
      <c r="C18" s="92" t="s">
        <v>957</v>
      </c>
      <c r="D18" s="86" t="s">
        <v>981</v>
      </c>
      <c r="E18" s="86" t="s">
        <v>982</v>
      </c>
      <c r="F18" s="89"/>
      <c r="G18" s="89">
        <f>25/1000</f>
        <v>2.5000000000000001E-2</v>
      </c>
      <c r="H18" s="85">
        <v>15</v>
      </c>
      <c r="I18" s="85">
        <v>2</v>
      </c>
      <c r="J18" s="85">
        <f t="shared" si="1"/>
        <v>17</v>
      </c>
      <c r="K18" s="84">
        <v>2</v>
      </c>
      <c r="L18" s="75">
        <v>4</v>
      </c>
      <c r="M18" s="76">
        <f t="shared" si="2"/>
        <v>23</v>
      </c>
    </row>
    <row r="19" spans="1:13" x14ac:dyDescent="0.35">
      <c r="A19" t="str">
        <f t="shared" si="0"/>
        <v>495</v>
      </c>
      <c r="B19" s="88">
        <v>495</v>
      </c>
      <c r="C19" s="86" t="s">
        <v>598</v>
      </c>
      <c r="D19" s="86" t="s">
        <v>78</v>
      </c>
      <c r="E19" s="86" t="s">
        <v>982</v>
      </c>
      <c r="F19" s="89">
        <f>25/1000</f>
        <v>2.5000000000000001E-2</v>
      </c>
      <c r="G19" s="89">
        <f>25/1000</f>
        <v>2.5000000000000001E-2</v>
      </c>
      <c r="H19" s="85">
        <v>15</v>
      </c>
      <c r="I19" s="85">
        <v>2</v>
      </c>
      <c r="J19" s="85">
        <f t="shared" si="1"/>
        <v>17</v>
      </c>
      <c r="K19" s="84">
        <v>2</v>
      </c>
      <c r="L19" s="75">
        <v>4</v>
      </c>
      <c r="M19" s="76">
        <f t="shared" si="2"/>
        <v>23</v>
      </c>
    </row>
    <row r="20" spans="1:13" x14ac:dyDescent="0.35">
      <c r="A20" t="str">
        <f t="shared" si="0"/>
        <v>743</v>
      </c>
      <c r="B20" s="88">
        <v>743</v>
      </c>
      <c r="C20" s="86" t="s">
        <v>599</v>
      </c>
      <c r="D20" s="86" t="s">
        <v>79</v>
      </c>
      <c r="E20" s="86" t="s">
        <v>982</v>
      </c>
      <c r="F20" s="89">
        <f>25/1000</f>
        <v>2.5000000000000001E-2</v>
      </c>
      <c r="G20" s="89">
        <f>25/1000</f>
        <v>2.5000000000000001E-2</v>
      </c>
      <c r="H20" s="85">
        <v>15</v>
      </c>
      <c r="I20" s="85">
        <v>2</v>
      </c>
      <c r="J20" s="85">
        <f t="shared" si="1"/>
        <v>17</v>
      </c>
      <c r="K20" s="84">
        <v>2</v>
      </c>
      <c r="L20" s="75">
        <v>4</v>
      </c>
      <c r="M20" s="76">
        <f t="shared" si="2"/>
        <v>23</v>
      </c>
    </row>
    <row r="21" spans="1:13" x14ac:dyDescent="0.35">
      <c r="A21" t="str">
        <f t="shared" si="0"/>
        <v>744</v>
      </c>
      <c r="B21" s="88">
        <v>744</v>
      </c>
      <c r="C21" s="86" t="s">
        <v>600</v>
      </c>
      <c r="D21" s="86" t="s">
        <v>80</v>
      </c>
      <c r="E21" s="86" t="s">
        <v>982</v>
      </c>
      <c r="F21" s="89">
        <f>50/1000</f>
        <v>0.05</v>
      </c>
      <c r="G21" s="89">
        <f>50/1000</f>
        <v>0.05</v>
      </c>
      <c r="H21" s="85">
        <v>15</v>
      </c>
      <c r="I21" s="85">
        <v>2</v>
      </c>
      <c r="J21" s="85">
        <f t="shared" si="1"/>
        <v>17</v>
      </c>
      <c r="K21" s="84">
        <v>2</v>
      </c>
      <c r="L21" s="75">
        <v>4</v>
      </c>
      <c r="M21" s="76">
        <f t="shared" si="2"/>
        <v>23</v>
      </c>
    </row>
    <row r="22" spans="1:13" x14ac:dyDescent="0.35">
      <c r="A22" t="str">
        <f t="shared" si="0"/>
        <v>1073</v>
      </c>
      <c r="B22" s="88">
        <v>1073</v>
      </c>
      <c r="C22" s="86" t="s">
        <v>601</v>
      </c>
      <c r="D22" s="86" t="s">
        <v>81</v>
      </c>
      <c r="E22" s="86" t="s">
        <v>982</v>
      </c>
      <c r="F22" s="89">
        <v>1</v>
      </c>
      <c r="G22" s="89">
        <v>22</v>
      </c>
      <c r="H22" s="84">
        <v>90</v>
      </c>
      <c r="I22" s="85">
        <v>2</v>
      </c>
      <c r="J22" s="85">
        <f t="shared" si="1"/>
        <v>92</v>
      </c>
      <c r="K22" s="84">
        <v>2</v>
      </c>
      <c r="L22" s="75">
        <v>4</v>
      </c>
      <c r="M22" s="76">
        <f t="shared" si="2"/>
        <v>98</v>
      </c>
    </row>
    <row r="23" spans="1:13" x14ac:dyDescent="0.35">
      <c r="A23" t="str">
        <f t="shared" si="0"/>
        <v>475</v>
      </c>
      <c r="B23" s="88">
        <v>475</v>
      </c>
      <c r="C23" s="92" t="s">
        <v>602</v>
      </c>
      <c r="D23" s="86" t="s">
        <v>82</v>
      </c>
      <c r="E23" s="86" t="s">
        <v>982</v>
      </c>
      <c r="F23" s="89">
        <f>25/1000</f>
        <v>2.5000000000000001E-2</v>
      </c>
      <c r="G23" s="89">
        <f>25/1000</f>
        <v>2.5000000000000001E-2</v>
      </c>
      <c r="H23" s="85">
        <v>15</v>
      </c>
      <c r="I23" s="85">
        <v>2</v>
      </c>
      <c r="J23" s="85">
        <f t="shared" si="1"/>
        <v>17</v>
      </c>
      <c r="K23" s="84">
        <v>2</v>
      </c>
      <c r="L23" s="75">
        <v>4</v>
      </c>
      <c r="M23" s="76">
        <f t="shared" si="2"/>
        <v>23</v>
      </c>
    </row>
    <row r="24" spans="1:13" x14ac:dyDescent="0.35">
      <c r="A24" t="str">
        <f t="shared" si="0"/>
        <v>131.3</v>
      </c>
      <c r="B24" s="88" t="s">
        <v>523</v>
      </c>
      <c r="C24" s="86" t="s">
        <v>603</v>
      </c>
      <c r="D24" s="86" t="s">
        <v>83</v>
      </c>
      <c r="E24" s="86" t="s">
        <v>982</v>
      </c>
      <c r="F24" s="89">
        <f>25/1000</f>
        <v>2.5000000000000001E-2</v>
      </c>
      <c r="G24" s="89">
        <f>25/1000</f>
        <v>2.5000000000000001E-2</v>
      </c>
      <c r="H24" s="85">
        <v>15</v>
      </c>
      <c r="I24" s="85">
        <v>2</v>
      </c>
      <c r="J24" s="85">
        <f t="shared" si="1"/>
        <v>17</v>
      </c>
      <c r="K24" s="84">
        <v>2</v>
      </c>
      <c r="L24" s="75">
        <v>4</v>
      </c>
      <c r="M24" s="76">
        <f t="shared" si="2"/>
        <v>23</v>
      </c>
    </row>
    <row r="25" spans="1:13" x14ac:dyDescent="0.35">
      <c r="A25" t="str">
        <f t="shared" si="0"/>
        <v>223</v>
      </c>
      <c r="B25" s="88">
        <v>223</v>
      </c>
      <c r="C25" s="87" t="s">
        <v>663</v>
      </c>
      <c r="D25" s="86" t="s">
        <v>93</v>
      </c>
      <c r="E25" s="86" t="s">
        <v>984</v>
      </c>
      <c r="F25" s="84">
        <v>100</v>
      </c>
      <c r="G25" s="84">
        <v>500</v>
      </c>
      <c r="H25" s="85">
        <v>90</v>
      </c>
      <c r="I25" s="85">
        <v>5</v>
      </c>
      <c r="J25" s="85">
        <f t="shared" si="1"/>
        <v>95</v>
      </c>
      <c r="K25" s="84">
        <v>2</v>
      </c>
      <c r="L25" s="75">
        <v>4</v>
      </c>
      <c r="M25" s="76">
        <f t="shared" si="2"/>
        <v>101</v>
      </c>
    </row>
    <row r="26" spans="1:13" x14ac:dyDescent="0.35">
      <c r="A26" t="str">
        <f t="shared" si="0"/>
        <v>340.1</v>
      </c>
      <c r="B26" s="88" t="s">
        <v>529</v>
      </c>
      <c r="C26" s="86" t="s">
        <v>604</v>
      </c>
      <c r="D26" s="86" t="s">
        <v>84</v>
      </c>
      <c r="E26" s="86" t="s">
        <v>982</v>
      </c>
      <c r="F26" s="89">
        <f>25/1000</f>
        <v>2.5000000000000001E-2</v>
      </c>
      <c r="G26" s="89">
        <f>25/1000</f>
        <v>2.5000000000000001E-2</v>
      </c>
      <c r="H26" s="85">
        <v>15</v>
      </c>
      <c r="I26" s="85">
        <v>2</v>
      </c>
      <c r="J26" s="85">
        <f t="shared" si="1"/>
        <v>17</v>
      </c>
      <c r="K26" s="84">
        <v>2</v>
      </c>
      <c r="L26" s="75">
        <v>4</v>
      </c>
      <c r="M26" s="76">
        <f t="shared" si="2"/>
        <v>23</v>
      </c>
    </row>
    <row r="27" spans="1:13" x14ac:dyDescent="0.35">
      <c r="A27" t="str">
        <f t="shared" si="0"/>
        <v>936</v>
      </c>
      <c r="B27" s="88">
        <v>936</v>
      </c>
      <c r="C27" s="86" t="s">
        <v>605</v>
      </c>
      <c r="D27" s="86" t="s">
        <v>85</v>
      </c>
      <c r="E27" s="86" t="s">
        <v>982</v>
      </c>
      <c r="F27" s="89">
        <f>20/1000</f>
        <v>0.02</v>
      </c>
      <c r="G27" s="89">
        <f>20/1000</f>
        <v>0.02</v>
      </c>
      <c r="H27" s="85">
        <v>15</v>
      </c>
      <c r="I27" s="85">
        <v>2</v>
      </c>
      <c r="J27" s="85">
        <f t="shared" si="1"/>
        <v>17</v>
      </c>
      <c r="K27" s="84">
        <v>2</v>
      </c>
      <c r="L27" s="75">
        <v>4</v>
      </c>
      <c r="M27" s="76">
        <f t="shared" si="2"/>
        <v>23</v>
      </c>
    </row>
    <row r="28" spans="1:13" x14ac:dyDescent="0.35">
      <c r="A28" t="str">
        <f t="shared" si="0"/>
        <v>937</v>
      </c>
      <c r="B28" s="88">
        <v>937</v>
      </c>
      <c r="C28" s="86" t="s">
        <v>606</v>
      </c>
      <c r="D28" s="86" t="s">
        <v>86</v>
      </c>
      <c r="E28" s="86" t="s">
        <v>982</v>
      </c>
      <c r="F28" s="89">
        <f>20/1000</f>
        <v>0.02</v>
      </c>
      <c r="G28" s="89">
        <f>20/1000</f>
        <v>0.02</v>
      </c>
      <c r="H28" s="85">
        <v>15</v>
      </c>
      <c r="I28" s="85">
        <v>2</v>
      </c>
      <c r="J28" s="85">
        <f t="shared" si="1"/>
        <v>17</v>
      </c>
      <c r="K28" s="84">
        <v>2</v>
      </c>
      <c r="L28" s="75">
        <v>4</v>
      </c>
      <c r="M28" s="76">
        <f t="shared" si="2"/>
        <v>23</v>
      </c>
    </row>
    <row r="29" spans="1:13" x14ac:dyDescent="0.35">
      <c r="A29" t="str">
        <f t="shared" si="0"/>
        <v>520.5</v>
      </c>
      <c r="B29" s="88" t="s">
        <v>546</v>
      </c>
      <c r="C29" s="86" t="s">
        <v>607</v>
      </c>
      <c r="D29" s="86" t="s">
        <v>87</v>
      </c>
      <c r="E29" s="86" t="s">
        <v>982</v>
      </c>
      <c r="F29" s="89">
        <f>25/1000</f>
        <v>2.5000000000000001E-2</v>
      </c>
      <c r="G29" s="89">
        <f>25/1000</f>
        <v>2.5000000000000001E-2</v>
      </c>
      <c r="H29" s="85">
        <v>15</v>
      </c>
      <c r="I29" s="85">
        <v>2</v>
      </c>
      <c r="J29" s="85">
        <f t="shared" si="1"/>
        <v>17</v>
      </c>
      <c r="K29" s="84">
        <v>2</v>
      </c>
      <c r="L29" s="75">
        <v>4</v>
      </c>
      <c r="M29" s="76">
        <f t="shared" si="2"/>
        <v>23</v>
      </c>
    </row>
    <row r="30" spans="1:13" x14ac:dyDescent="0.35">
      <c r="A30">
        <v>920</v>
      </c>
      <c r="B30" s="110">
        <v>920</v>
      </c>
      <c r="C30" s="86" t="s">
        <v>1041</v>
      </c>
      <c r="D30" s="86" t="s">
        <v>1074</v>
      </c>
      <c r="E30" s="86" t="s">
        <v>982</v>
      </c>
      <c r="F30" s="89">
        <f>25/1000</f>
        <v>2.5000000000000001E-2</v>
      </c>
      <c r="G30" s="89">
        <f>25/1000</f>
        <v>2.5000000000000001E-2</v>
      </c>
      <c r="H30" s="85">
        <v>15</v>
      </c>
      <c r="I30" s="85">
        <v>2</v>
      </c>
      <c r="J30" s="85">
        <f t="shared" si="1"/>
        <v>17</v>
      </c>
      <c r="K30" s="84">
        <v>2</v>
      </c>
      <c r="L30" s="75">
        <v>4</v>
      </c>
      <c r="M30" s="76">
        <f t="shared" si="2"/>
        <v>23</v>
      </c>
    </row>
    <row r="31" spans="1:13" x14ac:dyDescent="0.35">
      <c r="A31" t="str">
        <f t="shared" ref="A31:A62" si="4">+RIGHT(C31, LEN(C31) - FIND("|", C31))</f>
        <v>719</v>
      </c>
      <c r="B31" s="88">
        <v>719</v>
      </c>
      <c r="C31" s="87" t="s">
        <v>608</v>
      </c>
      <c r="D31" s="86" t="s">
        <v>1077</v>
      </c>
      <c r="E31" s="86" t="s">
        <v>984</v>
      </c>
      <c r="F31" s="84">
        <v>1</v>
      </c>
      <c r="G31" s="84">
        <v>18</v>
      </c>
      <c r="H31" s="85">
        <v>90</v>
      </c>
      <c r="I31" s="85">
        <v>5</v>
      </c>
      <c r="J31" s="85">
        <f t="shared" si="1"/>
        <v>95</v>
      </c>
      <c r="K31" s="84">
        <v>2</v>
      </c>
      <c r="L31" s="75">
        <v>4</v>
      </c>
      <c r="M31" s="76">
        <f t="shared" si="2"/>
        <v>101</v>
      </c>
    </row>
    <row r="32" spans="1:13" x14ac:dyDescent="0.35">
      <c r="A32" t="str">
        <f t="shared" si="4"/>
        <v>912.5</v>
      </c>
      <c r="B32" s="88" t="s">
        <v>555</v>
      </c>
      <c r="C32" s="86" t="s">
        <v>609</v>
      </c>
      <c r="D32" s="86" t="s">
        <v>90</v>
      </c>
      <c r="E32" s="86" t="s">
        <v>982</v>
      </c>
      <c r="F32" s="89">
        <f>10/1000</f>
        <v>0.01</v>
      </c>
      <c r="G32" s="89">
        <f>10/1000</f>
        <v>0.01</v>
      </c>
      <c r="H32" s="85">
        <v>15</v>
      </c>
      <c r="I32" s="85">
        <v>2</v>
      </c>
      <c r="J32" s="85">
        <f t="shared" si="1"/>
        <v>17</v>
      </c>
      <c r="K32" s="84">
        <v>2</v>
      </c>
      <c r="L32" s="75">
        <v>4</v>
      </c>
      <c r="M32" s="76">
        <f t="shared" si="2"/>
        <v>23</v>
      </c>
    </row>
    <row r="33" spans="1:13" x14ac:dyDescent="0.35">
      <c r="A33" t="str">
        <f t="shared" si="4"/>
        <v>492.12</v>
      </c>
      <c r="B33" s="88" t="s">
        <v>539</v>
      </c>
      <c r="C33" s="86" t="s">
        <v>610</v>
      </c>
      <c r="D33" s="86" t="s">
        <v>91</v>
      </c>
      <c r="E33" s="86" t="s">
        <v>982</v>
      </c>
      <c r="F33" s="89">
        <f>25/1000</f>
        <v>2.5000000000000001E-2</v>
      </c>
      <c r="G33" s="89">
        <f>25/1000</f>
        <v>2.5000000000000001E-2</v>
      </c>
      <c r="H33" s="85">
        <v>15</v>
      </c>
      <c r="I33" s="85">
        <v>2</v>
      </c>
      <c r="J33" s="85">
        <f t="shared" si="1"/>
        <v>17</v>
      </c>
      <c r="K33" s="84">
        <v>2</v>
      </c>
      <c r="L33" s="75">
        <v>4</v>
      </c>
      <c r="M33" s="76">
        <f t="shared" si="2"/>
        <v>23</v>
      </c>
    </row>
    <row r="34" spans="1:13" x14ac:dyDescent="0.35">
      <c r="A34" t="str">
        <f t="shared" si="4"/>
        <v>156.4</v>
      </c>
      <c r="B34" s="88" t="s">
        <v>524</v>
      </c>
      <c r="C34" s="86" t="s">
        <v>671</v>
      </c>
      <c r="D34" s="86" t="s">
        <v>977</v>
      </c>
      <c r="E34" s="86" t="s">
        <v>982</v>
      </c>
      <c r="F34" s="89">
        <f>50/1000</f>
        <v>0.05</v>
      </c>
      <c r="G34" s="84">
        <f>+F34*400</f>
        <v>20</v>
      </c>
      <c r="H34" s="84">
        <v>20</v>
      </c>
      <c r="I34" s="85">
        <v>5</v>
      </c>
      <c r="J34" s="85">
        <f t="shared" ref="J34:J65" si="5">+I34+H34</f>
        <v>25</v>
      </c>
      <c r="K34" s="84">
        <v>2</v>
      </c>
      <c r="L34" s="75">
        <v>4</v>
      </c>
      <c r="M34" s="76">
        <f t="shared" si="2"/>
        <v>31</v>
      </c>
    </row>
    <row r="35" spans="1:13" x14ac:dyDescent="0.35">
      <c r="A35" t="str">
        <f t="shared" si="4"/>
        <v>550</v>
      </c>
      <c r="B35" s="88">
        <v>550</v>
      </c>
      <c r="C35" s="86" t="s">
        <v>611</v>
      </c>
      <c r="D35" s="86" t="s">
        <v>92</v>
      </c>
      <c r="E35" s="86" t="s">
        <v>982</v>
      </c>
      <c r="F35" s="89">
        <f>25/1000</f>
        <v>2.5000000000000001E-2</v>
      </c>
      <c r="G35" s="89">
        <f>25/1000</f>
        <v>2.5000000000000001E-2</v>
      </c>
      <c r="H35" s="85">
        <v>15</v>
      </c>
      <c r="I35" s="85">
        <v>2</v>
      </c>
      <c r="J35" s="85">
        <f t="shared" si="5"/>
        <v>17</v>
      </c>
      <c r="K35" s="84">
        <v>2</v>
      </c>
      <c r="L35" s="75">
        <v>4</v>
      </c>
      <c r="M35" s="76">
        <f t="shared" si="2"/>
        <v>23</v>
      </c>
    </row>
    <row r="36" spans="1:13" x14ac:dyDescent="0.35">
      <c r="A36" t="str">
        <f t="shared" si="4"/>
        <v>116</v>
      </c>
      <c r="B36" s="88">
        <v>116</v>
      </c>
      <c r="C36" s="86" t="s">
        <v>983</v>
      </c>
      <c r="D36" s="86" t="s">
        <v>99</v>
      </c>
      <c r="E36" s="86" t="s">
        <v>982</v>
      </c>
      <c r="F36" s="84">
        <v>1</v>
      </c>
      <c r="G36" s="84">
        <v>23</v>
      </c>
      <c r="H36" s="84">
        <v>60</v>
      </c>
      <c r="I36" s="85">
        <v>5</v>
      </c>
      <c r="J36" s="85">
        <f t="shared" si="5"/>
        <v>65</v>
      </c>
      <c r="K36" s="84">
        <v>2</v>
      </c>
      <c r="L36" s="75">
        <v>4</v>
      </c>
      <c r="M36" s="76">
        <f t="shared" si="2"/>
        <v>71</v>
      </c>
    </row>
    <row r="37" spans="1:13" x14ac:dyDescent="0.35">
      <c r="A37" t="str">
        <f t="shared" si="4"/>
        <v>160</v>
      </c>
      <c r="B37" s="88">
        <v>160</v>
      </c>
      <c r="C37" s="86" t="s">
        <v>612</v>
      </c>
      <c r="D37" s="86" t="s">
        <v>175</v>
      </c>
      <c r="E37" s="86" t="s">
        <v>982</v>
      </c>
      <c r="F37" s="89">
        <f>20/1000</f>
        <v>0.02</v>
      </c>
      <c r="G37" s="89">
        <f>20/1000</f>
        <v>0.02</v>
      </c>
      <c r="H37" s="85">
        <v>15</v>
      </c>
      <c r="I37" s="85">
        <v>2</v>
      </c>
      <c r="J37" s="85">
        <f t="shared" si="5"/>
        <v>17</v>
      </c>
      <c r="K37" s="84">
        <v>2</v>
      </c>
      <c r="L37" s="75">
        <v>4</v>
      </c>
      <c r="M37" s="76">
        <f t="shared" si="2"/>
        <v>23</v>
      </c>
    </row>
    <row r="38" spans="1:13" x14ac:dyDescent="0.35">
      <c r="A38" t="str">
        <f t="shared" si="4"/>
        <v>111</v>
      </c>
      <c r="B38" s="88">
        <v>111</v>
      </c>
      <c r="C38" s="87" t="s">
        <v>672</v>
      </c>
      <c r="D38" s="86" t="s">
        <v>184</v>
      </c>
      <c r="E38" s="86" t="s">
        <v>984</v>
      </c>
      <c r="F38" s="84">
        <v>1</v>
      </c>
      <c r="G38" s="84">
        <v>120</v>
      </c>
      <c r="H38" s="85">
        <v>90</v>
      </c>
      <c r="I38" s="85">
        <v>5</v>
      </c>
      <c r="J38" s="85">
        <f t="shared" si="5"/>
        <v>95</v>
      </c>
      <c r="K38" s="84">
        <v>2</v>
      </c>
      <c r="L38" s="75">
        <v>4</v>
      </c>
      <c r="M38" s="76">
        <f t="shared" si="2"/>
        <v>101</v>
      </c>
    </row>
    <row r="39" spans="1:13" x14ac:dyDescent="0.35">
      <c r="A39" t="str">
        <f t="shared" si="4"/>
        <v>159.9</v>
      </c>
      <c r="B39" s="88" t="s">
        <v>525</v>
      </c>
      <c r="C39" s="86" t="s">
        <v>985</v>
      </c>
      <c r="D39" s="86" t="s">
        <v>191</v>
      </c>
      <c r="E39" s="86" t="s">
        <v>982</v>
      </c>
      <c r="F39" s="89">
        <f>50/1000</f>
        <v>0.05</v>
      </c>
      <c r="G39" s="84">
        <v>20</v>
      </c>
      <c r="H39" s="84">
        <v>90</v>
      </c>
      <c r="I39" s="85">
        <v>5</v>
      </c>
      <c r="J39" s="85">
        <f t="shared" si="5"/>
        <v>95</v>
      </c>
      <c r="K39" s="84">
        <v>2</v>
      </c>
      <c r="L39" s="75">
        <v>4</v>
      </c>
      <c r="M39" s="76">
        <f t="shared" si="2"/>
        <v>101</v>
      </c>
    </row>
    <row r="40" spans="1:13" x14ac:dyDescent="0.35">
      <c r="A40" t="str">
        <f t="shared" si="4"/>
        <v>211</v>
      </c>
      <c r="B40" s="88">
        <v>211</v>
      </c>
      <c r="C40" s="86" t="s">
        <v>673</v>
      </c>
      <c r="D40" s="86" t="s">
        <v>188</v>
      </c>
      <c r="E40" s="86" t="s">
        <v>982</v>
      </c>
      <c r="F40" s="89">
        <f>50/1000</f>
        <v>0.05</v>
      </c>
      <c r="G40" s="84">
        <v>4000</v>
      </c>
      <c r="H40" s="84">
        <v>20</v>
      </c>
      <c r="I40" s="85">
        <v>5</v>
      </c>
      <c r="J40" s="85">
        <f t="shared" si="5"/>
        <v>25</v>
      </c>
      <c r="K40" s="84">
        <v>2</v>
      </c>
      <c r="L40" s="75">
        <v>4</v>
      </c>
      <c r="M40" s="76">
        <f t="shared" si="2"/>
        <v>31</v>
      </c>
    </row>
    <row r="41" spans="1:13" x14ac:dyDescent="0.35">
      <c r="A41" t="str">
        <f t="shared" si="4"/>
        <v>173</v>
      </c>
      <c r="B41" s="88">
        <v>173</v>
      </c>
      <c r="C41" s="86" t="s">
        <v>613</v>
      </c>
      <c r="D41" s="86" t="s">
        <v>138</v>
      </c>
      <c r="E41" s="86" t="s">
        <v>982</v>
      </c>
      <c r="F41" s="89">
        <f>25/1000</f>
        <v>2.5000000000000001E-2</v>
      </c>
      <c r="G41" s="89">
        <f>25/1000</f>
        <v>2.5000000000000001E-2</v>
      </c>
      <c r="H41" s="85">
        <v>15</v>
      </c>
      <c r="I41" s="85">
        <v>2</v>
      </c>
      <c r="J41" s="85">
        <f t="shared" si="5"/>
        <v>17</v>
      </c>
      <c r="K41" s="84">
        <v>2</v>
      </c>
      <c r="L41" s="75">
        <v>4</v>
      </c>
      <c r="M41" s="76">
        <f t="shared" si="2"/>
        <v>23</v>
      </c>
    </row>
    <row r="42" spans="1:13" x14ac:dyDescent="0.35">
      <c r="A42" t="str">
        <f t="shared" si="4"/>
        <v>742</v>
      </c>
      <c r="B42" s="88">
        <v>742</v>
      </c>
      <c r="C42" s="86" t="s">
        <v>614</v>
      </c>
      <c r="D42" s="86" t="s">
        <v>147</v>
      </c>
      <c r="E42" s="86" t="s">
        <v>982</v>
      </c>
      <c r="F42" s="89">
        <f>30/1000</f>
        <v>0.03</v>
      </c>
      <c r="G42" s="89">
        <f>30/1000</f>
        <v>0.03</v>
      </c>
      <c r="H42" s="85">
        <v>15</v>
      </c>
      <c r="I42" s="85">
        <v>2</v>
      </c>
      <c r="J42" s="85">
        <f t="shared" si="5"/>
        <v>17</v>
      </c>
      <c r="K42" s="84">
        <v>2</v>
      </c>
      <c r="L42" s="75">
        <v>4</v>
      </c>
      <c r="M42" s="76">
        <f t="shared" si="2"/>
        <v>23</v>
      </c>
    </row>
    <row r="43" spans="1:13" x14ac:dyDescent="0.35">
      <c r="A43" t="str">
        <f t="shared" si="4"/>
        <v>741</v>
      </c>
      <c r="B43" s="88">
        <v>741</v>
      </c>
      <c r="C43" s="86" t="s">
        <v>615</v>
      </c>
      <c r="D43" s="86" t="s">
        <v>146</v>
      </c>
      <c r="E43" s="86" t="s">
        <v>982</v>
      </c>
      <c r="F43" s="89">
        <f>20/1000</f>
        <v>0.02</v>
      </c>
      <c r="G43" s="89">
        <f>20/1000</f>
        <v>0.02</v>
      </c>
      <c r="H43" s="85">
        <v>15</v>
      </c>
      <c r="I43" s="85">
        <v>2</v>
      </c>
      <c r="J43" s="85">
        <f t="shared" si="5"/>
        <v>17</v>
      </c>
      <c r="K43" s="84">
        <v>2</v>
      </c>
      <c r="L43" s="75">
        <v>4</v>
      </c>
      <c r="M43" s="76">
        <f t="shared" si="2"/>
        <v>23</v>
      </c>
    </row>
    <row r="44" spans="1:13" x14ac:dyDescent="0.35">
      <c r="A44" t="str">
        <f t="shared" si="4"/>
        <v>740</v>
      </c>
      <c r="B44" s="88">
        <v>740</v>
      </c>
      <c r="C44" s="86" t="s">
        <v>616</v>
      </c>
      <c r="D44" s="86" t="s">
        <v>143</v>
      </c>
      <c r="E44" s="86" t="s">
        <v>982</v>
      </c>
      <c r="F44" s="89">
        <f>20/1000</f>
        <v>0.02</v>
      </c>
      <c r="G44" s="89">
        <f>20/1000</f>
        <v>0.02</v>
      </c>
      <c r="H44" s="85">
        <v>15</v>
      </c>
      <c r="I44" s="85">
        <v>2</v>
      </c>
      <c r="J44" s="85">
        <f t="shared" si="5"/>
        <v>17</v>
      </c>
      <c r="K44" s="84">
        <v>2</v>
      </c>
      <c r="L44" s="75">
        <v>4</v>
      </c>
      <c r="M44" s="76">
        <f t="shared" si="2"/>
        <v>23</v>
      </c>
    </row>
    <row r="45" spans="1:13" x14ac:dyDescent="0.35">
      <c r="A45" t="str">
        <f t="shared" si="4"/>
        <v>1016</v>
      </c>
      <c r="B45" s="88">
        <v>1016</v>
      </c>
      <c r="C45" s="86" t="s">
        <v>617</v>
      </c>
      <c r="D45" s="86" t="s">
        <v>177</v>
      </c>
      <c r="E45" s="86" t="s">
        <v>982</v>
      </c>
      <c r="F45" s="89">
        <f>25/1000</f>
        <v>2.5000000000000001E-2</v>
      </c>
      <c r="G45" s="89">
        <f>25/1000</f>
        <v>2.5000000000000001E-2</v>
      </c>
      <c r="H45" s="85">
        <v>15</v>
      </c>
      <c r="I45" s="85">
        <v>2</v>
      </c>
      <c r="J45" s="85">
        <f t="shared" si="5"/>
        <v>17</v>
      </c>
      <c r="K45" s="84">
        <v>2</v>
      </c>
      <c r="L45" s="75">
        <v>4</v>
      </c>
      <c r="M45" s="76">
        <f t="shared" si="2"/>
        <v>23</v>
      </c>
    </row>
    <row r="46" spans="1:13" x14ac:dyDescent="0.35">
      <c r="A46" t="str">
        <f t="shared" si="4"/>
        <v>167.16</v>
      </c>
      <c r="B46" s="88" t="s">
        <v>526</v>
      </c>
      <c r="C46" s="87" t="s">
        <v>584</v>
      </c>
      <c r="D46" s="86" t="s">
        <v>458</v>
      </c>
      <c r="E46" s="86" t="s">
        <v>984</v>
      </c>
      <c r="F46" s="91">
        <v>0.5</v>
      </c>
      <c r="G46" s="84">
        <v>22</v>
      </c>
      <c r="H46" s="85">
        <v>90</v>
      </c>
      <c r="I46" s="85">
        <v>5</v>
      </c>
      <c r="J46" s="85">
        <f t="shared" si="5"/>
        <v>95</v>
      </c>
      <c r="K46" s="84">
        <v>2</v>
      </c>
      <c r="L46" s="75">
        <v>4</v>
      </c>
      <c r="M46" s="76">
        <f t="shared" si="2"/>
        <v>101</v>
      </c>
    </row>
    <row r="47" spans="1:13" x14ac:dyDescent="0.35">
      <c r="A47" t="str">
        <f t="shared" si="4"/>
        <v>45</v>
      </c>
      <c r="B47" s="88">
        <v>45</v>
      </c>
      <c r="C47" s="87" t="s">
        <v>618</v>
      </c>
      <c r="D47" s="86" t="s">
        <v>131</v>
      </c>
      <c r="E47" s="86" t="s">
        <v>984</v>
      </c>
      <c r="F47" s="84">
        <v>1</v>
      </c>
      <c r="G47" s="84">
        <v>18</v>
      </c>
      <c r="H47" s="85">
        <v>90</v>
      </c>
      <c r="I47" s="85">
        <v>5</v>
      </c>
      <c r="J47" s="85">
        <f t="shared" si="5"/>
        <v>95</v>
      </c>
      <c r="K47" s="84">
        <v>2</v>
      </c>
      <c r="L47" s="75">
        <v>4</v>
      </c>
      <c r="M47" s="76">
        <f t="shared" si="2"/>
        <v>101</v>
      </c>
    </row>
    <row r="48" spans="1:13" x14ac:dyDescent="0.35">
      <c r="A48" t="str">
        <f t="shared" si="4"/>
        <v>1</v>
      </c>
      <c r="B48" s="88">
        <v>1</v>
      </c>
      <c r="C48" s="86" t="s">
        <v>675</v>
      </c>
      <c r="D48" s="86" t="s">
        <v>182</v>
      </c>
      <c r="E48" s="86" t="s">
        <v>982</v>
      </c>
      <c r="F48" s="84">
        <v>27</v>
      </c>
      <c r="G48" s="84">
        <v>27</v>
      </c>
      <c r="H48" s="84">
        <v>20</v>
      </c>
      <c r="I48" s="85">
        <v>5</v>
      </c>
      <c r="J48" s="85">
        <f t="shared" si="5"/>
        <v>25</v>
      </c>
      <c r="K48" s="84">
        <v>2</v>
      </c>
      <c r="L48" s="75">
        <v>4</v>
      </c>
      <c r="M48" s="76">
        <f t="shared" si="2"/>
        <v>31</v>
      </c>
    </row>
    <row r="49" spans="1:13" x14ac:dyDescent="0.35">
      <c r="A49" t="str">
        <f t="shared" si="4"/>
        <v>14</v>
      </c>
      <c r="B49" s="88">
        <v>14</v>
      </c>
      <c r="C49" s="86" t="s">
        <v>676</v>
      </c>
      <c r="D49" s="86" t="s">
        <v>187</v>
      </c>
      <c r="E49" s="86" t="s">
        <v>982</v>
      </c>
      <c r="F49" s="84">
        <v>30</v>
      </c>
      <c r="G49" s="84">
        <v>30</v>
      </c>
      <c r="H49" s="84">
        <v>15</v>
      </c>
      <c r="I49" s="85">
        <v>2</v>
      </c>
      <c r="J49" s="85">
        <f t="shared" si="5"/>
        <v>17</v>
      </c>
      <c r="K49" s="84">
        <v>2</v>
      </c>
      <c r="L49" s="75">
        <v>4</v>
      </c>
      <c r="M49" s="76">
        <f t="shared" si="2"/>
        <v>23</v>
      </c>
    </row>
    <row r="50" spans="1:13" x14ac:dyDescent="0.35">
      <c r="A50" t="str">
        <f t="shared" si="4"/>
        <v>511.2</v>
      </c>
      <c r="B50" s="88" t="s">
        <v>545</v>
      </c>
      <c r="C50" s="87" t="s">
        <v>585</v>
      </c>
      <c r="D50" s="86" t="s">
        <v>130</v>
      </c>
      <c r="E50" s="86" t="s">
        <v>984</v>
      </c>
      <c r="F50" s="84">
        <v>1</v>
      </c>
      <c r="G50" s="84">
        <v>26</v>
      </c>
      <c r="H50" s="85">
        <v>90</v>
      </c>
      <c r="I50" s="85">
        <v>5</v>
      </c>
      <c r="J50" s="85">
        <f t="shared" si="5"/>
        <v>95</v>
      </c>
      <c r="K50" s="84">
        <v>2</v>
      </c>
      <c r="L50" s="75">
        <v>4</v>
      </c>
      <c r="M50" s="76">
        <f t="shared" si="2"/>
        <v>101</v>
      </c>
    </row>
    <row r="51" spans="1:13" x14ac:dyDescent="0.35">
      <c r="A51" t="str">
        <f t="shared" si="4"/>
        <v>439</v>
      </c>
      <c r="B51" s="88">
        <v>439</v>
      </c>
      <c r="C51" s="86" t="s">
        <v>619</v>
      </c>
      <c r="D51" s="86" t="s">
        <v>137</v>
      </c>
      <c r="E51" s="86" t="s">
        <v>982</v>
      </c>
      <c r="F51" s="89">
        <f>25/1000</f>
        <v>2.5000000000000001E-2</v>
      </c>
      <c r="G51" s="89">
        <f>25/1000</f>
        <v>2.5000000000000001E-2</v>
      </c>
      <c r="H51" s="85">
        <v>15</v>
      </c>
      <c r="I51" s="85">
        <v>2</v>
      </c>
      <c r="J51" s="85">
        <f t="shared" si="5"/>
        <v>17</v>
      </c>
      <c r="K51" s="84">
        <v>2</v>
      </c>
      <c r="L51" s="75">
        <v>4</v>
      </c>
      <c r="M51" s="76">
        <f t="shared" si="2"/>
        <v>23</v>
      </c>
    </row>
    <row r="52" spans="1:13" x14ac:dyDescent="0.35">
      <c r="A52" t="str">
        <f t="shared" si="4"/>
        <v>488.1</v>
      </c>
      <c r="B52" s="88" t="s">
        <v>538</v>
      </c>
      <c r="C52" s="86" t="s">
        <v>620</v>
      </c>
      <c r="D52" s="86" t="s">
        <v>149</v>
      </c>
      <c r="E52" s="86" t="s">
        <v>982</v>
      </c>
      <c r="F52" s="89">
        <f t="shared" ref="F52:G55" si="6">30/1000</f>
        <v>0.03</v>
      </c>
      <c r="G52" s="89">
        <f t="shared" si="6"/>
        <v>0.03</v>
      </c>
      <c r="H52" s="85">
        <v>15</v>
      </c>
      <c r="I52" s="85">
        <v>2</v>
      </c>
      <c r="J52" s="85">
        <f t="shared" si="5"/>
        <v>17</v>
      </c>
      <c r="K52" s="84">
        <v>2</v>
      </c>
      <c r="L52" s="75">
        <v>4</v>
      </c>
      <c r="M52" s="76">
        <f t="shared" si="2"/>
        <v>23</v>
      </c>
    </row>
    <row r="53" spans="1:13" x14ac:dyDescent="0.35">
      <c r="A53" t="str">
        <f t="shared" si="4"/>
        <v>498.1</v>
      </c>
      <c r="B53" s="88" t="s">
        <v>542</v>
      </c>
      <c r="C53" s="86" t="s">
        <v>621</v>
      </c>
      <c r="D53" s="86" t="s">
        <v>157</v>
      </c>
      <c r="E53" s="86" t="s">
        <v>982</v>
      </c>
      <c r="F53" s="89">
        <f t="shared" si="6"/>
        <v>0.03</v>
      </c>
      <c r="G53" s="89">
        <f t="shared" si="6"/>
        <v>0.03</v>
      </c>
      <c r="H53" s="85">
        <v>15</v>
      </c>
      <c r="I53" s="85">
        <v>2</v>
      </c>
      <c r="J53" s="85">
        <f t="shared" si="5"/>
        <v>17</v>
      </c>
      <c r="K53" s="84">
        <v>2</v>
      </c>
      <c r="L53" s="75">
        <v>4</v>
      </c>
      <c r="M53" s="76">
        <f t="shared" si="2"/>
        <v>23</v>
      </c>
    </row>
    <row r="54" spans="1:13" x14ac:dyDescent="0.35">
      <c r="A54" t="str">
        <f t="shared" si="4"/>
        <v>499.12</v>
      </c>
      <c r="B54" s="88" t="s">
        <v>544</v>
      </c>
      <c r="C54" s="86" t="s">
        <v>622</v>
      </c>
      <c r="D54" s="86" t="s">
        <v>972</v>
      </c>
      <c r="E54" s="86" t="s">
        <v>982</v>
      </c>
      <c r="F54" s="89">
        <f t="shared" si="6"/>
        <v>0.03</v>
      </c>
      <c r="G54" s="89">
        <f t="shared" si="6"/>
        <v>0.03</v>
      </c>
      <c r="H54" s="85">
        <v>15</v>
      </c>
      <c r="I54" s="85">
        <v>2</v>
      </c>
      <c r="J54" s="85">
        <f t="shared" si="5"/>
        <v>17</v>
      </c>
      <c r="K54" s="84">
        <v>2</v>
      </c>
      <c r="L54" s="75">
        <v>4</v>
      </c>
      <c r="M54" s="76">
        <f t="shared" si="2"/>
        <v>23</v>
      </c>
    </row>
    <row r="55" spans="1:13" x14ac:dyDescent="0.35">
      <c r="A55" t="str">
        <f t="shared" si="4"/>
        <v>499.11</v>
      </c>
      <c r="B55" s="88" t="s">
        <v>543</v>
      </c>
      <c r="C55" s="86" t="s">
        <v>623</v>
      </c>
      <c r="D55" s="86" t="s">
        <v>142</v>
      </c>
      <c r="E55" s="86" t="s">
        <v>982</v>
      </c>
      <c r="F55" s="89">
        <f t="shared" si="6"/>
        <v>0.03</v>
      </c>
      <c r="G55" s="89">
        <f t="shared" si="6"/>
        <v>0.03</v>
      </c>
      <c r="H55" s="85">
        <v>15</v>
      </c>
      <c r="I55" s="85">
        <v>2</v>
      </c>
      <c r="J55" s="85">
        <f t="shared" si="5"/>
        <v>17</v>
      </c>
      <c r="K55" s="84">
        <v>2</v>
      </c>
      <c r="L55" s="75">
        <v>4</v>
      </c>
      <c r="M55" s="76">
        <f t="shared" si="2"/>
        <v>23</v>
      </c>
    </row>
    <row r="56" spans="1:13" x14ac:dyDescent="0.35">
      <c r="A56" t="str">
        <f t="shared" si="4"/>
        <v>910</v>
      </c>
      <c r="B56" s="88">
        <v>910</v>
      </c>
      <c r="C56" s="86" t="s">
        <v>624</v>
      </c>
      <c r="D56" s="86" t="s">
        <v>136</v>
      </c>
      <c r="E56" s="86" t="s">
        <v>982</v>
      </c>
      <c r="F56" s="89">
        <f t="shared" ref="F56:G61" si="7">25/1000</f>
        <v>2.5000000000000001E-2</v>
      </c>
      <c r="G56" s="89">
        <f t="shared" si="7"/>
        <v>2.5000000000000001E-2</v>
      </c>
      <c r="H56" s="85">
        <v>15</v>
      </c>
      <c r="I56" s="85">
        <v>2</v>
      </c>
      <c r="J56" s="85">
        <f t="shared" si="5"/>
        <v>17</v>
      </c>
      <c r="K56" s="84">
        <v>2</v>
      </c>
      <c r="L56" s="75">
        <v>4</v>
      </c>
      <c r="M56" s="76">
        <f t="shared" si="2"/>
        <v>23</v>
      </c>
    </row>
    <row r="57" spans="1:13" x14ac:dyDescent="0.35">
      <c r="A57" t="str">
        <f t="shared" si="4"/>
        <v>732</v>
      </c>
      <c r="B57" s="88">
        <v>732</v>
      </c>
      <c r="C57" s="86" t="s">
        <v>586</v>
      </c>
      <c r="D57" s="86" t="s">
        <v>1227</v>
      </c>
      <c r="E57" s="86" t="s">
        <v>982</v>
      </c>
      <c r="F57" s="89">
        <f t="shared" si="7"/>
        <v>2.5000000000000001E-2</v>
      </c>
      <c r="G57" s="89">
        <f t="shared" si="7"/>
        <v>2.5000000000000001E-2</v>
      </c>
      <c r="H57" s="85">
        <v>15</v>
      </c>
      <c r="I57" s="85">
        <v>2</v>
      </c>
      <c r="J57" s="85">
        <f t="shared" si="5"/>
        <v>17</v>
      </c>
      <c r="K57" s="84">
        <v>2</v>
      </c>
      <c r="L57" s="75">
        <v>4</v>
      </c>
      <c r="M57" s="76">
        <f t="shared" si="2"/>
        <v>23</v>
      </c>
    </row>
    <row r="58" spans="1:13" x14ac:dyDescent="0.35">
      <c r="A58" t="str">
        <f t="shared" si="4"/>
        <v>439.3</v>
      </c>
      <c r="B58" s="88" t="s">
        <v>530</v>
      </c>
      <c r="C58" s="90" t="s">
        <v>625</v>
      </c>
      <c r="D58" s="86" t="s">
        <v>178</v>
      </c>
      <c r="E58" s="86" t="s">
        <v>982</v>
      </c>
      <c r="F58" s="89">
        <f t="shared" si="7"/>
        <v>2.5000000000000001E-2</v>
      </c>
      <c r="G58" s="89">
        <f t="shared" si="7"/>
        <v>2.5000000000000001E-2</v>
      </c>
      <c r="H58" s="85">
        <v>15</v>
      </c>
      <c r="I58" s="85">
        <v>2</v>
      </c>
      <c r="J58" s="85">
        <f t="shared" si="5"/>
        <v>17</v>
      </c>
      <c r="K58" s="84">
        <v>2</v>
      </c>
      <c r="L58" s="75">
        <v>4</v>
      </c>
      <c r="M58" s="76">
        <f t="shared" si="2"/>
        <v>23</v>
      </c>
    </row>
    <row r="59" spans="1:13" x14ac:dyDescent="0.35">
      <c r="A59" t="str">
        <f t="shared" si="4"/>
        <v>600</v>
      </c>
      <c r="B59" s="88">
        <v>600</v>
      </c>
      <c r="C59" s="92" t="s">
        <v>565</v>
      </c>
      <c r="D59" s="86" t="s">
        <v>179</v>
      </c>
      <c r="E59" s="86" t="s">
        <v>982</v>
      </c>
      <c r="F59" s="89">
        <f t="shared" si="7"/>
        <v>2.5000000000000001E-2</v>
      </c>
      <c r="G59" s="89">
        <f t="shared" si="7"/>
        <v>2.5000000000000001E-2</v>
      </c>
      <c r="H59" s="85">
        <v>15</v>
      </c>
      <c r="I59" s="85">
        <v>2</v>
      </c>
      <c r="J59" s="85">
        <f t="shared" si="5"/>
        <v>17</v>
      </c>
      <c r="K59" s="84">
        <v>2</v>
      </c>
      <c r="L59" s="75">
        <v>4</v>
      </c>
      <c r="M59" s="76">
        <f t="shared" si="2"/>
        <v>23</v>
      </c>
    </row>
    <row r="60" spans="1:13" x14ac:dyDescent="0.35">
      <c r="A60" t="str">
        <f t="shared" si="4"/>
        <v>990</v>
      </c>
      <c r="B60" s="88">
        <v>990</v>
      </c>
      <c r="C60" s="86" t="s">
        <v>626</v>
      </c>
      <c r="D60" s="86" t="s">
        <v>135</v>
      </c>
      <c r="E60" s="86" t="s">
        <v>982</v>
      </c>
      <c r="F60" s="89">
        <f t="shared" si="7"/>
        <v>2.5000000000000001E-2</v>
      </c>
      <c r="G60" s="89">
        <f t="shared" si="7"/>
        <v>2.5000000000000001E-2</v>
      </c>
      <c r="H60" s="85">
        <v>15</v>
      </c>
      <c r="I60" s="85">
        <v>2</v>
      </c>
      <c r="J60" s="85">
        <f t="shared" si="5"/>
        <v>17</v>
      </c>
      <c r="K60" s="84">
        <v>2</v>
      </c>
      <c r="L60" s="75">
        <v>4</v>
      </c>
      <c r="M60" s="76">
        <f t="shared" si="2"/>
        <v>23</v>
      </c>
    </row>
    <row r="61" spans="1:13" x14ac:dyDescent="0.35">
      <c r="A61" t="str">
        <f t="shared" si="4"/>
        <v>701.2</v>
      </c>
      <c r="B61" s="88" t="s">
        <v>553</v>
      </c>
      <c r="C61" s="86" t="s">
        <v>627</v>
      </c>
      <c r="D61" s="86" t="s">
        <v>140</v>
      </c>
      <c r="E61" s="86" t="s">
        <v>982</v>
      </c>
      <c r="F61" s="89">
        <f t="shared" si="7"/>
        <v>2.5000000000000001E-2</v>
      </c>
      <c r="G61" s="89">
        <f t="shared" si="7"/>
        <v>2.5000000000000001E-2</v>
      </c>
      <c r="H61" s="85">
        <v>15</v>
      </c>
      <c r="I61" s="85">
        <v>2</v>
      </c>
      <c r="J61" s="85">
        <f t="shared" si="5"/>
        <v>17</v>
      </c>
      <c r="K61" s="84">
        <v>2</v>
      </c>
      <c r="L61" s="75">
        <v>4</v>
      </c>
      <c r="M61" s="76">
        <f t="shared" si="2"/>
        <v>23</v>
      </c>
    </row>
    <row r="62" spans="1:13" x14ac:dyDescent="0.35">
      <c r="A62" t="str">
        <f t="shared" si="4"/>
        <v>1051</v>
      </c>
      <c r="B62" s="88">
        <v>1051</v>
      </c>
      <c r="C62" s="86" t="s">
        <v>962</v>
      </c>
      <c r="D62" s="86" t="s">
        <v>173</v>
      </c>
      <c r="E62" s="86" t="s">
        <v>982</v>
      </c>
      <c r="F62" s="89">
        <f>5/1000</f>
        <v>5.0000000000000001E-3</v>
      </c>
      <c r="G62" s="89">
        <f>55/1000</f>
        <v>5.5E-2</v>
      </c>
      <c r="H62" s="85">
        <v>15</v>
      </c>
      <c r="I62" s="85">
        <v>2</v>
      </c>
      <c r="J62" s="85">
        <f t="shared" si="5"/>
        <v>17</v>
      </c>
      <c r="K62" s="84">
        <v>2</v>
      </c>
      <c r="L62" s="75">
        <v>4</v>
      </c>
      <c r="M62" s="76">
        <f t="shared" si="2"/>
        <v>23</v>
      </c>
    </row>
    <row r="63" spans="1:13" x14ac:dyDescent="0.35">
      <c r="A63" t="str">
        <f t="shared" ref="A63:A94" si="8">+RIGHT(C63, LEN(C63) - FIND("|", C63))</f>
        <v>945</v>
      </c>
      <c r="B63" s="88">
        <v>945</v>
      </c>
      <c r="C63" s="86" t="s">
        <v>628</v>
      </c>
      <c r="D63" s="86" t="s">
        <v>148</v>
      </c>
      <c r="E63" s="86" t="s">
        <v>982</v>
      </c>
      <c r="F63" s="89">
        <f t="shared" ref="F63:G68" si="9">25/1000</f>
        <v>2.5000000000000001E-2</v>
      </c>
      <c r="G63" s="89">
        <f t="shared" si="9"/>
        <v>2.5000000000000001E-2</v>
      </c>
      <c r="H63" s="85">
        <v>15</v>
      </c>
      <c r="I63" s="85">
        <v>2</v>
      </c>
      <c r="J63" s="85">
        <f t="shared" si="5"/>
        <v>17</v>
      </c>
      <c r="K63" s="84">
        <v>2</v>
      </c>
      <c r="L63" s="75">
        <v>4</v>
      </c>
      <c r="M63" s="76">
        <f t="shared" si="2"/>
        <v>23</v>
      </c>
    </row>
    <row r="64" spans="1:13" x14ac:dyDescent="0.35">
      <c r="A64" t="str">
        <f t="shared" si="8"/>
        <v>311</v>
      </c>
      <c r="B64" s="88">
        <v>311</v>
      </c>
      <c r="C64" s="86" t="s">
        <v>963</v>
      </c>
      <c r="D64" s="86" t="s">
        <v>168</v>
      </c>
      <c r="E64" s="86" t="s">
        <v>982</v>
      </c>
      <c r="F64" s="89">
        <f t="shared" si="9"/>
        <v>2.5000000000000001E-2</v>
      </c>
      <c r="G64" s="89">
        <f t="shared" si="9"/>
        <v>2.5000000000000001E-2</v>
      </c>
      <c r="H64" s="85">
        <v>15</v>
      </c>
      <c r="I64" s="85">
        <v>2</v>
      </c>
      <c r="J64" s="85">
        <f t="shared" si="5"/>
        <v>17</v>
      </c>
      <c r="K64" s="84">
        <v>2</v>
      </c>
      <c r="L64" s="75">
        <v>4</v>
      </c>
      <c r="M64" s="76">
        <f t="shared" si="2"/>
        <v>23</v>
      </c>
    </row>
    <row r="65" spans="1:13" x14ac:dyDescent="0.35">
      <c r="A65" t="str">
        <f t="shared" si="8"/>
        <v>316</v>
      </c>
      <c r="B65" s="88">
        <v>316</v>
      </c>
      <c r="C65" s="86" t="s">
        <v>629</v>
      </c>
      <c r="D65" s="86" t="s">
        <v>165</v>
      </c>
      <c r="E65" s="86" t="s">
        <v>982</v>
      </c>
      <c r="F65" s="89">
        <f t="shared" si="9"/>
        <v>2.5000000000000001E-2</v>
      </c>
      <c r="G65" s="89">
        <f t="shared" si="9"/>
        <v>2.5000000000000001E-2</v>
      </c>
      <c r="H65" s="85">
        <v>15</v>
      </c>
      <c r="I65" s="85">
        <v>2</v>
      </c>
      <c r="J65" s="85">
        <f t="shared" si="5"/>
        <v>17</v>
      </c>
      <c r="K65" s="84">
        <v>2</v>
      </c>
      <c r="L65" s="75">
        <v>4</v>
      </c>
      <c r="M65" s="76">
        <f t="shared" si="2"/>
        <v>23</v>
      </c>
    </row>
    <row r="66" spans="1:13" x14ac:dyDescent="0.35">
      <c r="A66" t="str">
        <f t="shared" si="8"/>
        <v>710</v>
      </c>
      <c r="B66" s="88">
        <v>710</v>
      </c>
      <c r="C66" s="86" t="s">
        <v>630</v>
      </c>
      <c r="D66" s="86" t="s">
        <v>571</v>
      </c>
      <c r="E66" s="86" t="s">
        <v>982</v>
      </c>
      <c r="F66" s="89">
        <f t="shared" si="9"/>
        <v>2.5000000000000001E-2</v>
      </c>
      <c r="G66" s="89">
        <f t="shared" si="9"/>
        <v>2.5000000000000001E-2</v>
      </c>
      <c r="H66" s="85">
        <v>15</v>
      </c>
      <c r="I66" s="85">
        <v>2</v>
      </c>
      <c r="J66" s="85">
        <f t="shared" ref="J66:J97" si="10">+I66+H66</f>
        <v>17</v>
      </c>
      <c r="K66" s="84">
        <v>2</v>
      </c>
      <c r="L66" s="75">
        <v>4</v>
      </c>
      <c r="M66" s="76">
        <f t="shared" si="2"/>
        <v>23</v>
      </c>
    </row>
    <row r="67" spans="1:13" x14ac:dyDescent="0.35">
      <c r="A67" t="str">
        <f t="shared" si="8"/>
        <v>706</v>
      </c>
      <c r="B67" s="88">
        <v>706</v>
      </c>
      <c r="C67" s="86" t="s">
        <v>631</v>
      </c>
      <c r="D67" s="86" t="s">
        <v>156</v>
      </c>
      <c r="E67" s="86" t="s">
        <v>982</v>
      </c>
      <c r="F67" s="89">
        <f t="shared" si="9"/>
        <v>2.5000000000000001E-2</v>
      </c>
      <c r="G67" s="89">
        <f t="shared" si="9"/>
        <v>2.5000000000000001E-2</v>
      </c>
      <c r="H67" s="85">
        <v>15</v>
      </c>
      <c r="I67" s="85">
        <v>2</v>
      </c>
      <c r="J67" s="85">
        <f t="shared" si="10"/>
        <v>17</v>
      </c>
      <c r="K67" s="84">
        <v>2</v>
      </c>
      <c r="L67" s="75">
        <v>4</v>
      </c>
      <c r="M67" s="76">
        <f t="shared" ref="M67:M102" si="11">+SUM(J67:L67)</f>
        <v>23</v>
      </c>
    </row>
    <row r="68" spans="1:13" x14ac:dyDescent="0.35">
      <c r="A68" t="str">
        <f t="shared" si="8"/>
        <v>68.1</v>
      </c>
      <c r="B68" s="88" t="s">
        <v>551</v>
      </c>
      <c r="C68" s="86" t="s">
        <v>634</v>
      </c>
      <c r="D68" s="86" t="s">
        <v>160</v>
      </c>
      <c r="E68" s="86" t="s">
        <v>982</v>
      </c>
      <c r="F68" s="89">
        <f t="shared" si="9"/>
        <v>2.5000000000000001E-2</v>
      </c>
      <c r="G68" s="89">
        <f t="shared" si="9"/>
        <v>2.5000000000000001E-2</v>
      </c>
      <c r="H68" s="85">
        <v>15</v>
      </c>
      <c r="I68" s="85">
        <v>2</v>
      </c>
      <c r="J68" s="85">
        <f t="shared" si="10"/>
        <v>17</v>
      </c>
      <c r="K68" s="84">
        <v>2</v>
      </c>
      <c r="L68" s="75">
        <v>4</v>
      </c>
      <c r="M68" s="76">
        <f t="shared" si="11"/>
        <v>23</v>
      </c>
    </row>
    <row r="69" spans="1:13" x14ac:dyDescent="0.35">
      <c r="A69" t="str">
        <f t="shared" si="8"/>
        <v>214</v>
      </c>
      <c r="B69" s="88">
        <v>214</v>
      </c>
      <c r="C69" s="86" t="s">
        <v>677</v>
      </c>
      <c r="D69" s="86" t="s">
        <v>186</v>
      </c>
      <c r="E69" s="86" t="s">
        <v>982</v>
      </c>
      <c r="F69" s="89">
        <f>40/1000</f>
        <v>0.04</v>
      </c>
      <c r="G69" s="84">
        <f>+F69*800</f>
        <v>32</v>
      </c>
      <c r="H69" s="84">
        <v>15</v>
      </c>
      <c r="I69" s="85">
        <v>5</v>
      </c>
      <c r="J69" s="85">
        <f t="shared" si="10"/>
        <v>20</v>
      </c>
      <c r="K69" s="84">
        <v>2</v>
      </c>
      <c r="L69" s="75">
        <v>4</v>
      </c>
      <c r="M69" s="76">
        <f t="shared" si="11"/>
        <v>26</v>
      </c>
    </row>
    <row r="70" spans="1:13" x14ac:dyDescent="0.35">
      <c r="A70" t="str">
        <f t="shared" si="8"/>
        <v>1059</v>
      </c>
      <c r="B70" s="88">
        <v>1059</v>
      </c>
      <c r="C70" s="96" t="s">
        <v>635</v>
      </c>
      <c r="D70" s="86" t="s">
        <v>151</v>
      </c>
      <c r="E70" s="86" t="s">
        <v>982</v>
      </c>
      <c r="F70" s="89">
        <f>25/1000</f>
        <v>2.5000000000000001E-2</v>
      </c>
      <c r="G70" s="89">
        <f>25/1000</f>
        <v>2.5000000000000001E-2</v>
      </c>
      <c r="H70" s="85">
        <v>15</v>
      </c>
      <c r="I70" s="85">
        <v>2</v>
      </c>
      <c r="J70" s="85">
        <f t="shared" si="10"/>
        <v>17</v>
      </c>
      <c r="K70" s="84">
        <v>2</v>
      </c>
      <c r="L70" s="75">
        <v>4</v>
      </c>
      <c r="M70" s="76">
        <f t="shared" si="11"/>
        <v>23</v>
      </c>
    </row>
    <row r="71" spans="1:13" x14ac:dyDescent="0.35">
      <c r="A71" t="str">
        <f t="shared" si="8"/>
        <v>122</v>
      </c>
      <c r="B71" s="88">
        <v>122</v>
      </c>
      <c r="C71" s="87" t="s">
        <v>664</v>
      </c>
      <c r="D71" s="86" t="s">
        <v>180</v>
      </c>
      <c r="E71" s="86" t="s">
        <v>984</v>
      </c>
      <c r="F71" s="84">
        <v>500</v>
      </c>
      <c r="G71" s="84">
        <v>1000</v>
      </c>
      <c r="H71" s="85">
        <v>90</v>
      </c>
      <c r="I71" s="85">
        <v>5</v>
      </c>
      <c r="J71" s="85">
        <f t="shared" si="10"/>
        <v>95</v>
      </c>
      <c r="K71" s="84">
        <v>2</v>
      </c>
      <c r="L71" s="75">
        <v>4</v>
      </c>
      <c r="M71" s="76">
        <f t="shared" si="11"/>
        <v>101</v>
      </c>
    </row>
    <row r="72" spans="1:13" x14ac:dyDescent="0.35">
      <c r="A72" t="str">
        <f t="shared" si="8"/>
        <v>527.1</v>
      </c>
      <c r="B72" s="88" t="s">
        <v>547</v>
      </c>
      <c r="C72" s="86" t="s">
        <v>636</v>
      </c>
      <c r="D72" s="86" t="s">
        <v>1078</v>
      </c>
      <c r="E72" s="86" t="s">
        <v>982</v>
      </c>
      <c r="F72" s="89">
        <f>5/1000</f>
        <v>5.0000000000000001E-3</v>
      </c>
      <c r="G72" s="89">
        <f>5/1000</f>
        <v>5.0000000000000001E-3</v>
      </c>
      <c r="H72" s="85">
        <v>15</v>
      </c>
      <c r="I72" s="85">
        <v>2</v>
      </c>
      <c r="J72" s="85">
        <f t="shared" si="10"/>
        <v>17</v>
      </c>
      <c r="K72" s="84">
        <v>2</v>
      </c>
      <c r="L72" s="75">
        <v>4</v>
      </c>
      <c r="M72" s="76">
        <f t="shared" si="11"/>
        <v>23</v>
      </c>
    </row>
    <row r="73" spans="1:13" x14ac:dyDescent="0.35">
      <c r="A73" t="str">
        <f t="shared" si="8"/>
        <v>110.2</v>
      </c>
      <c r="B73" s="88" t="s">
        <v>522</v>
      </c>
      <c r="C73" s="86" t="s">
        <v>637</v>
      </c>
      <c r="D73" s="86" t="s">
        <v>170</v>
      </c>
      <c r="E73" s="86" t="s">
        <v>982</v>
      </c>
      <c r="F73" s="89">
        <f>25/1000</f>
        <v>2.5000000000000001E-2</v>
      </c>
      <c r="G73" s="89">
        <f>25/1000</f>
        <v>2.5000000000000001E-2</v>
      </c>
      <c r="H73" s="85">
        <v>15</v>
      </c>
      <c r="I73" s="85">
        <v>2</v>
      </c>
      <c r="J73" s="85">
        <f t="shared" si="10"/>
        <v>17</v>
      </c>
      <c r="K73" s="84">
        <v>2</v>
      </c>
      <c r="L73" s="75">
        <v>4</v>
      </c>
      <c r="M73" s="76">
        <f t="shared" si="11"/>
        <v>23</v>
      </c>
    </row>
    <row r="74" spans="1:13" x14ac:dyDescent="0.35">
      <c r="A74" t="str">
        <f t="shared" si="8"/>
        <v>410</v>
      </c>
      <c r="B74" s="88">
        <v>410</v>
      </c>
      <c r="C74" s="86" t="s">
        <v>679</v>
      </c>
      <c r="D74" s="86" t="s">
        <v>183</v>
      </c>
      <c r="E74" s="86" t="s">
        <v>982</v>
      </c>
      <c r="F74" s="89">
        <f>45/1000</f>
        <v>4.4999999999999998E-2</v>
      </c>
      <c r="G74" s="84">
        <f>+F74*600</f>
        <v>27</v>
      </c>
      <c r="H74" s="84">
        <v>15</v>
      </c>
      <c r="I74" s="85">
        <v>5</v>
      </c>
      <c r="J74" s="85">
        <f t="shared" si="10"/>
        <v>20</v>
      </c>
      <c r="K74" s="84">
        <v>2</v>
      </c>
      <c r="L74" s="75">
        <v>4</v>
      </c>
      <c r="M74" s="76">
        <f t="shared" si="11"/>
        <v>26</v>
      </c>
    </row>
    <row r="75" spans="1:13" x14ac:dyDescent="0.35">
      <c r="A75" t="str">
        <f t="shared" si="8"/>
        <v>1068</v>
      </c>
      <c r="B75" s="88">
        <v>1068</v>
      </c>
      <c r="C75" s="86" t="s">
        <v>638</v>
      </c>
      <c r="D75" s="86" t="s">
        <v>145</v>
      </c>
      <c r="E75" s="86" t="s">
        <v>982</v>
      </c>
      <c r="F75" s="89">
        <f t="shared" ref="F75:G83" si="12">25/1000</f>
        <v>2.5000000000000001E-2</v>
      </c>
      <c r="G75" s="89">
        <f t="shared" si="12"/>
        <v>2.5000000000000001E-2</v>
      </c>
      <c r="H75" s="85">
        <v>15</v>
      </c>
      <c r="I75" s="85">
        <v>2</v>
      </c>
      <c r="J75" s="85">
        <f t="shared" si="10"/>
        <v>17</v>
      </c>
      <c r="K75" s="84">
        <v>2</v>
      </c>
      <c r="L75" s="75">
        <v>4</v>
      </c>
      <c r="M75" s="76">
        <f t="shared" si="11"/>
        <v>23</v>
      </c>
    </row>
    <row r="76" spans="1:13" x14ac:dyDescent="0.35">
      <c r="A76" t="str">
        <f t="shared" si="8"/>
        <v>499.6</v>
      </c>
      <c r="B76" s="88" t="s">
        <v>980</v>
      </c>
      <c r="C76" s="86" t="s">
        <v>978</v>
      </c>
      <c r="D76" s="86" t="s">
        <v>1049</v>
      </c>
      <c r="E76" s="86" t="s">
        <v>982</v>
      </c>
      <c r="F76" s="89">
        <f t="shared" si="12"/>
        <v>2.5000000000000001E-2</v>
      </c>
      <c r="G76" s="89">
        <f t="shared" si="12"/>
        <v>2.5000000000000001E-2</v>
      </c>
      <c r="H76" s="85">
        <v>15</v>
      </c>
      <c r="I76" s="85">
        <v>2</v>
      </c>
      <c r="J76" s="85">
        <f t="shared" si="10"/>
        <v>17</v>
      </c>
      <c r="K76" s="84">
        <v>2</v>
      </c>
      <c r="L76" s="75">
        <v>4</v>
      </c>
      <c r="M76" s="76">
        <f t="shared" si="11"/>
        <v>23</v>
      </c>
    </row>
    <row r="77" spans="1:13" x14ac:dyDescent="0.35">
      <c r="A77" t="str">
        <f t="shared" si="8"/>
        <v>806</v>
      </c>
      <c r="B77" s="88">
        <v>806</v>
      </c>
      <c r="C77" s="86" t="s">
        <v>639</v>
      </c>
      <c r="D77" s="86" t="s">
        <v>134</v>
      </c>
      <c r="E77" s="86" t="s">
        <v>982</v>
      </c>
      <c r="F77" s="89">
        <f t="shared" si="12"/>
        <v>2.5000000000000001E-2</v>
      </c>
      <c r="G77" s="89">
        <f t="shared" si="12"/>
        <v>2.5000000000000001E-2</v>
      </c>
      <c r="H77" s="85">
        <v>15</v>
      </c>
      <c r="I77" s="85">
        <v>2</v>
      </c>
      <c r="J77" s="85">
        <f t="shared" si="10"/>
        <v>17</v>
      </c>
      <c r="K77" s="84">
        <v>2</v>
      </c>
      <c r="L77" s="75">
        <v>4</v>
      </c>
      <c r="M77" s="76">
        <f t="shared" si="11"/>
        <v>23</v>
      </c>
    </row>
    <row r="78" spans="1:13" x14ac:dyDescent="0.35">
      <c r="A78" t="str">
        <f t="shared" si="8"/>
        <v>810</v>
      </c>
      <c r="B78" s="88">
        <v>810</v>
      </c>
      <c r="C78" s="86" t="s">
        <v>640</v>
      </c>
      <c r="D78" s="86" t="s">
        <v>144</v>
      </c>
      <c r="E78" s="86" t="s">
        <v>982</v>
      </c>
      <c r="F78" s="89">
        <f t="shared" si="12"/>
        <v>2.5000000000000001E-2</v>
      </c>
      <c r="G78" s="89">
        <f t="shared" si="12"/>
        <v>2.5000000000000001E-2</v>
      </c>
      <c r="H78" s="85">
        <v>15</v>
      </c>
      <c r="I78" s="85">
        <v>2</v>
      </c>
      <c r="J78" s="85">
        <f t="shared" si="10"/>
        <v>17</v>
      </c>
      <c r="K78" s="84">
        <v>2</v>
      </c>
      <c r="L78" s="75">
        <v>4</v>
      </c>
      <c r="M78" s="76">
        <f t="shared" si="11"/>
        <v>23</v>
      </c>
    </row>
    <row r="79" spans="1:13" x14ac:dyDescent="0.35">
      <c r="A79" t="str">
        <f t="shared" si="8"/>
        <v>456.7</v>
      </c>
      <c r="B79" s="88" t="s">
        <v>1213</v>
      </c>
      <c r="C79" s="86" t="s">
        <v>979</v>
      </c>
      <c r="D79" s="86" t="s">
        <v>1050</v>
      </c>
      <c r="E79" s="86" t="s">
        <v>982</v>
      </c>
      <c r="F79" s="89">
        <f t="shared" si="12"/>
        <v>2.5000000000000001E-2</v>
      </c>
      <c r="G79" s="89">
        <f t="shared" si="12"/>
        <v>2.5000000000000001E-2</v>
      </c>
      <c r="H79" s="85">
        <v>15</v>
      </c>
      <c r="I79" s="85">
        <v>2</v>
      </c>
      <c r="J79" s="85">
        <f t="shared" si="10"/>
        <v>17</v>
      </c>
      <c r="K79" s="84">
        <v>2</v>
      </c>
      <c r="L79" s="75">
        <v>4</v>
      </c>
      <c r="M79" s="76">
        <f t="shared" si="11"/>
        <v>23</v>
      </c>
    </row>
    <row r="80" spans="1:13" x14ac:dyDescent="0.35">
      <c r="A80" t="str">
        <f t="shared" si="8"/>
        <v>170</v>
      </c>
      <c r="B80" s="88">
        <v>170</v>
      </c>
      <c r="C80" s="86" t="s">
        <v>641</v>
      </c>
      <c r="D80" s="86" t="s">
        <v>174</v>
      </c>
      <c r="E80" s="86" t="s">
        <v>982</v>
      </c>
      <c r="F80" s="89">
        <f t="shared" si="12"/>
        <v>2.5000000000000001E-2</v>
      </c>
      <c r="G80" s="89">
        <f t="shared" si="12"/>
        <v>2.5000000000000001E-2</v>
      </c>
      <c r="H80" s="85">
        <v>15</v>
      </c>
      <c r="I80" s="85">
        <v>2</v>
      </c>
      <c r="J80" s="85">
        <f t="shared" si="10"/>
        <v>17</v>
      </c>
      <c r="K80" s="84">
        <v>2</v>
      </c>
      <c r="L80" s="75">
        <v>4</v>
      </c>
      <c r="M80" s="76">
        <f t="shared" si="11"/>
        <v>23</v>
      </c>
    </row>
    <row r="81" spans="1:13" x14ac:dyDescent="0.35">
      <c r="A81" t="str">
        <f t="shared" si="8"/>
        <v>70</v>
      </c>
      <c r="B81" s="88">
        <v>70</v>
      </c>
      <c r="C81" s="86" t="s">
        <v>642</v>
      </c>
      <c r="D81" s="86" t="s">
        <v>159</v>
      </c>
      <c r="E81" s="86" t="s">
        <v>982</v>
      </c>
      <c r="F81" s="89">
        <f t="shared" si="12"/>
        <v>2.5000000000000001E-2</v>
      </c>
      <c r="G81" s="89">
        <f t="shared" si="12"/>
        <v>2.5000000000000001E-2</v>
      </c>
      <c r="H81" s="85">
        <v>15</v>
      </c>
      <c r="I81" s="85">
        <v>2</v>
      </c>
      <c r="J81" s="85">
        <f t="shared" si="10"/>
        <v>17</v>
      </c>
      <c r="K81" s="84">
        <v>2</v>
      </c>
      <c r="L81" s="75">
        <v>4</v>
      </c>
      <c r="M81" s="76">
        <f t="shared" si="11"/>
        <v>23</v>
      </c>
    </row>
    <row r="82" spans="1:13" x14ac:dyDescent="0.35">
      <c r="A82" t="str">
        <f t="shared" si="8"/>
        <v>58.1</v>
      </c>
      <c r="B82" s="88" t="s">
        <v>1225</v>
      </c>
      <c r="C82" s="86" t="s">
        <v>644</v>
      </c>
      <c r="D82" s="86" t="s">
        <v>172</v>
      </c>
      <c r="E82" s="86" t="s">
        <v>982</v>
      </c>
      <c r="F82" s="89">
        <f t="shared" si="12"/>
        <v>2.5000000000000001E-2</v>
      </c>
      <c r="G82" s="89">
        <f t="shared" si="12"/>
        <v>2.5000000000000001E-2</v>
      </c>
      <c r="H82" s="85">
        <v>15</v>
      </c>
      <c r="I82" s="85">
        <v>2</v>
      </c>
      <c r="J82" s="85">
        <f t="shared" si="10"/>
        <v>17</v>
      </c>
      <c r="K82" s="84">
        <v>2</v>
      </c>
      <c r="L82" s="75">
        <v>4</v>
      </c>
      <c r="M82" s="76">
        <f t="shared" si="11"/>
        <v>23</v>
      </c>
    </row>
    <row r="83" spans="1:13" x14ac:dyDescent="0.35">
      <c r="A83" t="str">
        <f t="shared" si="8"/>
        <v>933</v>
      </c>
      <c r="B83" s="88">
        <v>933</v>
      </c>
      <c r="C83" s="86" t="s">
        <v>645</v>
      </c>
      <c r="D83" s="86" t="s">
        <v>163</v>
      </c>
      <c r="E83" s="86" t="s">
        <v>982</v>
      </c>
      <c r="F83" s="89">
        <f t="shared" si="12"/>
        <v>2.5000000000000001E-2</v>
      </c>
      <c r="G83" s="89">
        <f t="shared" si="12"/>
        <v>2.5000000000000001E-2</v>
      </c>
      <c r="H83" s="85">
        <v>15</v>
      </c>
      <c r="I83" s="85">
        <v>2</v>
      </c>
      <c r="J83" s="85">
        <f t="shared" si="10"/>
        <v>17</v>
      </c>
      <c r="K83" s="84">
        <v>2</v>
      </c>
      <c r="L83" s="75">
        <v>4</v>
      </c>
      <c r="M83" s="76">
        <f t="shared" si="11"/>
        <v>23</v>
      </c>
    </row>
    <row r="84" spans="1:13" x14ac:dyDescent="0.35">
      <c r="A84" t="str">
        <f t="shared" si="8"/>
        <v>704</v>
      </c>
      <c r="B84" s="88">
        <v>704</v>
      </c>
      <c r="C84" s="86" t="s">
        <v>646</v>
      </c>
      <c r="D84" s="86" t="s">
        <v>132</v>
      </c>
      <c r="E84" s="86" t="s">
        <v>982</v>
      </c>
      <c r="F84" s="89">
        <f>25/1000</f>
        <v>2.5000000000000001E-2</v>
      </c>
      <c r="G84" s="89">
        <v>20</v>
      </c>
      <c r="H84" s="85">
        <v>15</v>
      </c>
      <c r="I84" s="85">
        <v>2</v>
      </c>
      <c r="J84" s="85">
        <f t="shared" si="10"/>
        <v>17</v>
      </c>
      <c r="K84" s="84">
        <v>2</v>
      </c>
      <c r="L84" s="75">
        <v>4</v>
      </c>
      <c r="M84" s="76">
        <f t="shared" si="11"/>
        <v>23</v>
      </c>
    </row>
    <row r="85" spans="1:13" x14ac:dyDescent="0.35">
      <c r="A85" t="str">
        <f t="shared" si="8"/>
        <v>907</v>
      </c>
      <c r="B85" s="88">
        <v>907</v>
      </c>
      <c r="C85" s="86" t="s">
        <v>647</v>
      </c>
      <c r="D85" s="86" t="s">
        <v>155</v>
      </c>
      <c r="E85" s="86" t="s">
        <v>982</v>
      </c>
      <c r="F85" s="89">
        <f>25/1000</f>
        <v>2.5000000000000001E-2</v>
      </c>
      <c r="G85" s="89">
        <f>25/1000</f>
        <v>2.5000000000000001E-2</v>
      </c>
      <c r="H85" s="85">
        <v>15</v>
      </c>
      <c r="I85" s="85">
        <v>2</v>
      </c>
      <c r="J85" s="85">
        <f t="shared" si="10"/>
        <v>17</v>
      </c>
      <c r="K85" s="84">
        <v>2</v>
      </c>
      <c r="L85" s="75">
        <v>4</v>
      </c>
      <c r="M85" s="76">
        <f t="shared" si="11"/>
        <v>23</v>
      </c>
    </row>
    <row r="86" spans="1:13" x14ac:dyDescent="0.35">
      <c r="A86" t="str">
        <f t="shared" si="8"/>
        <v>601</v>
      </c>
      <c r="B86" s="88">
        <v>601</v>
      </c>
      <c r="C86" s="86" t="s">
        <v>648</v>
      </c>
      <c r="D86" s="86" t="s">
        <v>167</v>
      </c>
      <c r="E86" s="86" t="s">
        <v>982</v>
      </c>
      <c r="F86" s="89">
        <f>5/1000</f>
        <v>5.0000000000000001E-3</v>
      </c>
      <c r="G86" s="89">
        <f>5/1000</f>
        <v>5.0000000000000001E-3</v>
      </c>
      <c r="H86" s="85">
        <v>15</v>
      </c>
      <c r="I86" s="85">
        <v>2</v>
      </c>
      <c r="J86" s="85">
        <f t="shared" si="10"/>
        <v>17</v>
      </c>
      <c r="K86" s="84">
        <v>2</v>
      </c>
      <c r="L86" s="75">
        <v>4</v>
      </c>
      <c r="M86" s="76">
        <f t="shared" si="11"/>
        <v>23</v>
      </c>
    </row>
    <row r="87" spans="1:13" x14ac:dyDescent="0.35">
      <c r="A87" t="str">
        <f t="shared" si="8"/>
        <v>100.2</v>
      </c>
      <c r="B87" s="88" t="s">
        <v>1184</v>
      </c>
      <c r="C87" s="86" t="s">
        <v>987</v>
      </c>
      <c r="D87" s="86" t="s">
        <v>185</v>
      </c>
      <c r="E87" s="86" t="s">
        <v>982</v>
      </c>
      <c r="F87" s="84">
        <v>27</v>
      </c>
      <c r="G87" s="84">
        <v>27</v>
      </c>
      <c r="H87" s="84">
        <v>15</v>
      </c>
      <c r="I87" s="85">
        <v>5</v>
      </c>
      <c r="J87" s="85">
        <f t="shared" si="10"/>
        <v>20</v>
      </c>
      <c r="K87" s="84">
        <v>2</v>
      </c>
      <c r="L87" s="75">
        <v>4</v>
      </c>
      <c r="M87" s="76">
        <f t="shared" si="11"/>
        <v>26</v>
      </c>
    </row>
    <row r="88" spans="1:13" x14ac:dyDescent="0.35">
      <c r="A88" t="str">
        <f t="shared" si="8"/>
        <v>1050</v>
      </c>
      <c r="B88" s="111">
        <v>1050</v>
      </c>
      <c r="C88" s="86" t="s">
        <v>649</v>
      </c>
      <c r="D88" s="86" t="s">
        <v>973</v>
      </c>
      <c r="E88" s="86" t="s">
        <v>982</v>
      </c>
      <c r="F88" s="89">
        <f>25/1000</f>
        <v>2.5000000000000001E-2</v>
      </c>
      <c r="G88" s="89">
        <f>25/1000</f>
        <v>2.5000000000000001E-2</v>
      </c>
      <c r="H88" s="84">
        <v>15</v>
      </c>
      <c r="I88" s="85">
        <v>2</v>
      </c>
      <c r="J88" s="85">
        <f t="shared" si="10"/>
        <v>17</v>
      </c>
      <c r="K88" s="84">
        <v>2</v>
      </c>
      <c r="L88" s="75">
        <v>4</v>
      </c>
      <c r="M88" s="76">
        <f t="shared" si="11"/>
        <v>23</v>
      </c>
    </row>
    <row r="89" spans="1:13" x14ac:dyDescent="0.35">
      <c r="A89" t="str">
        <f t="shared" si="8"/>
        <v>716</v>
      </c>
      <c r="B89" s="88">
        <v>716</v>
      </c>
      <c r="C89" s="86" t="s">
        <v>650</v>
      </c>
      <c r="D89" s="86" t="s">
        <v>162</v>
      </c>
      <c r="E89" s="86" t="s">
        <v>982</v>
      </c>
      <c r="F89" s="89">
        <f>25/1000</f>
        <v>2.5000000000000001E-2</v>
      </c>
      <c r="G89" s="89">
        <f>25/1000</f>
        <v>2.5000000000000001E-2</v>
      </c>
      <c r="H89" s="85">
        <v>15</v>
      </c>
      <c r="I89" s="85">
        <v>2</v>
      </c>
      <c r="J89" s="85">
        <f t="shared" si="10"/>
        <v>17</v>
      </c>
      <c r="K89" s="84">
        <v>2</v>
      </c>
      <c r="L89" s="75">
        <v>4</v>
      </c>
      <c r="M89" s="76">
        <f t="shared" si="11"/>
        <v>23</v>
      </c>
    </row>
    <row r="90" spans="1:13" x14ac:dyDescent="0.35">
      <c r="A90" t="str">
        <f t="shared" si="8"/>
        <v>497.5</v>
      </c>
      <c r="B90" s="88" t="s">
        <v>540</v>
      </c>
      <c r="C90" s="87" t="s">
        <v>651</v>
      </c>
      <c r="D90" s="86" t="s">
        <v>133</v>
      </c>
      <c r="E90" s="86" t="s">
        <v>984</v>
      </c>
      <c r="F90" s="84">
        <v>1</v>
      </c>
      <c r="G90" s="84">
        <v>26</v>
      </c>
      <c r="H90" s="85">
        <v>90</v>
      </c>
      <c r="I90" s="85">
        <v>5</v>
      </c>
      <c r="J90" s="85">
        <f t="shared" si="10"/>
        <v>95</v>
      </c>
      <c r="K90" s="84">
        <v>2</v>
      </c>
      <c r="L90" s="75">
        <v>4</v>
      </c>
      <c r="M90" s="76">
        <f t="shared" si="11"/>
        <v>101</v>
      </c>
    </row>
    <row r="91" spans="1:13" x14ac:dyDescent="0.35">
      <c r="A91" t="str">
        <f t="shared" si="8"/>
        <v>685</v>
      </c>
      <c r="B91" s="88">
        <v>685</v>
      </c>
      <c r="C91" s="86" t="s">
        <v>652</v>
      </c>
      <c r="D91" s="86" t="s">
        <v>169</v>
      </c>
      <c r="E91" s="86" t="s">
        <v>982</v>
      </c>
      <c r="F91" s="89">
        <f>15/1000</f>
        <v>1.4999999999999999E-2</v>
      </c>
      <c r="G91" s="89">
        <v>15</v>
      </c>
      <c r="H91" s="85">
        <v>15</v>
      </c>
      <c r="I91" s="85">
        <v>2</v>
      </c>
      <c r="J91" s="85">
        <f t="shared" si="10"/>
        <v>17</v>
      </c>
      <c r="K91" s="84">
        <v>2</v>
      </c>
      <c r="L91" s="75">
        <v>4</v>
      </c>
      <c r="M91" s="76">
        <f t="shared" si="11"/>
        <v>23</v>
      </c>
    </row>
    <row r="92" spans="1:13" x14ac:dyDescent="0.35">
      <c r="A92" t="str">
        <f t="shared" si="8"/>
        <v>46.5</v>
      </c>
      <c r="B92" s="88" t="s">
        <v>535</v>
      </c>
      <c r="C92" s="86" t="s">
        <v>653</v>
      </c>
      <c r="D92" s="86" t="s">
        <v>161</v>
      </c>
      <c r="E92" s="86" t="s">
        <v>982</v>
      </c>
      <c r="F92" s="89">
        <f>25/1000</f>
        <v>2.5000000000000001E-2</v>
      </c>
      <c r="G92" s="89">
        <f>25/1000</f>
        <v>2.5000000000000001E-2</v>
      </c>
      <c r="H92" s="85">
        <v>15</v>
      </c>
      <c r="I92" s="85">
        <v>2</v>
      </c>
      <c r="J92" s="85">
        <f t="shared" si="10"/>
        <v>17</v>
      </c>
      <c r="K92" s="84">
        <v>2</v>
      </c>
      <c r="L92" s="75">
        <v>4</v>
      </c>
      <c r="M92" s="76">
        <f t="shared" si="11"/>
        <v>23</v>
      </c>
    </row>
    <row r="93" spans="1:13" x14ac:dyDescent="0.35">
      <c r="A93" t="str">
        <f t="shared" si="8"/>
        <v>379</v>
      </c>
      <c r="B93" s="88">
        <v>379</v>
      </c>
      <c r="C93" s="87" t="s">
        <v>654</v>
      </c>
      <c r="D93" s="86" t="s">
        <v>139</v>
      </c>
      <c r="E93" s="86" t="s">
        <v>984</v>
      </c>
      <c r="F93" s="84">
        <v>1</v>
      </c>
      <c r="G93" s="84">
        <v>1</v>
      </c>
      <c r="H93" s="85">
        <v>90</v>
      </c>
      <c r="I93" s="85">
        <v>5</v>
      </c>
      <c r="J93" s="85">
        <f t="shared" si="10"/>
        <v>95</v>
      </c>
      <c r="K93" s="84">
        <v>2</v>
      </c>
      <c r="L93" s="75">
        <v>4</v>
      </c>
      <c r="M93" s="76">
        <f t="shared" si="11"/>
        <v>101</v>
      </c>
    </row>
    <row r="94" spans="1:13" x14ac:dyDescent="0.35">
      <c r="A94" t="str">
        <f t="shared" si="8"/>
        <v>871</v>
      </c>
      <c r="B94" s="88">
        <v>871</v>
      </c>
      <c r="C94" s="112" t="s">
        <v>665</v>
      </c>
      <c r="D94" s="86" t="s">
        <v>181</v>
      </c>
      <c r="E94" s="86" t="s">
        <v>984</v>
      </c>
      <c r="F94" s="84">
        <v>500</v>
      </c>
      <c r="G94" s="84">
        <v>1000</v>
      </c>
      <c r="H94" s="85">
        <v>90</v>
      </c>
      <c r="I94" s="85">
        <v>5</v>
      </c>
      <c r="J94" s="85">
        <f t="shared" si="10"/>
        <v>95</v>
      </c>
      <c r="K94" s="84">
        <v>2</v>
      </c>
      <c r="L94" s="75">
        <v>4</v>
      </c>
      <c r="M94" s="76">
        <f t="shared" si="11"/>
        <v>101</v>
      </c>
    </row>
    <row r="95" spans="1:13" x14ac:dyDescent="0.35">
      <c r="A95" t="str">
        <f t="shared" ref="A95:A102" si="13">+RIGHT(C95, LEN(C95) - FIND("|", C95))</f>
        <v>442.4</v>
      </c>
      <c r="B95" s="88" t="s">
        <v>531</v>
      </c>
      <c r="C95" s="87" t="s">
        <v>655</v>
      </c>
      <c r="D95" s="86" t="s">
        <v>164</v>
      </c>
      <c r="E95" s="86" t="s">
        <v>984</v>
      </c>
      <c r="F95" s="84">
        <v>1</v>
      </c>
      <c r="G95" s="84">
        <v>1</v>
      </c>
      <c r="H95" s="85">
        <v>90</v>
      </c>
      <c r="I95" s="85">
        <v>5</v>
      </c>
      <c r="J95" s="85">
        <f t="shared" si="10"/>
        <v>95</v>
      </c>
      <c r="K95" s="84">
        <v>2</v>
      </c>
      <c r="L95" s="75">
        <v>4</v>
      </c>
      <c r="M95" s="76">
        <f t="shared" si="11"/>
        <v>101</v>
      </c>
    </row>
    <row r="96" spans="1:13" x14ac:dyDescent="0.35">
      <c r="A96" t="str">
        <f t="shared" si="13"/>
        <v>508</v>
      </c>
      <c r="B96" s="88">
        <v>508</v>
      </c>
      <c r="C96" s="87" t="s">
        <v>656</v>
      </c>
      <c r="D96" s="86" t="s">
        <v>154</v>
      </c>
      <c r="E96" s="86" t="s">
        <v>984</v>
      </c>
      <c r="F96" s="84">
        <v>1</v>
      </c>
      <c r="G96" s="84">
        <v>1</v>
      </c>
      <c r="H96" s="85">
        <v>90</v>
      </c>
      <c r="I96" s="85">
        <v>5</v>
      </c>
      <c r="J96" s="85">
        <f t="shared" si="10"/>
        <v>95</v>
      </c>
      <c r="K96" s="84">
        <v>2</v>
      </c>
      <c r="L96" s="75">
        <v>4</v>
      </c>
      <c r="M96" s="76">
        <f t="shared" si="11"/>
        <v>101</v>
      </c>
    </row>
    <row r="97" spans="1:13" x14ac:dyDescent="0.35">
      <c r="A97" t="str">
        <f t="shared" si="13"/>
        <v>981.2</v>
      </c>
      <c r="B97" s="88" t="s">
        <v>556</v>
      </c>
      <c r="C97" s="86" t="s">
        <v>657</v>
      </c>
      <c r="D97" s="86" t="s">
        <v>171</v>
      </c>
      <c r="E97" s="86" t="s">
        <v>982</v>
      </c>
      <c r="F97" s="89">
        <f>25/1000</f>
        <v>2.5000000000000001E-2</v>
      </c>
      <c r="G97" s="89">
        <f>25/1000</f>
        <v>2.5000000000000001E-2</v>
      </c>
      <c r="H97" s="85">
        <v>15</v>
      </c>
      <c r="I97" s="85">
        <v>2</v>
      </c>
      <c r="J97" s="85">
        <f t="shared" si="10"/>
        <v>17</v>
      </c>
      <c r="K97" s="84">
        <v>2</v>
      </c>
      <c r="L97" s="75">
        <v>4</v>
      </c>
      <c r="M97" s="76">
        <f t="shared" si="11"/>
        <v>23</v>
      </c>
    </row>
    <row r="98" spans="1:13" x14ac:dyDescent="0.35">
      <c r="A98" t="str">
        <f t="shared" si="13"/>
        <v>456.12</v>
      </c>
      <c r="B98" s="88" t="s">
        <v>533</v>
      </c>
      <c r="C98" s="86" t="s">
        <v>658</v>
      </c>
      <c r="D98" s="86" t="s">
        <v>153</v>
      </c>
      <c r="E98" s="86" t="s">
        <v>982</v>
      </c>
      <c r="F98" s="89">
        <f>30/1000</f>
        <v>0.03</v>
      </c>
      <c r="G98" s="89">
        <f>30/1000</f>
        <v>0.03</v>
      </c>
      <c r="H98" s="85">
        <v>15</v>
      </c>
      <c r="I98" s="85">
        <v>2</v>
      </c>
      <c r="J98" s="85">
        <f t="shared" ref="J98:J102" si="14">+I98+H98</f>
        <v>17</v>
      </c>
      <c r="K98" s="84">
        <v>2</v>
      </c>
      <c r="L98" s="75">
        <v>4</v>
      </c>
      <c r="M98" s="76">
        <f t="shared" si="11"/>
        <v>23</v>
      </c>
    </row>
    <row r="99" spans="1:13" x14ac:dyDescent="0.35">
      <c r="A99" t="str">
        <f t="shared" si="13"/>
        <v>456.9</v>
      </c>
      <c r="B99" s="88" t="s">
        <v>534</v>
      </c>
      <c r="C99" s="96" t="s">
        <v>659</v>
      </c>
      <c r="D99" s="86" t="s">
        <v>158</v>
      </c>
      <c r="E99" s="86" t="s">
        <v>982</v>
      </c>
      <c r="F99" s="89">
        <f t="shared" ref="F99:G102" si="15">25/1000</f>
        <v>2.5000000000000001E-2</v>
      </c>
      <c r="G99" s="89">
        <f t="shared" si="15"/>
        <v>2.5000000000000001E-2</v>
      </c>
      <c r="H99" s="85">
        <v>15</v>
      </c>
      <c r="I99" s="85">
        <v>2</v>
      </c>
      <c r="J99" s="85">
        <f t="shared" si="14"/>
        <v>17</v>
      </c>
      <c r="K99" s="84">
        <v>2</v>
      </c>
      <c r="L99" s="75">
        <v>4</v>
      </c>
      <c r="M99" s="76">
        <f t="shared" si="11"/>
        <v>23</v>
      </c>
    </row>
    <row r="100" spans="1:13" x14ac:dyDescent="0.35">
      <c r="A100" t="str">
        <f t="shared" si="13"/>
        <v>455.3</v>
      </c>
      <c r="B100" s="88" t="s">
        <v>532</v>
      </c>
      <c r="C100" s="86" t="s">
        <v>660</v>
      </c>
      <c r="D100" s="86" t="s">
        <v>150</v>
      </c>
      <c r="E100" s="86" t="s">
        <v>982</v>
      </c>
      <c r="F100" s="89">
        <f t="shared" si="15"/>
        <v>2.5000000000000001E-2</v>
      </c>
      <c r="G100" s="89">
        <f t="shared" si="15"/>
        <v>2.5000000000000001E-2</v>
      </c>
      <c r="H100" s="85">
        <v>15</v>
      </c>
      <c r="I100" s="85">
        <v>2</v>
      </c>
      <c r="J100" s="85">
        <f t="shared" si="14"/>
        <v>17</v>
      </c>
      <c r="K100" s="84">
        <v>2</v>
      </c>
      <c r="L100" s="75">
        <v>4</v>
      </c>
      <c r="M100" s="76">
        <f t="shared" si="11"/>
        <v>23</v>
      </c>
    </row>
    <row r="101" spans="1:13" x14ac:dyDescent="0.35">
      <c r="A101" t="str">
        <f t="shared" si="13"/>
        <v>1007.5</v>
      </c>
      <c r="B101" s="88" t="s">
        <v>495</v>
      </c>
      <c r="C101" s="86" t="s">
        <v>661</v>
      </c>
      <c r="D101" s="86" t="s">
        <v>141</v>
      </c>
      <c r="E101" s="86" t="s">
        <v>982</v>
      </c>
      <c r="F101" s="89">
        <f t="shared" si="15"/>
        <v>2.5000000000000001E-2</v>
      </c>
      <c r="G101" s="89">
        <f t="shared" si="15"/>
        <v>2.5000000000000001E-2</v>
      </c>
      <c r="H101" s="85">
        <v>15</v>
      </c>
      <c r="I101" s="85">
        <v>2</v>
      </c>
      <c r="J101" s="85">
        <f t="shared" si="14"/>
        <v>17</v>
      </c>
      <c r="K101" s="84">
        <v>2</v>
      </c>
      <c r="L101" s="75">
        <v>4</v>
      </c>
      <c r="M101" s="76">
        <f t="shared" si="11"/>
        <v>23</v>
      </c>
    </row>
    <row r="102" spans="1:13" x14ac:dyDescent="0.35">
      <c r="A102" t="str">
        <f t="shared" si="13"/>
        <v>461</v>
      </c>
      <c r="B102" s="88">
        <v>461</v>
      </c>
      <c r="C102" s="86" t="s">
        <v>662</v>
      </c>
      <c r="D102" s="86" t="s">
        <v>176</v>
      </c>
      <c r="E102" s="86" t="s">
        <v>982</v>
      </c>
      <c r="F102" s="89">
        <f t="shared" si="15"/>
        <v>2.5000000000000001E-2</v>
      </c>
      <c r="G102" s="89">
        <f t="shared" si="15"/>
        <v>2.5000000000000001E-2</v>
      </c>
      <c r="H102" s="85">
        <v>15</v>
      </c>
      <c r="I102" s="85">
        <v>2</v>
      </c>
      <c r="J102" s="85">
        <f t="shared" si="14"/>
        <v>17</v>
      </c>
      <c r="K102" s="84">
        <v>2</v>
      </c>
      <c r="L102" s="75">
        <v>4</v>
      </c>
      <c r="M102" s="76">
        <f t="shared" si="11"/>
        <v>23</v>
      </c>
    </row>
    <row r="103" spans="1:13" x14ac:dyDescent="0.35">
      <c r="A103"/>
      <c r="B103" s="88"/>
      <c r="C103" s="92"/>
      <c r="D103" s="86"/>
      <c r="E103" s="86"/>
      <c r="F103" s="89"/>
      <c r="G103" s="89"/>
      <c r="H103" s="85"/>
      <c r="I103" s="85"/>
      <c r="J103" s="85"/>
      <c r="K103" s="84"/>
      <c r="M103" s="76"/>
    </row>
    <row r="104" spans="1:13" x14ac:dyDescent="0.35">
      <c r="A104"/>
      <c r="B104" s="88"/>
      <c r="C104" s="86"/>
      <c r="D104" s="86"/>
      <c r="E104" s="86"/>
      <c r="F104" s="89"/>
      <c r="G104" s="89"/>
      <c r="H104" s="85"/>
      <c r="I104" s="85"/>
      <c r="J104" s="85"/>
      <c r="K104" s="84"/>
      <c r="M104" s="76"/>
    </row>
    <row r="105" spans="1:13" x14ac:dyDescent="0.35">
      <c r="A105"/>
      <c r="B105" s="88"/>
      <c r="C105" s="112"/>
      <c r="D105" s="86"/>
      <c r="E105" s="86"/>
      <c r="F105" s="84"/>
      <c r="G105" s="84"/>
      <c r="H105" s="85"/>
      <c r="I105" s="85"/>
      <c r="J105" s="85"/>
      <c r="K105" s="84"/>
      <c r="M105" s="76"/>
    </row>
    <row r="106" spans="1:13" x14ac:dyDescent="0.35">
      <c r="A106"/>
      <c r="B106" s="88"/>
      <c r="C106" s="87"/>
      <c r="D106" s="86"/>
      <c r="E106" s="86"/>
      <c r="F106" s="84"/>
      <c r="G106" s="84"/>
      <c r="H106" s="85"/>
      <c r="I106" s="85"/>
      <c r="J106" s="85"/>
      <c r="K106" s="84"/>
      <c r="M106" s="76"/>
    </row>
    <row r="107" spans="1:13" x14ac:dyDescent="0.35">
      <c r="A107"/>
      <c r="B107" s="88"/>
      <c r="C107" s="87"/>
      <c r="D107" s="86"/>
      <c r="E107" s="86"/>
      <c r="F107" s="84"/>
      <c r="G107" s="84"/>
      <c r="H107" s="85"/>
      <c r="I107" s="85"/>
      <c r="J107" s="85"/>
      <c r="K107" s="84"/>
      <c r="M107" s="76"/>
    </row>
    <row r="108" spans="1:13" x14ac:dyDescent="0.35">
      <c r="A108"/>
      <c r="B108" s="88"/>
      <c r="C108" s="86"/>
      <c r="D108" s="86"/>
      <c r="E108" s="86"/>
      <c r="F108" s="89"/>
      <c r="G108" s="89"/>
      <c r="H108" s="85"/>
      <c r="I108" s="85"/>
      <c r="J108" s="85"/>
      <c r="K108" s="84"/>
      <c r="M108" s="76"/>
    </row>
    <row r="109" spans="1:13" x14ac:dyDescent="0.35">
      <c r="A109"/>
      <c r="B109" s="88"/>
      <c r="C109" s="96"/>
      <c r="D109" s="86"/>
      <c r="E109" s="86"/>
      <c r="F109" s="89"/>
      <c r="G109" s="89"/>
      <c r="H109" s="85"/>
      <c r="I109" s="85"/>
      <c r="J109" s="85"/>
      <c r="K109" s="84"/>
      <c r="M109" s="76"/>
    </row>
    <row r="110" spans="1:13" x14ac:dyDescent="0.35">
      <c r="A110"/>
      <c r="B110" s="88"/>
      <c r="C110" s="86"/>
      <c r="D110" s="86"/>
      <c r="E110" s="86"/>
      <c r="F110" s="89"/>
      <c r="G110" s="89"/>
      <c r="H110" s="85"/>
      <c r="I110" s="85"/>
      <c r="J110" s="85"/>
      <c r="K110" s="84"/>
      <c r="M110" s="76"/>
    </row>
    <row r="111" spans="1:13" x14ac:dyDescent="0.35">
      <c r="A111"/>
      <c r="B111" s="88"/>
      <c r="C111" s="86"/>
      <c r="D111" s="86"/>
      <c r="E111" s="86"/>
      <c r="F111" s="89"/>
      <c r="G111" s="89"/>
      <c r="H111" s="85"/>
      <c r="I111" s="85"/>
      <c r="J111" s="85"/>
      <c r="K111" s="84"/>
      <c r="M111" s="76"/>
    </row>
    <row r="112" spans="1:13" x14ac:dyDescent="0.35">
      <c r="A112"/>
      <c r="B112" s="88"/>
      <c r="C112" s="86"/>
      <c r="D112" s="86"/>
      <c r="E112" s="86"/>
      <c r="F112" s="89"/>
      <c r="G112" s="89"/>
      <c r="H112" s="84"/>
      <c r="I112" s="85"/>
      <c r="J112" s="85"/>
      <c r="K112" s="84"/>
      <c r="M112" s="76"/>
    </row>
    <row r="113" spans="1:13" x14ac:dyDescent="0.35">
      <c r="A113"/>
      <c r="B113" s="88"/>
      <c r="C113" s="92"/>
      <c r="D113" s="86"/>
      <c r="E113" s="86"/>
      <c r="F113" s="89"/>
      <c r="G113" s="89"/>
      <c r="H113" s="85"/>
      <c r="I113" s="85"/>
      <c r="J113" s="85"/>
      <c r="K113" s="84"/>
      <c r="M113" s="76"/>
    </row>
    <row r="114" spans="1:13" x14ac:dyDescent="0.35">
      <c r="A114"/>
      <c r="B114" s="88"/>
      <c r="C114" s="86"/>
      <c r="D114" s="86"/>
      <c r="E114" s="86"/>
      <c r="F114" s="89"/>
      <c r="G114" s="89"/>
      <c r="H114" s="85"/>
      <c r="I114" s="85"/>
      <c r="J114" s="85"/>
      <c r="K114" s="84"/>
      <c r="M114" s="76"/>
    </row>
    <row r="115" spans="1:13" x14ac:dyDescent="0.35">
      <c r="A115"/>
      <c r="B115" s="88"/>
      <c r="C115" s="86"/>
      <c r="D115" s="86"/>
      <c r="E115" s="86"/>
      <c r="F115" s="84"/>
      <c r="G115" s="84"/>
      <c r="H115" s="84"/>
      <c r="I115" s="85"/>
      <c r="J115" s="85"/>
      <c r="K115" s="84"/>
      <c r="M115" s="76"/>
    </row>
    <row r="116" spans="1:13" x14ac:dyDescent="0.35">
      <c r="A116"/>
      <c r="B116" s="88"/>
      <c r="C116" s="87"/>
      <c r="D116" s="86"/>
      <c r="E116" s="86"/>
      <c r="F116" s="84"/>
      <c r="G116" s="84"/>
      <c r="H116" s="85"/>
      <c r="I116" s="85"/>
      <c r="J116" s="85"/>
      <c r="K116" s="84"/>
      <c r="M116" s="76"/>
    </row>
    <row r="117" spans="1:13" x14ac:dyDescent="0.35">
      <c r="A117"/>
      <c r="B117" s="88"/>
      <c r="C117" s="86"/>
      <c r="D117" s="86"/>
      <c r="E117" s="86"/>
      <c r="F117" s="89"/>
      <c r="G117" s="89"/>
      <c r="H117" s="85"/>
      <c r="I117" s="85"/>
      <c r="J117" s="85"/>
      <c r="K117" s="84"/>
      <c r="M117" s="76"/>
    </row>
    <row r="118" spans="1:13" x14ac:dyDescent="0.35">
      <c r="A118"/>
      <c r="B118" s="109"/>
      <c r="C118" s="83"/>
      <c r="D118" s="86"/>
      <c r="E118" s="83"/>
      <c r="F118" s="81"/>
      <c r="G118" s="81"/>
      <c r="H118" s="81"/>
      <c r="I118" s="82"/>
      <c r="J118" s="85"/>
      <c r="K118" s="84"/>
      <c r="M118" s="76"/>
    </row>
    <row r="119" spans="1:13" x14ac:dyDescent="0.35">
      <c r="A119"/>
      <c r="B119" s="80"/>
      <c r="C119" s="79"/>
      <c r="D119" s="86"/>
      <c r="E119" s="79"/>
      <c r="F119" s="113"/>
      <c r="G119" s="113"/>
      <c r="H119" s="78"/>
      <c r="I119" s="78"/>
      <c r="J119" s="85"/>
      <c r="K119" s="84"/>
      <c r="M119" s="76"/>
    </row>
  </sheetData>
  <autoFilter ref="A1:M102" xr:uid="{FDE360DA-C4A8-4B31-AABA-AC56C8D3B3E0}"/>
  <conditionalFormatting sqref="D1:D1048576">
    <cfRule type="duplicateValues" dxfId="30" priority="1"/>
  </conditionalFormatting>
  <pageMargins left="0.7" right="0.7" top="0.75" bottom="0.75" header="0.3" footer="0.3"/>
  <pageSetup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6FA8-2B03-4601-A6CA-0E09785DAA17}">
  <sheetPr codeName="Hoja3" filterMode="1">
    <tabColor theme="7" tint="0.39997558519241921"/>
  </sheetPr>
  <dimension ref="A1:R492"/>
  <sheetViews>
    <sheetView topLeftCell="C1" zoomScale="68" zoomScaleNormal="68" workbookViewId="0">
      <selection activeCell="H15" sqref="H15"/>
    </sheetView>
  </sheetViews>
  <sheetFormatPr baseColWidth="10" defaultRowHeight="14.5" x14ac:dyDescent="0.35"/>
  <cols>
    <col min="1" max="1" width="65" bestFit="1" customWidth="1"/>
    <col min="2" max="2" width="12.6328125" bestFit="1" customWidth="1"/>
    <col min="3" max="3" width="47.7265625" bestFit="1" customWidth="1"/>
    <col min="4" max="4" width="9.81640625" bestFit="1" customWidth="1"/>
    <col min="5" max="5" width="9.1796875" bestFit="1" customWidth="1"/>
    <col min="6" max="6" width="10" bestFit="1" customWidth="1"/>
    <col min="7" max="7" width="9.54296875" bestFit="1" customWidth="1"/>
    <col min="8" max="8" width="10" bestFit="1" customWidth="1"/>
    <col min="9" max="9" width="9.453125" bestFit="1" customWidth="1"/>
    <col min="10" max="10" width="10.26953125" bestFit="1" customWidth="1"/>
    <col min="11" max="11" width="9.453125" bestFit="1" customWidth="1"/>
    <col min="12" max="12" width="8.90625" bestFit="1" customWidth="1"/>
    <col min="13" max="13" width="12.36328125" customWidth="1"/>
    <col min="14" max="15" width="12.6328125" bestFit="1" customWidth="1"/>
    <col min="16" max="16" width="11.6328125" bestFit="1" customWidth="1"/>
  </cols>
  <sheetData>
    <row r="1" spans="1:17" x14ac:dyDescent="0.35">
      <c r="A1" t="s">
        <v>562</v>
      </c>
      <c r="B1" s="51">
        <v>45407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7" x14ac:dyDescent="0.35">
      <c r="A2" s="2"/>
      <c r="O2" s="114"/>
      <c r="P2" s="114"/>
    </row>
    <row r="3" spans="1:17" x14ac:dyDescent="0.35">
      <c r="D3" s="1">
        <f t="shared" ref="D3:O3" si="0">+SUM(D5:D103)</f>
        <v>8459.4</v>
      </c>
      <c r="E3" s="1">
        <f t="shared" si="0"/>
        <v>9063.880000000001</v>
      </c>
      <c r="F3" s="1">
        <f t="shared" si="0"/>
        <v>7644.5499999999984</v>
      </c>
      <c r="G3" s="1">
        <f t="shared" si="0"/>
        <v>7710.0900000000011</v>
      </c>
      <c r="H3" s="1">
        <f t="shared" si="0"/>
        <v>7509.96</v>
      </c>
      <c r="I3" s="1">
        <f t="shared" si="0"/>
        <v>7883.89</v>
      </c>
      <c r="J3" s="1">
        <f t="shared" si="0"/>
        <v>7536.95</v>
      </c>
      <c r="K3" s="1">
        <f t="shared" si="0"/>
        <v>6972.33</v>
      </c>
      <c r="L3" s="1">
        <f t="shared" si="0"/>
        <v>6952.8799999999974</v>
      </c>
      <c r="M3" s="1">
        <f t="shared" si="0"/>
        <v>6904.67</v>
      </c>
      <c r="N3" s="1">
        <f t="shared" si="0"/>
        <v>6867.23</v>
      </c>
      <c r="O3" s="1">
        <f t="shared" si="0"/>
        <v>6987.3200000000015</v>
      </c>
      <c r="P3" s="1"/>
      <c r="Q3" s="52" t="s">
        <v>563</v>
      </c>
    </row>
    <row r="4" spans="1:17" x14ac:dyDescent="0.35">
      <c r="A4" s="56" t="s">
        <v>11</v>
      </c>
      <c r="B4" s="100" t="s">
        <v>1082</v>
      </c>
      <c r="C4" s="100" t="s">
        <v>1172</v>
      </c>
      <c r="D4" s="106">
        <v>45597</v>
      </c>
      <c r="E4" s="106">
        <v>45627</v>
      </c>
      <c r="F4" s="106">
        <v>45658</v>
      </c>
      <c r="G4" s="106">
        <v>45689</v>
      </c>
      <c r="H4" s="106">
        <v>45717</v>
      </c>
      <c r="I4" s="106">
        <v>45748</v>
      </c>
      <c r="J4" s="106">
        <v>45778</v>
      </c>
      <c r="K4" s="106">
        <v>45809</v>
      </c>
      <c r="L4" s="106">
        <v>45839</v>
      </c>
      <c r="M4" s="106">
        <v>45870</v>
      </c>
      <c r="N4" s="106">
        <v>45901</v>
      </c>
      <c r="O4" s="106">
        <v>45931</v>
      </c>
      <c r="P4" s="99"/>
      <c r="Q4" s="2" t="s">
        <v>564</v>
      </c>
    </row>
    <row r="5" spans="1:17" hidden="1" x14ac:dyDescent="0.35">
      <c r="A5" t="s">
        <v>66</v>
      </c>
      <c r="B5">
        <v>732</v>
      </c>
      <c r="C5" t="s">
        <v>1115</v>
      </c>
      <c r="D5" s="14">
        <v>2.08</v>
      </c>
      <c r="E5" s="14">
        <v>2.25</v>
      </c>
      <c r="F5" s="14">
        <v>0.95</v>
      </c>
      <c r="G5" s="14">
        <v>1.31</v>
      </c>
      <c r="H5" s="14">
        <v>0.96</v>
      </c>
      <c r="I5" s="14">
        <v>0.99</v>
      </c>
      <c r="J5" s="14">
        <v>1.03</v>
      </c>
      <c r="K5" s="14">
        <v>1.05</v>
      </c>
      <c r="L5" s="14">
        <v>0.97</v>
      </c>
      <c r="M5" s="14">
        <v>1.01</v>
      </c>
      <c r="N5" s="14">
        <v>0.97</v>
      </c>
      <c r="O5" s="14">
        <v>0.95</v>
      </c>
      <c r="P5" s="97"/>
      <c r="Q5" t="e">
        <f>+VLOOKUP(A5,#REF!,1,0)</f>
        <v>#REF!</v>
      </c>
    </row>
    <row r="6" spans="1:17" hidden="1" x14ac:dyDescent="0.35">
      <c r="A6" t="s">
        <v>94</v>
      </c>
      <c r="B6">
        <v>42</v>
      </c>
      <c r="C6" t="s">
        <v>1091</v>
      </c>
      <c r="D6" s="14">
        <v>183.18</v>
      </c>
      <c r="E6" s="14">
        <v>208.62</v>
      </c>
      <c r="F6" s="14">
        <v>134.80000000000001</v>
      </c>
      <c r="G6" s="14">
        <v>143.86000000000001</v>
      </c>
      <c r="H6" s="14">
        <v>138.80000000000001</v>
      </c>
      <c r="I6" s="14">
        <v>167.82</v>
      </c>
      <c r="J6" s="14">
        <v>126.23</v>
      </c>
      <c r="K6" s="14">
        <v>124.56</v>
      </c>
      <c r="L6" s="14">
        <v>124.19</v>
      </c>
      <c r="M6" s="14">
        <v>127.36</v>
      </c>
      <c r="N6" s="14">
        <v>123.91</v>
      </c>
      <c r="O6" s="14">
        <v>125.99</v>
      </c>
      <c r="P6" s="97"/>
      <c r="Q6" t="e">
        <f>+VLOOKUP(A6,#REF!,1,0)</f>
        <v>#REF!</v>
      </c>
    </row>
    <row r="7" spans="1:17" hidden="1" x14ac:dyDescent="0.35">
      <c r="A7" t="s">
        <v>95</v>
      </c>
      <c r="B7" t="s">
        <v>812</v>
      </c>
      <c r="C7" t="s">
        <v>1100</v>
      </c>
      <c r="D7" s="14">
        <v>20.350000000000001</v>
      </c>
      <c r="E7" s="14">
        <v>21.07</v>
      </c>
      <c r="F7" s="14">
        <v>21.06</v>
      </c>
      <c r="G7" s="14">
        <v>21.19</v>
      </c>
      <c r="H7" s="14">
        <v>21.37</v>
      </c>
      <c r="I7" s="14">
        <v>22.19</v>
      </c>
      <c r="J7" s="14">
        <v>23.98</v>
      </c>
      <c r="K7" s="14">
        <v>19.77</v>
      </c>
      <c r="L7" s="14">
        <v>19.850000000000001</v>
      </c>
      <c r="M7" s="14">
        <v>19.62</v>
      </c>
      <c r="N7" s="14">
        <v>19.95</v>
      </c>
      <c r="O7" s="14">
        <v>19.86</v>
      </c>
      <c r="P7" s="97"/>
      <c r="Q7" t="e">
        <f>+VLOOKUP(A7,#REF!,1,0)</f>
        <v>#REF!</v>
      </c>
    </row>
    <row r="8" spans="1:17" hidden="1" x14ac:dyDescent="0.35">
      <c r="A8" t="s">
        <v>67</v>
      </c>
      <c r="B8">
        <v>1039</v>
      </c>
      <c r="C8" t="s">
        <v>1146</v>
      </c>
      <c r="D8" s="14">
        <v>0.28000000000000003</v>
      </c>
      <c r="E8" s="14">
        <v>0.25</v>
      </c>
      <c r="F8" s="14">
        <v>0.26</v>
      </c>
      <c r="G8" s="14">
        <v>0.28000000000000003</v>
      </c>
      <c r="H8" s="14">
        <v>0.28000000000000003</v>
      </c>
      <c r="I8" s="14">
        <v>0.28999999999999998</v>
      </c>
      <c r="J8" s="14">
        <v>0.31</v>
      </c>
      <c r="K8" s="14">
        <v>0.26</v>
      </c>
      <c r="L8" s="14">
        <v>0.25</v>
      </c>
      <c r="M8" s="14">
        <v>0.26</v>
      </c>
      <c r="N8" s="14">
        <v>0.27</v>
      </c>
      <c r="O8" s="14">
        <v>0.27</v>
      </c>
      <c r="P8" s="97"/>
      <c r="Q8" t="e">
        <f>+VLOOKUP(A8,#REF!,1,0)</f>
        <v>#REF!</v>
      </c>
    </row>
    <row r="9" spans="1:17" hidden="1" x14ac:dyDescent="0.35">
      <c r="A9" t="s">
        <v>68</v>
      </c>
      <c r="B9">
        <v>1010</v>
      </c>
      <c r="C9" t="s">
        <v>1147</v>
      </c>
      <c r="D9" s="14">
        <v>0.3</v>
      </c>
      <c r="E9" s="14">
        <v>0.3</v>
      </c>
      <c r="F9" s="14">
        <v>0.3</v>
      </c>
      <c r="G9" s="14">
        <v>0.3</v>
      </c>
      <c r="H9" s="14">
        <v>0.3</v>
      </c>
      <c r="I9" s="14">
        <v>0.3</v>
      </c>
      <c r="J9" s="14">
        <v>0.3</v>
      </c>
      <c r="K9" s="14">
        <v>0.3</v>
      </c>
      <c r="L9" s="14">
        <v>0.3</v>
      </c>
      <c r="M9" s="14">
        <v>0.3</v>
      </c>
      <c r="N9" s="14">
        <v>0.3</v>
      </c>
      <c r="O9" s="14">
        <v>0.3</v>
      </c>
      <c r="P9" s="97"/>
      <c r="Q9" t="e">
        <f>+VLOOKUP(A9,#REF!,1,0)</f>
        <v>#REF!</v>
      </c>
    </row>
    <row r="10" spans="1:17" hidden="1" x14ac:dyDescent="0.35">
      <c r="A10" t="s">
        <v>96</v>
      </c>
      <c r="B10">
        <v>301</v>
      </c>
      <c r="C10" t="s">
        <v>1109</v>
      </c>
      <c r="D10" s="14">
        <v>12.87</v>
      </c>
      <c r="E10" s="14">
        <v>10.46</v>
      </c>
      <c r="F10" s="14">
        <v>10.5</v>
      </c>
      <c r="G10" s="14">
        <v>10.54</v>
      </c>
      <c r="H10" s="14">
        <v>10.81</v>
      </c>
      <c r="I10" s="14">
        <v>11.04</v>
      </c>
      <c r="J10" s="14">
        <v>10.87</v>
      </c>
      <c r="K10" s="14">
        <v>10.82</v>
      </c>
      <c r="L10" s="14">
        <v>11.14</v>
      </c>
      <c r="M10" s="14">
        <v>10.87</v>
      </c>
      <c r="N10" s="14">
        <v>10.47</v>
      </c>
      <c r="O10" s="14">
        <v>14</v>
      </c>
      <c r="P10" s="97"/>
      <c r="Q10" t="e">
        <f>+VLOOKUP(A10,#REF!,1,0)</f>
        <v>#REF!</v>
      </c>
    </row>
    <row r="11" spans="1:17" hidden="1" x14ac:dyDescent="0.35">
      <c r="A11" t="s">
        <v>97</v>
      </c>
      <c r="B11">
        <v>200</v>
      </c>
      <c r="C11" t="s">
        <v>527</v>
      </c>
      <c r="D11" s="14">
        <v>161.11000000000001</v>
      </c>
      <c r="E11" s="14">
        <v>161.08000000000001</v>
      </c>
      <c r="F11" s="14">
        <v>158.13999999999999</v>
      </c>
      <c r="G11" s="14">
        <v>157.84</v>
      </c>
      <c r="H11" s="14">
        <v>157.22</v>
      </c>
      <c r="I11" s="14">
        <v>157.94</v>
      </c>
      <c r="J11" s="14">
        <v>160.69</v>
      </c>
      <c r="K11" s="14">
        <v>158.83000000000001</v>
      </c>
      <c r="L11" s="14">
        <v>161.44</v>
      </c>
      <c r="M11" s="14">
        <v>156.05000000000001</v>
      </c>
      <c r="N11" s="14">
        <v>152.30000000000001</v>
      </c>
      <c r="O11" s="14">
        <v>153.54</v>
      </c>
      <c r="P11" s="97"/>
      <c r="Q11" t="e">
        <f>+VLOOKUP(A11,#REF!,1,0)</f>
        <v>#REF!</v>
      </c>
    </row>
    <row r="12" spans="1:17" hidden="1" x14ac:dyDescent="0.35">
      <c r="A12" t="s">
        <v>69</v>
      </c>
      <c r="B12">
        <v>317</v>
      </c>
      <c r="C12" t="s">
        <v>1150</v>
      </c>
      <c r="D12" s="14">
        <v>0.21</v>
      </c>
      <c r="E12" s="14">
        <v>0.22</v>
      </c>
      <c r="F12" s="14">
        <v>0.21</v>
      </c>
      <c r="G12" s="14">
        <v>0.2</v>
      </c>
      <c r="H12" s="14">
        <v>0.21</v>
      </c>
      <c r="I12" s="14">
        <v>0.22</v>
      </c>
      <c r="J12" s="14">
        <v>0.2</v>
      </c>
      <c r="K12" s="14">
        <v>0.19</v>
      </c>
      <c r="L12" s="14">
        <v>0.19</v>
      </c>
      <c r="M12" s="14">
        <v>0.2</v>
      </c>
      <c r="N12" s="14">
        <v>0.2</v>
      </c>
      <c r="O12" s="14">
        <v>0.21</v>
      </c>
      <c r="P12" s="97"/>
      <c r="Q12" t="e">
        <f>+VLOOKUP(A12,#REF!,1,0)</f>
        <v>#REF!</v>
      </c>
    </row>
    <row r="13" spans="1:17" hidden="1" x14ac:dyDescent="0.35">
      <c r="A13" t="s">
        <v>70</v>
      </c>
      <c r="B13">
        <v>901</v>
      </c>
      <c r="C13" t="s">
        <v>1126</v>
      </c>
      <c r="D13" s="14">
        <v>1.51</v>
      </c>
      <c r="E13" s="14">
        <v>1.4</v>
      </c>
      <c r="F13" s="14">
        <v>0.41</v>
      </c>
      <c r="G13" s="14">
        <v>0.54</v>
      </c>
      <c r="H13" s="14">
        <v>0.34</v>
      </c>
      <c r="I13" s="14">
        <v>0.34</v>
      </c>
      <c r="J13" s="14">
        <v>0.3</v>
      </c>
      <c r="K13" s="14">
        <v>0.3</v>
      </c>
      <c r="L13" s="14">
        <v>0.28999999999999998</v>
      </c>
      <c r="M13" s="14">
        <v>0.31</v>
      </c>
      <c r="N13" s="14">
        <v>0.28999999999999998</v>
      </c>
      <c r="O13" s="14">
        <v>0.28000000000000003</v>
      </c>
      <c r="P13" s="97"/>
      <c r="Q13" t="e">
        <f>+VLOOKUP(A13,#REF!,1,0)</f>
        <v>#REF!</v>
      </c>
    </row>
    <row r="14" spans="1:17" hidden="1" x14ac:dyDescent="0.35">
      <c r="A14" t="s">
        <v>71</v>
      </c>
      <c r="B14">
        <v>929</v>
      </c>
      <c r="C14" t="s">
        <v>1154</v>
      </c>
      <c r="D14" s="14">
        <v>0.06</v>
      </c>
      <c r="E14" s="14">
        <v>0.06</v>
      </c>
      <c r="F14" s="14">
        <v>0.06</v>
      </c>
      <c r="G14" s="14">
        <v>0.06</v>
      </c>
      <c r="H14" s="14">
        <v>0.06</v>
      </c>
      <c r="I14" s="14">
        <v>0.06</v>
      </c>
      <c r="J14" s="14">
        <v>0.06</v>
      </c>
      <c r="K14" s="14">
        <v>0.06</v>
      </c>
      <c r="L14" s="14">
        <v>0.06</v>
      </c>
      <c r="M14" s="14">
        <v>0.06</v>
      </c>
      <c r="N14" s="14">
        <v>0.06</v>
      </c>
      <c r="O14" s="14">
        <v>0.06</v>
      </c>
      <c r="P14" s="97"/>
      <c r="Q14" t="e">
        <f>+VLOOKUP(A14,#REF!,1,0)</f>
        <v>#REF!</v>
      </c>
    </row>
    <row r="15" spans="1:17" hidden="1" x14ac:dyDescent="0.35">
      <c r="A15" t="s">
        <v>1191</v>
      </c>
      <c r="B15" t="s">
        <v>1046</v>
      </c>
      <c r="C15" t="s">
        <v>1191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97"/>
      <c r="Q15" t="e">
        <f>+VLOOKUP(A15,#REF!,1,0)</f>
        <v>#REF!</v>
      </c>
    </row>
    <row r="16" spans="1:17" hidden="1" x14ac:dyDescent="0.35">
      <c r="A16" t="s">
        <v>72</v>
      </c>
      <c r="B16">
        <v>900</v>
      </c>
      <c r="C16" t="s">
        <v>1161</v>
      </c>
      <c r="D16" s="14">
        <v>0.03</v>
      </c>
      <c r="E16" s="14">
        <v>0.03</v>
      </c>
      <c r="F16" s="14">
        <v>0.03</v>
      </c>
      <c r="G16" s="14">
        <v>0.03</v>
      </c>
      <c r="H16" s="14">
        <v>0.03</v>
      </c>
      <c r="I16" s="14">
        <v>0.03</v>
      </c>
      <c r="J16" s="14">
        <v>0.03</v>
      </c>
      <c r="K16" s="14">
        <v>0.03</v>
      </c>
      <c r="L16" s="14">
        <v>0.03</v>
      </c>
      <c r="M16" s="14">
        <v>0.03</v>
      </c>
      <c r="N16" s="14">
        <v>0.03</v>
      </c>
      <c r="O16" s="14">
        <v>0.03</v>
      </c>
      <c r="P16" s="97"/>
      <c r="Q16" t="e">
        <f>+VLOOKUP(A16,#REF!,1,0)</f>
        <v>#REF!</v>
      </c>
    </row>
    <row r="17" spans="1:17" hidden="1" x14ac:dyDescent="0.35">
      <c r="A17" t="s">
        <v>73</v>
      </c>
      <c r="B17">
        <v>1009</v>
      </c>
      <c r="C17" t="s">
        <v>1116</v>
      </c>
      <c r="D17" s="14">
        <v>1.67</v>
      </c>
      <c r="E17" s="14">
        <v>1.77</v>
      </c>
      <c r="F17" s="14">
        <v>1.78</v>
      </c>
      <c r="G17" s="14">
        <v>1.77</v>
      </c>
      <c r="H17" s="14">
        <v>1.81</v>
      </c>
      <c r="I17" s="14">
        <v>1.83</v>
      </c>
      <c r="J17" s="14">
        <v>2</v>
      </c>
      <c r="K17" s="14">
        <v>1.77</v>
      </c>
      <c r="L17" s="14">
        <v>1.78</v>
      </c>
      <c r="M17" s="14">
        <v>1.74</v>
      </c>
      <c r="N17" s="14">
        <v>1.78</v>
      </c>
      <c r="O17" s="14">
        <v>1.77</v>
      </c>
      <c r="P17" s="97"/>
      <c r="Q17" t="e">
        <f>+VLOOKUP(A17,#REF!,1,0)</f>
        <v>#REF!</v>
      </c>
    </row>
    <row r="18" spans="1:17" hidden="1" x14ac:dyDescent="0.35">
      <c r="A18" t="s">
        <v>967</v>
      </c>
      <c r="B18">
        <v>27</v>
      </c>
      <c r="C18" t="s">
        <v>1090</v>
      </c>
      <c r="D18" s="14">
        <v>209.75</v>
      </c>
      <c r="E18" s="14">
        <v>248.53</v>
      </c>
      <c r="F18" s="14">
        <v>218.02</v>
      </c>
      <c r="G18" s="14">
        <v>200.72</v>
      </c>
      <c r="H18" s="14">
        <v>197.23</v>
      </c>
      <c r="I18" s="14">
        <v>207.78</v>
      </c>
      <c r="J18" s="14">
        <v>206.45</v>
      </c>
      <c r="K18" s="14">
        <v>207.67</v>
      </c>
      <c r="L18" s="14">
        <v>180.74</v>
      </c>
      <c r="M18" s="14">
        <v>182.76</v>
      </c>
      <c r="N18" s="14">
        <v>178.94</v>
      </c>
      <c r="O18" s="14">
        <v>179.35</v>
      </c>
      <c r="P18" s="97"/>
      <c r="Q18" t="e">
        <f>+VLOOKUP(A18,#REF!,1,0)</f>
        <v>#REF!</v>
      </c>
    </row>
    <row r="19" spans="1:17" hidden="1" x14ac:dyDescent="0.35">
      <c r="A19" t="s">
        <v>74</v>
      </c>
      <c r="B19">
        <v>388</v>
      </c>
      <c r="C19" t="s">
        <v>1149</v>
      </c>
      <c r="D19" s="14">
        <v>0.28000000000000003</v>
      </c>
      <c r="E19" s="14">
        <v>0.22</v>
      </c>
      <c r="F19" s="14">
        <v>0.12</v>
      </c>
      <c r="G19" s="14">
        <v>0.06</v>
      </c>
      <c r="H19" s="14">
        <v>0.18</v>
      </c>
      <c r="I19" s="14">
        <v>7.0000000000000007E-2</v>
      </c>
      <c r="J19" s="14">
        <v>0.06</v>
      </c>
      <c r="K19" s="14">
        <v>0.06</v>
      </c>
      <c r="L19" s="14">
        <v>0.06</v>
      </c>
      <c r="M19" s="14">
        <v>0.06</v>
      </c>
      <c r="N19" s="14">
        <v>0.06</v>
      </c>
      <c r="O19" s="14">
        <v>0.06</v>
      </c>
      <c r="P19" s="97"/>
      <c r="Q19" t="e">
        <f>+VLOOKUP(A19,#REF!,1,0)</f>
        <v>#REF!</v>
      </c>
    </row>
    <row r="20" spans="1:17" hidden="1" x14ac:dyDescent="0.35">
      <c r="A20" t="s">
        <v>75</v>
      </c>
      <c r="B20">
        <v>1070</v>
      </c>
      <c r="C20" t="s">
        <v>1159</v>
      </c>
      <c r="D20" s="14">
        <v>7.0000000000000007E-2</v>
      </c>
      <c r="E20" s="14">
        <v>0.05</v>
      </c>
      <c r="F20" s="14">
        <v>0.02</v>
      </c>
      <c r="G20" s="14">
        <v>0.02</v>
      </c>
      <c r="H20" s="14">
        <v>0.02</v>
      </c>
      <c r="I20" s="14">
        <v>0.01</v>
      </c>
      <c r="J20" s="14">
        <v>0.01</v>
      </c>
      <c r="K20" s="14">
        <v>0.01</v>
      </c>
      <c r="L20" s="14">
        <v>0.01</v>
      </c>
      <c r="M20" s="14">
        <v>0.01</v>
      </c>
      <c r="N20" s="14">
        <v>0.01</v>
      </c>
      <c r="O20" s="14">
        <v>0.02</v>
      </c>
      <c r="P20" s="97"/>
      <c r="Q20" t="e">
        <f>+VLOOKUP(A20,#REF!,1,0)</f>
        <v>#REF!</v>
      </c>
    </row>
    <row r="21" spans="1:17" hidden="1" x14ac:dyDescent="0.35">
      <c r="A21" t="s">
        <v>76</v>
      </c>
      <c r="B21">
        <v>1045</v>
      </c>
      <c r="C21" t="s">
        <v>1114</v>
      </c>
      <c r="D21" s="14">
        <v>1.94</v>
      </c>
      <c r="E21" s="14">
        <v>2.04</v>
      </c>
      <c r="F21" s="14">
        <v>2.06</v>
      </c>
      <c r="G21" s="14">
        <v>2.0699999999999998</v>
      </c>
      <c r="H21" s="14">
        <v>2.09</v>
      </c>
      <c r="I21" s="14">
        <v>2.11</v>
      </c>
      <c r="J21" s="14">
        <v>2.31</v>
      </c>
      <c r="K21" s="14">
        <v>2.0099999999999998</v>
      </c>
      <c r="L21" s="14">
        <v>2.04</v>
      </c>
      <c r="M21" s="14">
        <v>2</v>
      </c>
      <c r="N21" s="14">
        <v>2.0499999999999998</v>
      </c>
      <c r="O21" s="14">
        <v>2.04</v>
      </c>
      <c r="P21" s="97"/>
      <c r="Q21" t="e">
        <f>+VLOOKUP(A21,#REF!,1,0)</f>
        <v>#REF!</v>
      </c>
    </row>
    <row r="22" spans="1:17" hidden="1" x14ac:dyDescent="0.35">
      <c r="A22" t="s">
        <v>98</v>
      </c>
      <c r="B22">
        <v>701</v>
      </c>
      <c r="C22" t="s">
        <v>1094</v>
      </c>
      <c r="D22" s="14">
        <v>99.33</v>
      </c>
      <c r="E22" s="14">
        <v>105.44</v>
      </c>
      <c r="F22" s="14">
        <v>88.62</v>
      </c>
      <c r="G22" s="14">
        <v>88.85</v>
      </c>
      <c r="H22" s="14">
        <v>89.49</v>
      </c>
      <c r="I22" s="14">
        <v>99.66</v>
      </c>
      <c r="J22" s="14">
        <v>92.56</v>
      </c>
      <c r="K22" s="14">
        <v>87.67</v>
      </c>
      <c r="L22" s="14">
        <v>89.03</v>
      </c>
      <c r="M22" s="14">
        <v>88.29</v>
      </c>
      <c r="N22" s="14">
        <v>87.19</v>
      </c>
      <c r="O22" s="14">
        <v>92.71</v>
      </c>
      <c r="P22" s="97"/>
      <c r="Q22" t="e">
        <f>+VLOOKUP(A22,#REF!,1,0)</f>
        <v>#REF!</v>
      </c>
    </row>
    <row r="23" spans="1:17" hidden="1" x14ac:dyDescent="0.35">
      <c r="A23" t="s">
        <v>77</v>
      </c>
      <c r="B23" t="s">
        <v>536</v>
      </c>
      <c r="C23" t="s">
        <v>1140</v>
      </c>
      <c r="D23" s="14">
        <v>0.46</v>
      </c>
      <c r="E23" s="14">
        <v>0.47</v>
      </c>
      <c r="F23" s="14">
        <v>0.36</v>
      </c>
      <c r="G23" s="14">
        <v>0.37</v>
      </c>
      <c r="H23" s="14">
        <v>0.35</v>
      </c>
      <c r="I23" s="14">
        <v>0.4</v>
      </c>
      <c r="J23" s="14">
        <v>0.37</v>
      </c>
      <c r="K23" s="14">
        <v>0.35</v>
      </c>
      <c r="L23" s="14">
        <v>0.37</v>
      </c>
      <c r="M23" s="14">
        <v>0.31</v>
      </c>
      <c r="N23" s="14">
        <v>0.33</v>
      </c>
      <c r="O23" s="14">
        <v>0.36</v>
      </c>
      <c r="P23" s="97"/>
      <c r="Q23" t="e">
        <f>+VLOOKUP(A23,#REF!,1,0)</f>
        <v>#REF!</v>
      </c>
    </row>
    <row r="24" spans="1:17" hidden="1" x14ac:dyDescent="0.35">
      <c r="A24" t="s">
        <v>981</v>
      </c>
      <c r="B24">
        <v>459</v>
      </c>
      <c r="C24" t="s">
        <v>1129</v>
      </c>
      <c r="D24" s="14">
        <v>0.84</v>
      </c>
      <c r="E24" s="14">
        <v>0.93</v>
      </c>
      <c r="F24" s="14">
        <v>7.0000000000000007E-2</v>
      </c>
      <c r="G24" s="14">
        <v>0.11</v>
      </c>
      <c r="H24" s="14">
        <v>0.13</v>
      </c>
      <c r="I24" s="14">
        <v>0.21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97"/>
      <c r="Q24" t="e">
        <f>+VLOOKUP(A24,#REF!,1,0)</f>
        <v>#REF!</v>
      </c>
    </row>
    <row r="25" spans="1:17" hidden="1" x14ac:dyDescent="0.35">
      <c r="A25" t="s">
        <v>78</v>
      </c>
      <c r="B25">
        <v>495</v>
      </c>
      <c r="C25" t="s">
        <v>1106</v>
      </c>
      <c r="D25" s="14">
        <v>0.5</v>
      </c>
      <c r="E25" s="14">
        <v>0.47</v>
      </c>
      <c r="F25" s="14">
        <v>0.48</v>
      </c>
      <c r="G25" s="14">
        <v>0.47</v>
      </c>
      <c r="H25" s="14">
        <v>0.49</v>
      </c>
      <c r="I25" s="14">
        <v>0.52</v>
      </c>
      <c r="J25" s="14">
        <v>0.54</v>
      </c>
      <c r="K25" s="14">
        <v>0.48</v>
      </c>
      <c r="L25" s="14">
        <v>0.5</v>
      </c>
      <c r="M25" s="14">
        <v>0.48</v>
      </c>
      <c r="N25" s="14">
        <v>0.49</v>
      </c>
      <c r="O25" s="14">
        <v>0.48</v>
      </c>
      <c r="P25" s="97"/>
      <c r="Q25" t="e">
        <f>+VLOOKUP(A25,#REF!,1,0)</f>
        <v>#REF!</v>
      </c>
    </row>
    <row r="26" spans="1:17" x14ac:dyDescent="0.35">
      <c r="A26" t="s">
        <v>81</v>
      </c>
      <c r="B26">
        <v>1073</v>
      </c>
      <c r="C26" t="s">
        <v>1097</v>
      </c>
      <c r="D26" s="14">
        <v>50.47</v>
      </c>
      <c r="E26" s="14">
        <v>51.86</v>
      </c>
      <c r="F26" s="14">
        <v>50.41</v>
      </c>
      <c r="G26" s="14">
        <v>50.44</v>
      </c>
      <c r="H26" s="14">
        <v>50.73</v>
      </c>
      <c r="I26" s="14">
        <v>52.91</v>
      </c>
      <c r="J26" s="14">
        <v>56.14</v>
      </c>
      <c r="K26" s="14">
        <v>45.63</v>
      </c>
      <c r="L26" s="14">
        <v>45.89</v>
      </c>
      <c r="M26" s="14">
        <v>45.54</v>
      </c>
      <c r="N26" s="14">
        <v>45.98</v>
      </c>
      <c r="O26" s="14">
        <v>45.85</v>
      </c>
      <c r="P26" s="97"/>
      <c r="Q26" t="e">
        <f>+VLOOKUP(A26,#REF!,1,0)</f>
        <v>#REF!</v>
      </c>
    </row>
    <row r="27" spans="1:17" hidden="1" x14ac:dyDescent="0.35">
      <c r="A27" t="s">
        <v>82</v>
      </c>
      <c r="B27">
        <v>475</v>
      </c>
      <c r="C27" t="s">
        <v>1138</v>
      </c>
      <c r="D27" s="14">
        <v>0.46</v>
      </c>
      <c r="E27" s="14">
        <v>0.64</v>
      </c>
      <c r="F27" s="14">
        <v>0.1</v>
      </c>
      <c r="G27" s="14">
        <v>0.2</v>
      </c>
      <c r="H27" s="14">
        <v>0.12</v>
      </c>
      <c r="I27" s="14">
        <v>0.34</v>
      </c>
      <c r="J27" s="14">
        <v>7.0000000000000007E-2</v>
      </c>
      <c r="K27" s="14">
        <v>7.0000000000000007E-2</v>
      </c>
      <c r="L27" s="14">
        <v>7.0000000000000007E-2</v>
      </c>
      <c r="M27" s="14">
        <v>7.0000000000000007E-2</v>
      </c>
      <c r="N27" s="14">
        <v>7.0000000000000007E-2</v>
      </c>
      <c r="O27" s="14">
        <v>7.0000000000000007E-2</v>
      </c>
      <c r="P27" s="97"/>
      <c r="Q27" t="e">
        <f>+VLOOKUP(A27,#REF!,1,0)</f>
        <v>#REF!</v>
      </c>
    </row>
    <row r="28" spans="1:17" hidden="1" x14ac:dyDescent="0.35">
      <c r="A28" t="s">
        <v>83</v>
      </c>
      <c r="B28" t="s">
        <v>523</v>
      </c>
      <c r="C28" t="s">
        <v>1108</v>
      </c>
      <c r="D28" s="14">
        <v>8.77</v>
      </c>
      <c r="E28" s="14">
        <v>6.89</v>
      </c>
      <c r="F28" s="14">
        <v>6.89</v>
      </c>
      <c r="G28" s="14">
        <v>6.89</v>
      </c>
      <c r="H28" s="14">
        <v>6.89</v>
      </c>
      <c r="I28" s="14">
        <v>6.89</v>
      </c>
      <c r="J28" s="14">
        <v>5.98</v>
      </c>
      <c r="K28" s="14">
        <v>6.1</v>
      </c>
      <c r="L28" s="14">
        <v>5.72</v>
      </c>
      <c r="M28" s="14">
        <v>6.15</v>
      </c>
      <c r="N28" s="14">
        <v>5.82</v>
      </c>
      <c r="O28" s="14">
        <v>5.55</v>
      </c>
      <c r="P28" s="97"/>
      <c r="Q28" t="e">
        <f>+VLOOKUP(A28,#REF!,1,0)</f>
        <v>#REF!</v>
      </c>
    </row>
    <row r="29" spans="1:17" hidden="1" x14ac:dyDescent="0.35">
      <c r="A29" t="s">
        <v>93</v>
      </c>
      <c r="B29">
        <v>223</v>
      </c>
      <c r="C29" t="s">
        <v>528</v>
      </c>
      <c r="D29" s="14">
        <v>188.07</v>
      </c>
      <c r="E29" s="14">
        <v>190.83</v>
      </c>
      <c r="F29" s="14">
        <v>204.25</v>
      </c>
      <c r="G29" s="14">
        <v>217.39</v>
      </c>
      <c r="H29" s="14">
        <v>200.08</v>
      </c>
      <c r="I29" s="14">
        <v>205.86</v>
      </c>
      <c r="J29" s="14">
        <v>217.86</v>
      </c>
      <c r="K29" s="14">
        <v>209.62</v>
      </c>
      <c r="L29" s="14">
        <v>225.79</v>
      </c>
      <c r="M29" s="14">
        <v>221.02</v>
      </c>
      <c r="N29" s="14">
        <v>217.53</v>
      </c>
      <c r="O29" s="14">
        <v>225.33</v>
      </c>
      <c r="P29" s="97"/>
      <c r="Q29" t="e">
        <f>+VLOOKUP(A29,#REF!,1,0)</f>
        <v>#REF!</v>
      </c>
    </row>
    <row r="30" spans="1:17" hidden="1" x14ac:dyDescent="0.35">
      <c r="A30" t="s">
        <v>84</v>
      </c>
      <c r="B30" t="s">
        <v>529</v>
      </c>
      <c r="C30" t="s">
        <v>1165</v>
      </c>
      <c r="D30" s="14">
        <v>0.04</v>
      </c>
      <c r="E30" s="14">
        <v>0.04</v>
      </c>
      <c r="F30" s="14">
        <v>0.04</v>
      </c>
      <c r="G30" s="14">
        <v>0.04</v>
      </c>
      <c r="H30" s="14">
        <v>0.04</v>
      </c>
      <c r="I30" s="14">
        <v>0.04</v>
      </c>
      <c r="J30" s="14">
        <v>0.04</v>
      </c>
      <c r="K30" s="14">
        <v>0.04</v>
      </c>
      <c r="L30" s="14">
        <v>0.04</v>
      </c>
      <c r="M30" s="14">
        <v>0.04</v>
      </c>
      <c r="N30" s="14">
        <v>0.04</v>
      </c>
      <c r="O30" s="14">
        <v>0.04</v>
      </c>
      <c r="P30" s="97"/>
      <c r="Q30" t="e">
        <f>+VLOOKUP(A30,#REF!,1,0)</f>
        <v>#REF!</v>
      </c>
    </row>
    <row r="31" spans="1:17" hidden="1" x14ac:dyDescent="0.35">
      <c r="A31" t="s">
        <v>1186</v>
      </c>
      <c r="B31">
        <v>522</v>
      </c>
      <c r="C31" t="s">
        <v>1181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97"/>
      <c r="Q31" t="e">
        <f>+VLOOKUP(A31,#REF!,1,0)</f>
        <v>#REF!</v>
      </c>
    </row>
    <row r="32" spans="1:17" hidden="1" x14ac:dyDescent="0.35">
      <c r="A32" t="s">
        <v>85</v>
      </c>
      <c r="B32">
        <v>936</v>
      </c>
      <c r="C32" t="s">
        <v>1145</v>
      </c>
      <c r="D32" s="14">
        <v>0.56000000000000005</v>
      </c>
      <c r="E32" s="14">
        <v>0.77</v>
      </c>
      <c r="F32" s="14">
        <v>0.56000000000000005</v>
      </c>
      <c r="G32" s="14">
        <v>0.72</v>
      </c>
      <c r="H32" s="14">
        <v>0.78</v>
      </c>
      <c r="I32" s="14">
        <v>1.1499999999999999</v>
      </c>
      <c r="J32" s="14">
        <v>0.32</v>
      </c>
      <c r="K32" s="14">
        <v>0.3</v>
      </c>
      <c r="L32" s="14">
        <v>0.32</v>
      </c>
      <c r="M32" s="14">
        <v>0.33</v>
      </c>
      <c r="N32" s="14">
        <v>0.32</v>
      </c>
      <c r="O32" s="14">
        <v>0.34</v>
      </c>
      <c r="P32" s="97"/>
      <c r="Q32" t="e">
        <f>+VLOOKUP(A32,#REF!,1,0)</f>
        <v>#REF!</v>
      </c>
    </row>
    <row r="33" spans="1:18" hidden="1" x14ac:dyDescent="0.35">
      <c r="A33" t="s">
        <v>86</v>
      </c>
      <c r="B33">
        <v>937</v>
      </c>
      <c r="C33" t="s">
        <v>1163</v>
      </c>
      <c r="D33" s="14">
        <v>0.06</v>
      </c>
      <c r="E33" s="14">
        <v>7.0000000000000007E-2</v>
      </c>
      <c r="F33" s="14">
        <v>0.06</v>
      </c>
      <c r="G33" s="14">
        <v>7.0000000000000007E-2</v>
      </c>
      <c r="H33" s="14">
        <v>7.0000000000000007E-2</v>
      </c>
      <c r="I33" s="14">
        <v>0.1</v>
      </c>
      <c r="J33" s="14">
        <v>0.04</v>
      </c>
      <c r="K33" s="14">
        <v>0.04</v>
      </c>
      <c r="L33" s="14">
        <v>0.04</v>
      </c>
      <c r="M33" s="14">
        <v>0.04</v>
      </c>
      <c r="N33" s="14">
        <v>0.04</v>
      </c>
      <c r="O33" s="14">
        <v>0.04</v>
      </c>
      <c r="P33" s="97"/>
      <c r="Q33" t="e">
        <f>+VLOOKUP(A33,#REF!,1,0)</f>
        <v>#REF!</v>
      </c>
    </row>
    <row r="34" spans="1:18" hidden="1" x14ac:dyDescent="0.35">
      <c r="A34" t="s">
        <v>87</v>
      </c>
      <c r="B34" t="s">
        <v>546</v>
      </c>
      <c r="C34" t="s">
        <v>1162</v>
      </c>
      <c r="D34" s="14">
        <v>0.04</v>
      </c>
      <c r="E34" s="14">
        <v>0.04</v>
      </c>
      <c r="F34" s="14">
        <v>0.04</v>
      </c>
      <c r="G34" s="14">
        <v>0.04</v>
      </c>
      <c r="H34" s="14">
        <v>0.04</v>
      </c>
      <c r="I34" s="14">
        <v>0.04</v>
      </c>
      <c r="J34" s="14">
        <v>0.03</v>
      </c>
      <c r="K34" s="14">
        <v>0.03</v>
      </c>
      <c r="L34" s="14">
        <v>0.03</v>
      </c>
      <c r="M34" s="14">
        <v>0.03</v>
      </c>
      <c r="N34" s="14">
        <v>0.03</v>
      </c>
      <c r="O34" s="14">
        <v>0.03</v>
      </c>
      <c r="P34" s="97"/>
      <c r="Q34" t="e">
        <f>+VLOOKUP(A34,#REF!,1,0)</f>
        <v>#REF!</v>
      </c>
    </row>
    <row r="35" spans="1:18" hidden="1" x14ac:dyDescent="0.35">
      <c r="A35" t="s">
        <v>1074</v>
      </c>
      <c r="B35">
        <v>920</v>
      </c>
      <c r="C35" t="s">
        <v>1156</v>
      </c>
      <c r="D35" s="14">
        <v>7.0000000000000007E-2</v>
      </c>
      <c r="E35" s="14">
        <v>0.08</v>
      </c>
      <c r="F35" s="14">
        <v>0.06</v>
      </c>
      <c r="G35" s="14">
        <v>0.06</v>
      </c>
      <c r="H35" s="14">
        <v>0.06</v>
      </c>
      <c r="I35" s="14">
        <v>0.06</v>
      </c>
      <c r="J35" s="14">
        <v>0.06</v>
      </c>
      <c r="K35" s="14">
        <v>0.06</v>
      </c>
      <c r="L35" s="14">
        <v>0.05</v>
      </c>
      <c r="M35" s="14">
        <v>0.06</v>
      </c>
      <c r="N35" s="14">
        <v>0.06</v>
      </c>
      <c r="O35" s="14">
        <v>0.05</v>
      </c>
      <c r="P35" s="97"/>
    </row>
    <row r="36" spans="1:18" hidden="1" x14ac:dyDescent="0.35">
      <c r="A36" t="s">
        <v>1077</v>
      </c>
      <c r="B36">
        <v>720</v>
      </c>
      <c r="C36" t="s">
        <v>1102</v>
      </c>
      <c r="D36" s="14">
        <v>14.79</v>
      </c>
      <c r="E36" s="14">
        <v>15.89</v>
      </c>
      <c r="F36" s="14">
        <v>11.9</v>
      </c>
      <c r="G36" s="14">
        <v>11.21</v>
      </c>
      <c r="H36" s="14">
        <v>12.56</v>
      </c>
      <c r="I36" s="14">
        <v>13.09</v>
      </c>
      <c r="J36" s="14">
        <v>8.98</v>
      </c>
      <c r="K36" s="14">
        <v>8.49</v>
      </c>
      <c r="L36" s="14">
        <v>8.6</v>
      </c>
      <c r="M36" s="14">
        <v>8.4700000000000006</v>
      </c>
      <c r="N36" s="14">
        <v>8.4</v>
      </c>
      <c r="O36" s="14">
        <v>9.1999999999999993</v>
      </c>
      <c r="P36" s="97"/>
      <c r="Q36" t="e">
        <f>+VLOOKUP(A36,#REF!,1,0)</f>
        <v>#REF!</v>
      </c>
    </row>
    <row r="37" spans="1:18" hidden="1" x14ac:dyDescent="0.35">
      <c r="A37" t="s">
        <v>90</v>
      </c>
      <c r="B37" t="s">
        <v>555</v>
      </c>
      <c r="C37" t="s">
        <v>1155</v>
      </c>
      <c r="D37" s="14">
        <v>0.1</v>
      </c>
      <c r="E37" s="14">
        <v>0.13</v>
      </c>
      <c r="F37" s="14">
        <v>0.13</v>
      </c>
      <c r="G37" s="14">
        <v>0.09</v>
      </c>
      <c r="H37" s="14">
        <v>0.09</v>
      </c>
      <c r="I37" s="14">
        <v>0.09</v>
      </c>
      <c r="J37" s="14">
        <v>0.09</v>
      </c>
      <c r="K37" s="14">
        <v>0.09</v>
      </c>
      <c r="L37" s="14">
        <v>0.09</v>
      </c>
      <c r="M37" s="14">
        <v>0.09</v>
      </c>
      <c r="N37" s="14">
        <v>0.08</v>
      </c>
      <c r="O37" s="14">
        <v>0.08</v>
      </c>
      <c r="P37" s="97"/>
      <c r="Q37" t="e">
        <f>+VLOOKUP(A37,#REF!,1,0)</f>
        <v>#REF!</v>
      </c>
    </row>
    <row r="38" spans="1:18" hidden="1" x14ac:dyDescent="0.35">
      <c r="A38" t="s">
        <v>91</v>
      </c>
      <c r="B38" t="s">
        <v>539</v>
      </c>
      <c r="C38" t="s">
        <v>1136</v>
      </c>
      <c r="D38" s="14">
        <v>0.63</v>
      </c>
      <c r="E38" s="14">
        <v>0.63</v>
      </c>
      <c r="F38" s="14">
        <v>0.63</v>
      </c>
      <c r="G38" s="14">
        <v>0.63</v>
      </c>
      <c r="H38" s="14">
        <v>0.63</v>
      </c>
      <c r="I38" s="14">
        <v>0.63</v>
      </c>
      <c r="J38" s="14">
        <v>0.63</v>
      </c>
      <c r="K38" s="14">
        <v>0.63</v>
      </c>
      <c r="L38" s="14">
        <v>0.63</v>
      </c>
      <c r="M38" s="14">
        <v>0.63</v>
      </c>
      <c r="N38" s="14">
        <v>0.63</v>
      </c>
      <c r="O38" s="14">
        <v>0.63</v>
      </c>
      <c r="P38" s="97"/>
    </row>
    <row r="39" spans="1:18" hidden="1" x14ac:dyDescent="0.35">
      <c r="A39" t="s">
        <v>977</v>
      </c>
      <c r="B39" t="s">
        <v>524</v>
      </c>
      <c r="C39" t="s">
        <v>1092</v>
      </c>
      <c r="D39" s="14">
        <v>103.06</v>
      </c>
      <c r="E39" s="14">
        <v>104.25</v>
      </c>
      <c r="F39" s="14">
        <v>97.69</v>
      </c>
      <c r="G39" s="14">
        <v>98.31</v>
      </c>
      <c r="H39" s="14">
        <v>98.38</v>
      </c>
      <c r="I39" s="14">
        <v>101.06</v>
      </c>
      <c r="J39" s="14">
        <v>106.35</v>
      </c>
      <c r="K39" s="14">
        <v>89.62</v>
      </c>
      <c r="L39" s="14">
        <v>89.99</v>
      </c>
      <c r="M39" s="14">
        <v>89.43</v>
      </c>
      <c r="N39" s="14">
        <v>90.26</v>
      </c>
      <c r="O39" s="14">
        <v>89.78</v>
      </c>
      <c r="P39" s="97"/>
      <c r="Q39" t="e">
        <f>+VLOOKUP(A39,#REF!,1,0)</f>
        <v>#REF!</v>
      </c>
    </row>
    <row r="40" spans="1:18" s="68" customFormat="1" hidden="1" x14ac:dyDescent="0.35">
      <c r="A40" t="s">
        <v>92</v>
      </c>
      <c r="B40">
        <v>550</v>
      </c>
      <c r="C40" t="s">
        <v>1134</v>
      </c>
      <c r="D40" s="14">
        <v>0.59</v>
      </c>
      <c r="E40" s="14">
        <v>0.66</v>
      </c>
      <c r="F40" s="14">
        <v>0.49</v>
      </c>
      <c r="G40" s="14">
        <v>0.55000000000000004</v>
      </c>
      <c r="H40" s="14">
        <v>0.48</v>
      </c>
      <c r="I40" s="14">
        <v>0.52</v>
      </c>
      <c r="J40" s="14">
        <v>0.44</v>
      </c>
      <c r="K40" s="14">
        <v>0.44</v>
      </c>
      <c r="L40" s="14">
        <v>0.43</v>
      </c>
      <c r="M40" s="14">
        <v>0.44</v>
      </c>
      <c r="N40" s="14">
        <v>0.43</v>
      </c>
      <c r="O40" s="14">
        <v>0.43</v>
      </c>
      <c r="P40" s="97"/>
      <c r="Q40" t="e">
        <f>+VLOOKUP(A40,#REF!,1,0)</f>
        <v>#REF!</v>
      </c>
      <c r="R40"/>
    </row>
    <row r="41" spans="1:18" hidden="1" x14ac:dyDescent="0.35">
      <c r="A41" t="s">
        <v>99</v>
      </c>
      <c r="B41">
        <v>116</v>
      </c>
      <c r="C41" t="s">
        <v>1173</v>
      </c>
      <c r="D41" s="14">
        <v>118.11</v>
      </c>
      <c r="E41" s="14">
        <v>121.36</v>
      </c>
      <c r="F41" s="14">
        <v>119.32</v>
      </c>
      <c r="G41" s="14">
        <v>120.68</v>
      </c>
      <c r="H41" s="14">
        <v>120.68</v>
      </c>
      <c r="I41" s="14">
        <v>118.13</v>
      </c>
      <c r="J41" s="14">
        <v>126.84</v>
      </c>
      <c r="K41" s="14">
        <v>104.62</v>
      </c>
      <c r="L41" s="14">
        <v>106.04</v>
      </c>
      <c r="M41" s="14">
        <v>104.28</v>
      </c>
      <c r="N41" s="14">
        <v>105.89</v>
      </c>
      <c r="O41" s="14">
        <v>105.43</v>
      </c>
      <c r="P41" s="97"/>
      <c r="Q41" t="e">
        <f>+VLOOKUP(A41,#REF!,1,0)</f>
        <v>#REF!</v>
      </c>
    </row>
    <row r="42" spans="1:18" hidden="1" x14ac:dyDescent="0.35">
      <c r="A42" t="s">
        <v>184</v>
      </c>
      <c r="B42">
        <v>111</v>
      </c>
      <c r="C42" t="s">
        <v>1093</v>
      </c>
      <c r="D42" s="14">
        <v>102.92</v>
      </c>
      <c r="E42" s="14">
        <v>106.28</v>
      </c>
      <c r="F42" s="14">
        <v>70.87</v>
      </c>
      <c r="G42" s="14">
        <v>76.12</v>
      </c>
      <c r="H42" s="14">
        <v>68.180000000000007</v>
      </c>
      <c r="I42" s="14">
        <v>60.56</v>
      </c>
      <c r="J42" s="14">
        <v>62.5</v>
      </c>
      <c r="K42" s="14">
        <v>58.49</v>
      </c>
      <c r="L42" s="14">
        <v>56.46</v>
      </c>
      <c r="M42" s="14">
        <v>57.8</v>
      </c>
      <c r="N42" s="14">
        <v>57.05</v>
      </c>
      <c r="O42" s="14">
        <v>55.62</v>
      </c>
      <c r="P42" s="97"/>
      <c r="Q42" t="e">
        <f>+VLOOKUP(A42,#REF!,1,0)</f>
        <v>#REF!</v>
      </c>
    </row>
    <row r="43" spans="1:18" hidden="1" x14ac:dyDescent="0.35">
      <c r="A43" t="s">
        <v>188</v>
      </c>
      <c r="B43">
        <v>211</v>
      </c>
      <c r="C43" t="s">
        <v>1101</v>
      </c>
      <c r="D43" s="14">
        <v>12.66</v>
      </c>
      <c r="E43" s="14">
        <v>12.13</v>
      </c>
      <c r="F43" s="14">
        <v>12.26</v>
      </c>
      <c r="G43" s="14">
        <v>11.64</v>
      </c>
      <c r="H43" s="14">
        <v>11.76</v>
      </c>
      <c r="I43" s="14">
        <v>11.93</v>
      </c>
      <c r="J43" s="14">
        <v>11.76</v>
      </c>
      <c r="K43" s="14">
        <v>10.58</v>
      </c>
      <c r="L43" s="14">
        <v>11.48</v>
      </c>
      <c r="M43" s="14">
        <v>10.53</v>
      </c>
      <c r="N43" s="14">
        <v>10.73</v>
      </c>
      <c r="O43" s="14">
        <v>10.68</v>
      </c>
      <c r="P43" s="97"/>
      <c r="Q43" t="e">
        <f>+VLOOKUP(A43,#REF!,1,0)</f>
        <v>#REF!</v>
      </c>
    </row>
    <row r="44" spans="1:18" hidden="1" x14ac:dyDescent="0.35">
      <c r="A44" t="s">
        <v>138</v>
      </c>
      <c r="B44">
        <v>173</v>
      </c>
      <c r="C44" t="s">
        <v>1128</v>
      </c>
      <c r="D44" s="14">
        <v>0.8</v>
      </c>
      <c r="E44" s="14">
        <v>1.1200000000000001</v>
      </c>
      <c r="F44" s="14">
        <v>0.8</v>
      </c>
      <c r="G44" s="14">
        <v>0.8</v>
      </c>
      <c r="H44" s="14">
        <v>0.8</v>
      </c>
      <c r="I44" s="14">
        <v>0.8</v>
      </c>
      <c r="J44" s="14">
        <v>0.75</v>
      </c>
      <c r="K44" s="14">
        <v>0.77</v>
      </c>
      <c r="L44" s="14">
        <v>0.72</v>
      </c>
      <c r="M44" s="14">
        <v>0.77</v>
      </c>
      <c r="N44" s="14">
        <v>0.73</v>
      </c>
      <c r="O44" s="14">
        <v>0.7</v>
      </c>
      <c r="P44" s="97"/>
      <c r="Q44" t="e">
        <f>+VLOOKUP(A44,#REF!,1,0)</f>
        <v>#REF!</v>
      </c>
    </row>
    <row r="45" spans="1:18" hidden="1" x14ac:dyDescent="0.35">
      <c r="A45" t="s">
        <v>147</v>
      </c>
      <c r="B45">
        <v>742</v>
      </c>
      <c r="C45" t="s">
        <v>1123</v>
      </c>
      <c r="D45" s="14">
        <v>1.1499999999999999</v>
      </c>
      <c r="E45" s="14">
        <v>1.79</v>
      </c>
      <c r="F45" s="14">
        <v>1.1499999999999999</v>
      </c>
      <c r="G45" s="14">
        <v>1.1499999999999999</v>
      </c>
      <c r="H45" s="14">
        <v>1.1499999999999999</v>
      </c>
      <c r="I45" s="14">
        <v>1.1499999999999999</v>
      </c>
      <c r="J45" s="14">
        <v>1.0900000000000001</v>
      </c>
      <c r="K45" s="14">
        <v>1.1100000000000001</v>
      </c>
      <c r="L45" s="14">
        <v>1.04</v>
      </c>
      <c r="M45" s="14">
        <v>1.1200000000000001</v>
      </c>
      <c r="N45" s="14">
        <v>1.06</v>
      </c>
      <c r="O45" s="14">
        <v>1.02</v>
      </c>
      <c r="P45" s="97"/>
      <c r="Q45" t="e">
        <f>+VLOOKUP(A45,#REF!,1,0)</f>
        <v>#REF!</v>
      </c>
    </row>
    <row r="46" spans="1:18" hidden="1" x14ac:dyDescent="0.35">
      <c r="A46" t="s">
        <v>146</v>
      </c>
      <c r="B46">
        <v>741</v>
      </c>
      <c r="C46" t="s">
        <v>1125</v>
      </c>
      <c r="D46" s="14">
        <v>1.47</v>
      </c>
      <c r="E46" s="14">
        <v>1.1100000000000001</v>
      </c>
      <c r="F46" s="14">
        <v>1.1100000000000001</v>
      </c>
      <c r="G46" s="14">
        <v>1.1100000000000001</v>
      </c>
      <c r="H46" s="14">
        <v>1.1100000000000001</v>
      </c>
      <c r="I46" s="14">
        <v>1.1100000000000001</v>
      </c>
      <c r="J46" s="14">
        <v>1</v>
      </c>
      <c r="K46" s="14">
        <v>1.02</v>
      </c>
      <c r="L46" s="14">
        <v>0.96</v>
      </c>
      <c r="M46" s="14">
        <v>1.03</v>
      </c>
      <c r="N46" s="14">
        <v>0.97</v>
      </c>
      <c r="O46" s="14">
        <v>0.93</v>
      </c>
      <c r="P46" s="97"/>
      <c r="Q46" t="e">
        <f>+VLOOKUP(A46,#REF!,1,0)</f>
        <v>#REF!</v>
      </c>
    </row>
    <row r="47" spans="1:18" hidden="1" x14ac:dyDescent="0.35">
      <c r="A47" t="s">
        <v>143</v>
      </c>
      <c r="B47">
        <v>740</v>
      </c>
      <c r="C47" t="s">
        <v>1124</v>
      </c>
      <c r="D47" s="14">
        <v>1.78</v>
      </c>
      <c r="E47" s="14">
        <v>1.46</v>
      </c>
      <c r="F47" s="14">
        <v>1.46</v>
      </c>
      <c r="G47" s="14">
        <v>1.46</v>
      </c>
      <c r="H47" s="14">
        <v>1.46</v>
      </c>
      <c r="I47" s="14">
        <v>1.46</v>
      </c>
      <c r="J47" s="14">
        <v>1.22</v>
      </c>
      <c r="K47" s="14">
        <v>1.24</v>
      </c>
      <c r="L47" s="14">
        <v>1.1599999999999999</v>
      </c>
      <c r="M47" s="14">
        <v>1.25</v>
      </c>
      <c r="N47" s="14">
        <v>1.19</v>
      </c>
      <c r="O47" s="14">
        <v>1.1299999999999999</v>
      </c>
      <c r="P47" s="97"/>
      <c r="Q47" t="e">
        <f>+VLOOKUP(A47,#REF!,1,0)</f>
        <v>#REF!</v>
      </c>
    </row>
    <row r="48" spans="1:18" hidden="1" x14ac:dyDescent="0.35">
      <c r="A48" t="s">
        <v>189</v>
      </c>
      <c r="B48">
        <v>1041</v>
      </c>
      <c r="C48" t="s">
        <v>1104</v>
      </c>
      <c r="D48" s="14">
        <v>10.45</v>
      </c>
      <c r="E48" s="14">
        <v>11.01</v>
      </c>
      <c r="F48" s="14">
        <v>11.1</v>
      </c>
      <c r="G48" s="14">
        <v>10.98</v>
      </c>
      <c r="H48" s="14">
        <v>11.25</v>
      </c>
      <c r="I48" s="14">
        <v>11.45</v>
      </c>
      <c r="J48" s="14">
        <v>12.81</v>
      </c>
      <c r="K48" s="14">
        <v>11.15</v>
      </c>
      <c r="L48" s="14">
        <v>11.16</v>
      </c>
      <c r="M48" s="14">
        <v>10.94</v>
      </c>
      <c r="N48" s="14">
        <v>11.21</v>
      </c>
      <c r="O48" s="14">
        <v>11.14</v>
      </c>
      <c r="P48" s="97"/>
      <c r="Q48" t="e">
        <f>+VLOOKUP(A48,#REF!,1,0)</f>
        <v>#REF!</v>
      </c>
    </row>
    <row r="49" spans="1:18" hidden="1" x14ac:dyDescent="0.35">
      <c r="A49" t="s">
        <v>177</v>
      </c>
      <c r="B49">
        <v>1016</v>
      </c>
      <c r="C49" t="s">
        <v>1157</v>
      </c>
      <c r="D49" s="14">
        <v>0.08</v>
      </c>
      <c r="E49" s="14">
        <v>0.05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97"/>
      <c r="Q49" t="e">
        <f>+VLOOKUP(A49,#REF!,1,0)</f>
        <v>#REF!</v>
      </c>
    </row>
    <row r="50" spans="1:18" hidden="1" x14ac:dyDescent="0.35">
      <c r="A50" t="s">
        <v>458</v>
      </c>
      <c r="B50" t="s">
        <v>526</v>
      </c>
      <c r="C50" t="s">
        <v>1117</v>
      </c>
      <c r="D50" s="14">
        <v>1.68</v>
      </c>
      <c r="E50" s="14">
        <v>1.67</v>
      </c>
      <c r="F50" s="14">
        <v>1.68</v>
      </c>
      <c r="G50" s="14">
        <v>1.67</v>
      </c>
      <c r="H50" s="14">
        <v>1.68</v>
      </c>
      <c r="I50" s="14">
        <v>1.69</v>
      </c>
      <c r="J50" s="14">
        <v>1.7</v>
      </c>
      <c r="K50" s="14">
        <v>1.61</v>
      </c>
      <c r="L50" s="14">
        <v>1.62</v>
      </c>
      <c r="M50" s="14">
        <v>1.61</v>
      </c>
      <c r="N50" s="14">
        <v>1.63</v>
      </c>
      <c r="O50" s="14">
        <v>1.62</v>
      </c>
      <c r="P50" s="97"/>
      <c r="Q50" t="e">
        <f>+VLOOKUP(A50,#REF!,1,0)</f>
        <v>#REF!</v>
      </c>
    </row>
    <row r="51" spans="1:18" hidden="1" x14ac:dyDescent="0.35">
      <c r="A51" t="s">
        <v>131</v>
      </c>
      <c r="B51">
        <v>45</v>
      </c>
      <c r="C51" t="s">
        <v>1096</v>
      </c>
      <c r="D51" s="14">
        <v>34.26</v>
      </c>
      <c r="E51" s="14">
        <v>34.71</v>
      </c>
      <c r="F51" s="14">
        <v>32.89</v>
      </c>
      <c r="G51" s="14">
        <v>33.01</v>
      </c>
      <c r="H51" s="14">
        <v>33.21</v>
      </c>
      <c r="I51" s="14">
        <v>33.83</v>
      </c>
      <c r="J51" s="14">
        <v>36.46</v>
      </c>
      <c r="K51" s="14">
        <v>31.29</v>
      </c>
      <c r="L51" s="14">
        <v>31.45</v>
      </c>
      <c r="M51" s="14">
        <v>31.03</v>
      </c>
      <c r="N51" s="14">
        <v>31.55</v>
      </c>
      <c r="O51" s="14">
        <v>31.4</v>
      </c>
      <c r="P51" s="97"/>
      <c r="Q51" t="e">
        <f>+VLOOKUP(A51,#REF!,1,0)</f>
        <v>#REF!</v>
      </c>
    </row>
    <row r="52" spans="1:18" s="68" customFormat="1" hidden="1" x14ac:dyDescent="0.35">
      <c r="A52" t="s">
        <v>1188</v>
      </c>
      <c r="B52">
        <v>510</v>
      </c>
      <c r="C52" t="s">
        <v>1188</v>
      </c>
      <c r="D52" s="14">
        <v>0.13</v>
      </c>
      <c r="E52" s="14">
        <v>0.11</v>
      </c>
      <c r="F52" s="14">
        <v>0.11</v>
      </c>
      <c r="G52" s="14">
        <v>0.11</v>
      </c>
      <c r="H52" s="14">
        <v>0.11</v>
      </c>
      <c r="I52" s="14">
        <v>0.11</v>
      </c>
      <c r="J52" s="14">
        <v>0.1</v>
      </c>
      <c r="K52" s="14">
        <v>0.1</v>
      </c>
      <c r="L52" s="14">
        <v>0.1</v>
      </c>
      <c r="M52" s="14">
        <v>0.11</v>
      </c>
      <c r="N52" s="14">
        <v>0.1</v>
      </c>
      <c r="O52" s="14">
        <v>0.09</v>
      </c>
      <c r="P52" s="97"/>
      <c r="Q52" t="e">
        <f>+VLOOKUP(A52,#REF!,1,0)</f>
        <v>#REF!</v>
      </c>
      <c r="R52"/>
    </row>
    <row r="53" spans="1:18" hidden="1" x14ac:dyDescent="0.35">
      <c r="A53" t="s">
        <v>182</v>
      </c>
      <c r="B53">
        <v>1</v>
      </c>
      <c r="C53" t="s">
        <v>1088</v>
      </c>
      <c r="D53" s="14">
        <v>540.25</v>
      </c>
      <c r="E53" s="14">
        <v>596.83000000000004</v>
      </c>
      <c r="F53" s="14">
        <v>307.5</v>
      </c>
      <c r="G53" s="14">
        <v>324.25</v>
      </c>
      <c r="H53" s="14">
        <v>314.61</v>
      </c>
      <c r="I53" s="14">
        <v>327.57</v>
      </c>
      <c r="J53" s="14">
        <v>184.25</v>
      </c>
      <c r="K53" s="14">
        <v>170.57</v>
      </c>
      <c r="L53" s="14">
        <v>178.67</v>
      </c>
      <c r="M53" s="14">
        <v>177.42</v>
      </c>
      <c r="N53" s="14">
        <v>175.21</v>
      </c>
      <c r="O53" s="14">
        <v>197.46</v>
      </c>
      <c r="P53" s="97"/>
      <c r="Q53" t="e">
        <f>+VLOOKUP(A53,#REF!,1,0)</f>
        <v>#REF!</v>
      </c>
    </row>
    <row r="54" spans="1:18" hidden="1" x14ac:dyDescent="0.35">
      <c r="A54" t="s">
        <v>187</v>
      </c>
      <c r="B54">
        <v>14</v>
      </c>
      <c r="C54" t="s">
        <v>1098</v>
      </c>
      <c r="D54" s="14">
        <v>36.22</v>
      </c>
      <c r="E54" s="14">
        <v>36.520000000000003</v>
      </c>
      <c r="F54" s="14">
        <v>37.19</v>
      </c>
      <c r="G54" s="14">
        <v>38.200000000000003</v>
      </c>
      <c r="H54" s="14">
        <v>36.520000000000003</v>
      </c>
      <c r="I54" s="14">
        <v>36.57</v>
      </c>
      <c r="J54" s="14">
        <v>37.1</v>
      </c>
      <c r="K54" s="14">
        <v>36.869999999999997</v>
      </c>
      <c r="L54" s="14">
        <v>42.05</v>
      </c>
      <c r="M54" s="14">
        <v>41.07</v>
      </c>
      <c r="N54" s="14">
        <v>38.950000000000003</v>
      </c>
      <c r="O54" s="14">
        <v>41.2</v>
      </c>
      <c r="P54" s="97"/>
      <c r="Q54" t="e">
        <f>+VLOOKUP(A54,#REF!,1,0)</f>
        <v>#REF!</v>
      </c>
    </row>
    <row r="55" spans="1:18" hidden="1" x14ac:dyDescent="0.35">
      <c r="A55" t="s">
        <v>130</v>
      </c>
      <c r="B55" t="s">
        <v>545</v>
      </c>
      <c r="C55" t="s">
        <v>1103</v>
      </c>
      <c r="D55" s="14">
        <v>15.31</v>
      </c>
      <c r="E55" s="14">
        <v>16.57</v>
      </c>
      <c r="F55" s="14">
        <v>12.46</v>
      </c>
      <c r="G55" s="14">
        <v>12.8</v>
      </c>
      <c r="H55" s="14">
        <v>12.51</v>
      </c>
      <c r="I55" s="14">
        <v>13.18</v>
      </c>
      <c r="J55" s="14">
        <v>12.13</v>
      </c>
      <c r="K55" s="14">
        <v>11</v>
      </c>
      <c r="L55" s="14">
        <v>10.91</v>
      </c>
      <c r="M55" s="14">
        <v>10.95</v>
      </c>
      <c r="N55" s="14">
        <v>10.94</v>
      </c>
      <c r="O55" s="14">
        <v>10.99</v>
      </c>
      <c r="P55" s="97"/>
      <c r="Q55" t="e">
        <f>+VLOOKUP(A55,#REF!,1,0)</f>
        <v>#REF!</v>
      </c>
    </row>
    <row r="56" spans="1:18" hidden="1" x14ac:dyDescent="0.35">
      <c r="A56" t="s">
        <v>137</v>
      </c>
      <c r="B56">
        <v>439</v>
      </c>
      <c r="C56" t="s">
        <v>1111</v>
      </c>
      <c r="D56" s="14">
        <v>3.1</v>
      </c>
      <c r="E56" s="14">
        <v>3.32</v>
      </c>
      <c r="F56" s="14">
        <v>3.05</v>
      </c>
      <c r="G56" s="14">
        <v>2.81</v>
      </c>
      <c r="H56" s="14">
        <v>2.83</v>
      </c>
      <c r="I56" s="14">
        <v>2.9</v>
      </c>
      <c r="J56" s="14">
        <v>2.83</v>
      </c>
      <c r="K56" s="14">
        <v>2.75</v>
      </c>
      <c r="L56" s="14">
        <v>2.84</v>
      </c>
      <c r="M56" s="14">
        <v>2.73</v>
      </c>
      <c r="N56" s="14">
        <v>2.74</v>
      </c>
      <c r="O56" s="14">
        <v>2.92</v>
      </c>
      <c r="P56" s="97"/>
      <c r="Q56" t="e">
        <f>+VLOOKUP(A56,#REF!,1,0)</f>
        <v>#REF!</v>
      </c>
    </row>
    <row r="57" spans="1:18" hidden="1" x14ac:dyDescent="0.35">
      <c r="A57" t="s">
        <v>149</v>
      </c>
      <c r="B57" t="s">
        <v>538</v>
      </c>
      <c r="C57" t="s">
        <v>1177</v>
      </c>
      <c r="D57" s="14">
        <v>2.04</v>
      </c>
      <c r="E57" s="14">
        <v>2.23</v>
      </c>
      <c r="F57" s="14">
        <v>0.85</v>
      </c>
      <c r="G57" s="14">
        <v>0.92</v>
      </c>
      <c r="H57" s="14">
        <v>1.04</v>
      </c>
      <c r="I57" s="14">
        <v>1.22</v>
      </c>
      <c r="J57" s="14">
        <v>0.64</v>
      </c>
      <c r="K57" s="14">
        <v>0.59</v>
      </c>
      <c r="L57" s="14">
        <v>0.62</v>
      </c>
      <c r="M57" s="14">
        <v>0.62</v>
      </c>
      <c r="N57" s="14">
        <v>0.61</v>
      </c>
      <c r="O57" s="14">
        <v>0.7</v>
      </c>
      <c r="P57" s="97"/>
      <c r="Q57" t="e">
        <f>+VLOOKUP(A57,#REF!,1,0)</f>
        <v>#REF!</v>
      </c>
    </row>
    <row r="58" spans="1:18" hidden="1" x14ac:dyDescent="0.35">
      <c r="A58" t="s">
        <v>157</v>
      </c>
      <c r="B58" t="s">
        <v>542</v>
      </c>
      <c r="C58" t="s">
        <v>1178</v>
      </c>
      <c r="D58" s="14">
        <v>0.17</v>
      </c>
      <c r="E58" s="14">
        <v>0.17</v>
      </c>
      <c r="F58" s="14">
        <v>0.17</v>
      </c>
      <c r="G58" s="14">
        <v>0.17</v>
      </c>
      <c r="H58" s="14">
        <v>0.17</v>
      </c>
      <c r="I58" s="14">
        <v>0.17</v>
      </c>
      <c r="J58" s="14">
        <v>0.18</v>
      </c>
      <c r="K58" s="14">
        <v>0.17</v>
      </c>
      <c r="L58" s="14">
        <v>0.18</v>
      </c>
      <c r="M58" s="14">
        <v>0.18</v>
      </c>
      <c r="N58" s="14">
        <v>0.17</v>
      </c>
      <c r="O58" s="14">
        <v>0.18</v>
      </c>
      <c r="P58" s="97"/>
      <c r="Q58" t="e">
        <f>+VLOOKUP(A58,#REF!,1,0)</f>
        <v>#REF!</v>
      </c>
    </row>
    <row r="59" spans="1:18" hidden="1" x14ac:dyDescent="0.35">
      <c r="A59" t="s">
        <v>972</v>
      </c>
      <c r="B59" t="s">
        <v>544</v>
      </c>
      <c r="C59" t="s">
        <v>1180</v>
      </c>
      <c r="D59" s="14">
        <v>0.47</v>
      </c>
      <c r="E59" s="14">
        <v>0.5</v>
      </c>
      <c r="F59" s="14">
        <v>0.47</v>
      </c>
      <c r="G59" s="14">
        <v>0.47</v>
      </c>
      <c r="H59" s="14">
        <v>0.47</v>
      </c>
      <c r="I59" s="14">
        <v>0.47</v>
      </c>
      <c r="J59" s="14">
        <v>0.45</v>
      </c>
      <c r="K59" s="14">
        <v>0.45</v>
      </c>
      <c r="L59" s="14">
        <v>0.44</v>
      </c>
      <c r="M59" s="14">
        <v>0.45</v>
      </c>
      <c r="N59" s="14">
        <v>0.44</v>
      </c>
      <c r="O59" s="14">
        <v>0.43</v>
      </c>
      <c r="P59" s="97"/>
      <c r="Q59" t="e">
        <f>+VLOOKUP(A59,#REF!,1,0)</f>
        <v>#REF!</v>
      </c>
    </row>
    <row r="60" spans="1:18" hidden="1" x14ac:dyDescent="0.35">
      <c r="A60" t="s">
        <v>142</v>
      </c>
      <c r="B60" t="s">
        <v>543</v>
      </c>
      <c r="C60" t="s">
        <v>1179</v>
      </c>
      <c r="D60" s="14">
        <v>2</v>
      </c>
      <c r="E60" s="14">
        <v>2.16</v>
      </c>
      <c r="F60" s="14">
        <v>2.2799999999999998</v>
      </c>
      <c r="G60" s="14">
        <v>2.29</v>
      </c>
      <c r="H60" s="14">
        <v>1.9</v>
      </c>
      <c r="I60" s="14">
        <v>1.98</v>
      </c>
      <c r="J60" s="14">
        <v>2.0099999999999998</v>
      </c>
      <c r="K60" s="14">
        <v>2.02</v>
      </c>
      <c r="L60" s="14">
        <v>1.94</v>
      </c>
      <c r="M60" s="14">
        <v>1.96</v>
      </c>
      <c r="N60" s="14">
        <v>1.92</v>
      </c>
      <c r="O60" s="14">
        <v>1.92</v>
      </c>
      <c r="P60" s="97"/>
      <c r="Q60" t="e">
        <f>+VLOOKUP(A60,#REF!,1,0)</f>
        <v>#REF!</v>
      </c>
    </row>
    <row r="61" spans="1:18" hidden="1" x14ac:dyDescent="0.35">
      <c r="A61" t="s">
        <v>136</v>
      </c>
      <c r="B61">
        <v>910</v>
      </c>
      <c r="C61" t="s">
        <v>1107</v>
      </c>
      <c r="D61" s="14">
        <v>5.55</v>
      </c>
      <c r="E61" s="14">
        <v>5.68</v>
      </c>
      <c r="F61" s="14">
        <v>5.58</v>
      </c>
      <c r="G61" s="14">
        <v>5.58</v>
      </c>
      <c r="H61" s="14">
        <v>5.63</v>
      </c>
      <c r="I61" s="14">
        <v>5.76</v>
      </c>
      <c r="J61" s="14">
        <v>6.18</v>
      </c>
      <c r="K61" s="14">
        <v>5.3</v>
      </c>
      <c r="L61" s="14">
        <v>5.32</v>
      </c>
      <c r="M61" s="14">
        <v>5.24</v>
      </c>
      <c r="N61" s="14">
        <v>5.34</v>
      </c>
      <c r="O61" s="14">
        <v>5.31</v>
      </c>
      <c r="P61" s="97"/>
      <c r="Q61" t="e">
        <f>+VLOOKUP(A61,#REF!,1,0)</f>
        <v>#REF!</v>
      </c>
    </row>
    <row r="62" spans="1:18" hidden="1" x14ac:dyDescent="0.35">
      <c r="A62" t="s">
        <v>178</v>
      </c>
      <c r="B62" t="s">
        <v>530</v>
      </c>
      <c r="C62" t="s">
        <v>1118</v>
      </c>
      <c r="D62" s="14">
        <v>1.68</v>
      </c>
      <c r="E62" s="14">
        <v>1.72</v>
      </c>
      <c r="F62" s="14">
        <v>1.66</v>
      </c>
      <c r="G62" s="14">
        <v>1.66</v>
      </c>
      <c r="H62" s="14">
        <v>1.68</v>
      </c>
      <c r="I62" s="14">
        <v>1.7</v>
      </c>
      <c r="J62" s="14">
        <v>1.87</v>
      </c>
      <c r="K62" s="14">
        <v>1.63</v>
      </c>
      <c r="L62" s="14">
        <v>1.64</v>
      </c>
      <c r="M62" s="14">
        <v>1.61</v>
      </c>
      <c r="N62" s="14">
        <v>1.65</v>
      </c>
      <c r="O62" s="14">
        <v>1.64</v>
      </c>
      <c r="P62" s="97"/>
      <c r="Q62" t="e">
        <f>+VLOOKUP(A62,#REF!,1,0)</f>
        <v>#REF!</v>
      </c>
    </row>
    <row r="63" spans="1:18" hidden="1" x14ac:dyDescent="0.35">
      <c r="A63" t="s">
        <v>179</v>
      </c>
      <c r="B63">
        <v>600</v>
      </c>
      <c r="C63" t="s">
        <v>1151</v>
      </c>
      <c r="D63" s="14">
        <v>0.17</v>
      </c>
      <c r="E63" s="14">
        <v>0.09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97"/>
    </row>
    <row r="64" spans="1:18" hidden="1" x14ac:dyDescent="0.35">
      <c r="A64" t="s">
        <v>1048</v>
      </c>
      <c r="B64">
        <v>913</v>
      </c>
      <c r="C64" t="s">
        <v>1166</v>
      </c>
      <c r="D64" s="14">
        <v>0</v>
      </c>
      <c r="E64" s="14">
        <v>0</v>
      </c>
      <c r="F64" s="14">
        <v>0.03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97"/>
      <c r="Q64" t="e">
        <f>+VLOOKUP(A64,#REF!,1,0)</f>
        <v>#REF!</v>
      </c>
    </row>
    <row r="65" spans="1:17" hidden="1" x14ac:dyDescent="0.35">
      <c r="A65" t="s">
        <v>135</v>
      </c>
      <c r="B65">
        <v>990</v>
      </c>
      <c r="C65" t="s">
        <v>1110</v>
      </c>
      <c r="D65" s="14">
        <v>3.32</v>
      </c>
      <c r="E65" s="14">
        <v>3.45</v>
      </c>
      <c r="F65" s="14">
        <v>3.49</v>
      </c>
      <c r="G65" s="14">
        <v>3.49</v>
      </c>
      <c r="H65" s="14">
        <v>3.52</v>
      </c>
      <c r="I65" s="14">
        <v>3.58</v>
      </c>
      <c r="J65" s="14">
        <v>3.94</v>
      </c>
      <c r="K65" s="14">
        <v>3.43</v>
      </c>
      <c r="L65" s="14">
        <v>3.48</v>
      </c>
      <c r="M65" s="14">
        <v>3.41</v>
      </c>
      <c r="N65" s="14">
        <v>3.5</v>
      </c>
      <c r="O65" s="14">
        <v>3.47</v>
      </c>
      <c r="P65" s="97"/>
      <c r="Q65" t="e">
        <f>+VLOOKUP(A65,#REF!,1,0)</f>
        <v>#REF!</v>
      </c>
    </row>
    <row r="66" spans="1:17" hidden="1" x14ac:dyDescent="0.35">
      <c r="A66" t="s">
        <v>140</v>
      </c>
      <c r="B66" t="s">
        <v>553</v>
      </c>
      <c r="C66" t="s">
        <v>1148</v>
      </c>
      <c r="D66" s="14">
        <v>0.16</v>
      </c>
      <c r="E66" s="14">
        <v>0.24</v>
      </c>
      <c r="F66" s="14">
        <v>0.16</v>
      </c>
      <c r="G66" s="14">
        <v>0.16</v>
      </c>
      <c r="H66" s="14">
        <v>0.17</v>
      </c>
      <c r="I66" s="14">
        <v>0.17</v>
      </c>
      <c r="J66" s="14">
        <v>0.16</v>
      </c>
      <c r="K66" s="14">
        <v>0.16</v>
      </c>
      <c r="L66" s="14">
        <v>0.16</v>
      </c>
      <c r="M66" s="14">
        <v>0.16</v>
      </c>
      <c r="N66" s="14">
        <v>0.16</v>
      </c>
      <c r="O66" s="14">
        <v>0.16</v>
      </c>
      <c r="P66" s="97"/>
      <c r="Q66" t="e">
        <f>+VLOOKUP(A66,#REF!,1,0)</f>
        <v>#REF!</v>
      </c>
    </row>
    <row r="67" spans="1:17" hidden="1" x14ac:dyDescent="0.35">
      <c r="A67" t="s">
        <v>173</v>
      </c>
      <c r="B67">
        <v>1051</v>
      </c>
      <c r="C67" t="s">
        <v>1170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97"/>
      <c r="Q67" t="e">
        <f>+VLOOKUP(A67,#REF!,1,0)</f>
        <v>#REF!</v>
      </c>
    </row>
    <row r="68" spans="1:17" hidden="1" x14ac:dyDescent="0.35">
      <c r="A68" t="s">
        <v>168</v>
      </c>
      <c r="B68">
        <v>311</v>
      </c>
      <c r="C68" t="s">
        <v>1160</v>
      </c>
      <c r="D68" s="14">
        <v>0.01</v>
      </c>
      <c r="E68" s="14">
        <v>0.01</v>
      </c>
      <c r="F68" s="14">
        <v>0.01</v>
      </c>
      <c r="G68" s="14">
        <v>0.01</v>
      </c>
      <c r="H68" s="14">
        <v>0.01</v>
      </c>
      <c r="I68" s="14">
        <v>0.01</v>
      </c>
      <c r="J68" s="14">
        <v>0.01</v>
      </c>
      <c r="K68" s="14">
        <v>0.01</v>
      </c>
      <c r="L68" s="14">
        <v>0.01</v>
      </c>
      <c r="M68" s="14">
        <v>0.01</v>
      </c>
      <c r="N68" s="14">
        <v>0.01</v>
      </c>
      <c r="O68" s="14">
        <v>0.01</v>
      </c>
      <c r="P68" s="97"/>
      <c r="Q68" t="e">
        <f>+VLOOKUP(A68,#REF!,1,0)</f>
        <v>#REF!</v>
      </c>
    </row>
    <row r="69" spans="1:17" hidden="1" x14ac:dyDescent="0.35">
      <c r="A69" t="s">
        <v>165</v>
      </c>
      <c r="B69">
        <v>316</v>
      </c>
      <c r="C69" t="s">
        <v>1160</v>
      </c>
      <c r="D69" s="14">
        <v>0.06</v>
      </c>
      <c r="E69" s="14">
        <v>0.06</v>
      </c>
      <c r="F69" s="14">
        <v>0.06</v>
      </c>
      <c r="G69" s="14">
        <v>0.05</v>
      </c>
      <c r="H69" s="14">
        <v>0.06</v>
      </c>
      <c r="I69" s="14">
        <v>0.06</v>
      </c>
      <c r="J69" s="14">
        <v>0.05</v>
      </c>
      <c r="K69" s="14">
        <v>0.05</v>
      </c>
      <c r="L69" s="14">
        <v>0.05</v>
      </c>
      <c r="M69" s="14">
        <v>0.05</v>
      </c>
      <c r="N69" s="14">
        <v>0.05</v>
      </c>
      <c r="O69" s="14">
        <v>0.06</v>
      </c>
      <c r="P69" s="97"/>
      <c r="Q69" t="e">
        <f>+VLOOKUP(A69,#REF!,1,0)</f>
        <v>#REF!</v>
      </c>
    </row>
    <row r="70" spans="1:17" hidden="1" x14ac:dyDescent="0.35">
      <c r="A70" t="s">
        <v>156</v>
      </c>
      <c r="B70">
        <v>706</v>
      </c>
      <c r="C70" t="s">
        <v>1144</v>
      </c>
      <c r="D70" s="14">
        <v>0.41</v>
      </c>
      <c r="E70" s="14">
        <v>0.45</v>
      </c>
      <c r="F70" s="14">
        <v>0.37</v>
      </c>
      <c r="G70" s="14">
        <v>0.37</v>
      </c>
      <c r="H70" s="14">
        <v>0.37</v>
      </c>
      <c r="I70" s="14">
        <v>0.37</v>
      </c>
      <c r="J70" s="14">
        <v>0.33</v>
      </c>
      <c r="K70" s="14">
        <v>0.34</v>
      </c>
      <c r="L70" s="14">
        <v>0.32</v>
      </c>
      <c r="M70" s="14">
        <v>0.34</v>
      </c>
      <c r="N70" s="14">
        <v>0.33</v>
      </c>
      <c r="O70" s="14">
        <v>0.32</v>
      </c>
      <c r="P70" s="97"/>
    </row>
    <row r="71" spans="1:17" hidden="1" x14ac:dyDescent="0.35">
      <c r="A71" t="s">
        <v>160</v>
      </c>
      <c r="B71">
        <v>68</v>
      </c>
      <c r="C71" t="s">
        <v>1158</v>
      </c>
      <c r="D71" s="14">
        <f>+SUM(D72:D74)</f>
        <v>0.5</v>
      </c>
      <c r="E71" s="14">
        <f t="shared" ref="E71:O71" si="1">+SUM(E72:E74)</f>
        <v>0.5</v>
      </c>
      <c r="F71" s="14">
        <f t="shared" si="1"/>
        <v>0.48000000000000004</v>
      </c>
      <c r="G71" s="14">
        <f t="shared" si="1"/>
        <v>0.48000000000000004</v>
      </c>
      <c r="H71" s="14">
        <f t="shared" si="1"/>
        <v>0.48000000000000004</v>
      </c>
      <c r="I71" s="14">
        <f t="shared" si="1"/>
        <v>0.49</v>
      </c>
      <c r="J71" s="14">
        <f t="shared" si="1"/>
        <v>0.48000000000000004</v>
      </c>
      <c r="K71" s="14">
        <f t="shared" si="1"/>
        <v>0.48000000000000004</v>
      </c>
      <c r="L71" s="14">
        <f t="shared" si="1"/>
        <v>0.48000000000000004</v>
      </c>
      <c r="M71" s="14">
        <f t="shared" si="1"/>
        <v>0.48000000000000004</v>
      </c>
      <c r="N71" s="14">
        <f t="shared" si="1"/>
        <v>0.48000000000000004</v>
      </c>
      <c r="O71" s="14">
        <f t="shared" si="1"/>
        <v>0.48000000000000004</v>
      </c>
      <c r="P71" s="97"/>
    </row>
    <row r="72" spans="1:17" hidden="1" x14ac:dyDescent="0.35">
      <c r="A72" t="s">
        <v>160</v>
      </c>
      <c r="B72">
        <v>68</v>
      </c>
      <c r="C72" t="s">
        <v>1158</v>
      </c>
      <c r="D72" s="14">
        <v>0.09</v>
      </c>
      <c r="E72" s="14">
        <v>0.09</v>
      </c>
      <c r="F72" s="14">
        <v>7.0000000000000007E-2</v>
      </c>
      <c r="G72" s="14">
        <v>7.0000000000000007E-2</v>
      </c>
      <c r="H72" s="14">
        <v>7.0000000000000007E-2</v>
      </c>
      <c r="I72" s="14">
        <v>0.08</v>
      </c>
      <c r="J72" s="14">
        <v>7.0000000000000007E-2</v>
      </c>
      <c r="K72" s="14">
        <v>7.0000000000000007E-2</v>
      </c>
      <c r="L72" s="14">
        <v>7.0000000000000007E-2</v>
      </c>
      <c r="M72" s="14">
        <v>7.0000000000000007E-2</v>
      </c>
      <c r="N72" s="14">
        <v>7.0000000000000007E-2</v>
      </c>
      <c r="O72" s="14">
        <v>7.0000000000000007E-2</v>
      </c>
      <c r="P72" s="97"/>
      <c r="Q72" t="e">
        <f>+VLOOKUP(A72,#REF!,1,0)</f>
        <v>#REF!</v>
      </c>
    </row>
    <row r="73" spans="1:17" hidden="1" x14ac:dyDescent="0.35">
      <c r="A73" t="s">
        <v>160</v>
      </c>
      <c r="B73" t="s">
        <v>551</v>
      </c>
      <c r="C73" t="s">
        <v>1168</v>
      </c>
      <c r="D73" s="14">
        <v>0.01</v>
      </c>
      <c r="E73" s="14">
        <v>0.01</v>
      </c>
      <c r="F73" s="14">
        <v>0.01</v>
      </c>
      <c r="G73" s="14">
        <v>0.01</v>
      </c>
      <c r="H73" s="14">
        <v>0.01</v>
      </c>
      <c r="I73" s="14">
        <v>0.01</v>
      </c>
      <c r="J73" s="14">
        <v>0.01</v>
      </c>
      <c r="K73" s="14">
        <v>0.01</v>
      </c>
      <c r="L73" s="14">
        <v>0.01</v>
      </c>
      <c r="M73" s="14">
        <v>0.01</v>
      </c>
      <c r="N73" s="14">
        <v>0.01</v>
      </c>
      <c r="O73" s="14">
        <v>0.01</v>
      </c>
      <c r="P73" s="97"/>
      <c r="Q73" t="e">
        <f>+VLOOKUP(A73,#REF!,1,0)</f>
        <v>#REF!</v>
      </c>
    </row>
    <row r="74" spans="1:17" s="68" customFormat="1" hidden="1" x14ac:dyDescent="0.35">
      <c r="A74" t="s">
        <v>160</v>
      </c>
      <c r="B74" t="s">
        <v>552</v>
      </c>
      <c r="C74" t="s">
        <v>1142</v>
      </c>
      <c r="D74" s="14">
        <v>0.4</v>
      </c>
      <c r="E74" s="14">
        <v>0.4</v>
      </c>
      <c r="F74" s="14">
        <v>0.4</v>
      </c>
      <c r="G74" s="14">
        <v>0.4</v>
      </c>
      <c r="H74" s="14">
        <v>0.4</v>
      </c>
      <c r="I74" s="14">
        <v>0.4</v>
      </c>
      <c r="J74" s="14">
        <v>0.4</v>
      </c>
      <c r="K74" s="14">
        <v>0.4</v>
      </c>
      <c r="L74" s="14">
        <v>0.4</v>
      </c>
      <c r="M74" s="14">
        <v>0.4</v>
      </c>
      <c r="N74" s="14">
        <v>0.4</v>
      </c>
      <c r="O74" s="14">
        <v>0.4</v>
      </c>
      <c r="P74" s="97"/>
      <c r="Q74" t="e">
        <f>+VLOOKUP(A74,#REF!,1,0)</f>
        <v>#REF!</v>
      </c>
    </row>
    <row r="75" spans="1:17" hidden="1" x14ac:dyDescent="0.35">
      <c r="A75" t="s">
        <v>186</v>
      </c>
      <c r="B75">
        <v>214</v>
      </c>
      <c r="C75" t="s">
        <v>1095</v>
      </c>
      <c r="D75" s="14">
        <v>73.34</v>
      </c>
      <c r="E75" s="14">
        <v>82.47</v>
      </c>
      <c r="F75" s="14">
        <v>82.27</v>
      </c>
      <c r="G75" s="14">
        <v>81.87</v>
      </c>
      <c r="H75" s="14">
        <v>81.55</v>
      </c>
      <c r="I75" s="14">
        <v>80.5</v>
      </c>
      <c r="J75" s="14">
        <v>82.9</v>
      </c>
      <c r="K75" s="14">
        <v>81.75</v>
      </c>
      <c r="L75" s="14">
        <v>84.83</v>
      </c>
      <c r="M75" s="14">
        <v>82.13</v>
      </c>
      <c r="N75" s="14">
        <v>78.66</v>
      </c>
      <c r="O75" s="14">
        <v>83.97</v>
      </c>
      <c r="P75" s="97"/>
      <c r="Q75" t="e">
        <f>+VLOOKUP(A75,#REF!,1,0)</f>
        <v>#REF!</v>
      </c>
    </row>
    <row r="76" spans="1:17" hidden="1" x14ac:dyDescent="0.35">
      <c r="A76" t="s">
        <v>151</v>
      </c>
      <c r="B76">
        <v>1059</v>
      </c>
      <c r="C76" t="s">
        <v>1135</v>
      </c>
      <c r="D76" s="14">
        <v>0.36</v>
      </c>
      <c r="E76" s="14">
        <v>0.36</v>
      </c>
      <c r="F76" s="14">
        <v>0.37</v>
      </c>
      <c r="G76" s="14">
        <v>0.36</v>
      </c>
      <c r="H76" s="14">
        <v>0.37</v>
      </c>
      <c r="I76" s="14">
        <v>0.38</v>
      </c>
      <c r="J76" s="14">
        <v>0.45</v>
      </c>
      <c r="K76" s="14">
        <v>0.38</v>
      </c>
      <c r="L76" s="14">
        <v>0.37</v>
      </c>
      <c r="M76" s="14">
        <v>0.36</v>
      </c>
      <c r="N76" s="14">
        <v>0.37</v>
      </c>
      <c r="O76" s="14">
        <v>0.37</v>
      </c>
      <c r="P76" s="97"/>
      <c r="Q76" t="e">
        <f>+VLOOKUP(A76,#REF!,1,0)</f>
        <v>#REF!</v>
      </c>
    </row>
    <row r="77" spans="1:17" hidden="1" x14ac:dyDescent="0.35">
      <c r="A77" t="s">
        <v>180</v>
      </c>
      <c r="B77">
        <v>121</v>
      </c>
      <c r="C77" t="s">
        <v>1086</v>
      </c>
      <c r="D77" s="14">
        <v>975.39</v>
      </c>
      <c r="E77" s="14">
        <v>1000.99</v>
      </c>
      <c r="F77" s="14">
        <v>975.21</v>
      </c>
      <c r="G77" s="14"/>
      <c r="H77" s="14"/>
      <c r="I77" s="14"/>
      <c r="J77" s="14"/>
      <c r="K77" s="14"/>
      <c r="L77" s="14"/>
      <c r="M77" s="14"/>
      <c r="N77" s="14"/>
      <c r="O77" s="14"/>
      <c r="P77" s="97"/>
      <c r="Q77" t="e">
        <f>+VLOOKUP(A77,#REF!,1,0)</f>
        <v>#REF!</v>
      </c>
    </row>
    <row r="78" spans="1:17" hidden="1" x14ac:dyDescent="0.35">
      <c r="A78" t="s">
        <v>180</v>
      </c>
      <c r="B78">
        <v>122</v>
      </c>
      <c r="C78" t="s">
        <v>1079</v>
      </c>
      <c r="D78" s="14">
        <v>819.21</v>
      </c>
      <c r="E78" s="14">
        <v>900.74</v>
      </c>
      <c r="F78" s="14">
        <v>644.53</v>
      </c>
      <c r="G78" s="14">
        <v>1607.06</v>
      </c>
      <c r="H78" s="14">
        <v>1597.75</v>
      </c>
      <c r="I78" s="14">
        <v>1762.37</v>
      </c>
      <c r="J78" s="14">
        <v>1687.24</v>
      </c>
      <c r="K78" s="14">
        <v>1510.81</v>
      </c>
      <c r="L78" s="14">
        <v>1501.4</v>
      </c>
      <c r="M78" s="14">
        <v>1499.38</v>
      </c>
      <c r="N78" s="14">
        <v>1500.87</v>
      </c>
      <c r="O78" s="14">
        <v>1514.77</v>
      </c>
      <c r="P78" s="97"/>
      <c r="Q78" t="e">
        <f>+VLOOKUP(A78,#REF!,1,0)</f>
        <v>#REF!</v>
      </c>
    </row>
    <row r="79" spans="1:17" hidden="1" x14ac:dyDescent="0.35">
      <c r="A79" t="s">
        <v>1078</v>
      </c>
      <c r="B79">
        <v>527</v>
      </c>
      <c r="C79" t="s">
        <v>1152</v>
      </c>
      <c r="D79" s="14">
        <v>0.15</v>
      </c>
      <c r="E79" s="14">
        <v>0.15</v>
      </c>
      <c r="F79" s="14">
        <v>0.19</v>
      </c>
      <c r="G79" s="14">
        <v>0.22</v>
      </c>
      <c r="H79" s="14">
        <v>0.15</v>
      </c>
      <c r="I79" s="14">
        <v>0.15</v>
      </c>
      <c r="J79" s="14">
        <v>0.17</v>
      </c>
      <c r="K79" s="14">
        <v>0.17</v>
      </c>
      <c r="L79" s="14">
        <v>0.16</v>
      </c>
      <c r="M79" s="14">
        <v>0.16</v>
      </c>
      <c r="N79" s="14">
        <v>0.16</v>
      </c>
      <c r="O79" s="14">
        <v>0.15</v>
      </c>
      <c r="P79" s="97"/>
      <c r="Q79" t="e">
        <f>+VLOOKUP(A79,#REF!,1,0)</f>
        <v>#REF!</v>
      </c>
    </row>
    <row r="80" spans="1:17" hidden="1" x14ac:dyDescent="0.35">
      <c r="A80" t="s">
        <v>170</v>
      </c>
      <c r="B80" t="s">
        <v>522</v>
      </c>
      <c r="C80" t="s">
        <v>1112</v>
      </c>
      <c r="D80" s="14">
        <v>3.37</v>
      </c>
      <c r="E80" s="14">
        <v>2.85</v>
      </c>
      <c r="F80" s="14">
        <v>2.85</v>
      </c>
      <c r="G80" s="14">
        <v>2.85</v>
      </c>
      <c r="H80" s="14">
        <v>2.85</v>
      </c>
      <c r="I80" s="14">
        <v>2.85</v>
      </c>
      <c r="J80" s="14">
        <v>2.52</v>
      </c>
      <c r="K80" s="14">
        <v>2.57</v>
      </c>
      <c r="L80" s="14">
        <v>2.41</v>
      </c>
      <c r="M80" s="14">
        <v>2.59</v>
      </c>
      <c r="N80" s="14">
        <v>2.4500000000000002</v>
      </c>
      <c r="O80" s="14">
        <v>2.34</v>
      </c>
      <c r="P80" s="97"/>
      <c r="Q80" t="e">
        <f>+VLOOKUP(A80,#REF!,1,0)</f>
        <v>#REF!</v>
      </c>
    </row>
    <row r="81" spans="1:17" hidden="1" x14ac:dyDescent="0.35">
      <c r="A81" t="s">
        <v>183</v>
      </c>
      <c r="B81">
        <v>410</v>
      </c>
      <c r="C81" t="s">
        <v>1087</v>
      </c>
      <c r="D81" s="14">
        <f>+SUM(D82:D83)</f>
        <v>814.54</v>
      </c>
      <c r="E81" s="14">
        <f t="shared" ref="E81:O81" si="2">+SUM(E82:E83)</f>
        <v>909.36</v>
      </c>
      <c r="F81" s="14">
        <f t="shared" si="2"/>
        <v>862.41000000000008</v>
      </c>
      <c r="G81" s="14">
        <f t="shared" si="2"/>
        <v>852.64</v>
      </c>
      <c r="H81" s="14">
        <f t="shared" si="2"/>
        <v>897.47</v>
      </c>
      <c r="I81" s="14">
        <f t="shared" si="2"/>
        <v>943.63000000000011</v>
      </c>
      <c r="J81" s="14">
        <f t="shared" si="2"/>
        <v>935.64</v>
      </c>
      <c r="K81" s="14">
        <f t="shared" si="2"/>
        <v>848.38</v>
      </c>
      <c r="L81" s="14">
        <f t="shared" si="2"/>
        <v>856.6099999999999</v>
      </c>
      <c r="M81" s="14">
        <f t="shared" si="2"/>
        <v>841.13</v>
      </c>
      <c r="N81" s="14">
        <f t="shared" si="2"/>
        <v>842.72</v>
      </c>
      <c r="O81" s="14">
        <f t="shared" si="2"/>
        <v>859.04</v>
      </c>
      <c r="P81" s="97"/>
    </row>
    <row r="82" spans="1:17" hidden="1" x14ac:dyDescent="0.35">
      <c r="A82" t="s">
        <v>183</v>
      </c>
      <c r="B82">
        <v>410</v>
      </c>
      <c r="C82" t="s">
        <v>1087</v>
      </c>
      <c r="D82" s="14">
        <v>429.94</v>
      </c>
      <c r="E82" s="14">
        <v>447.13</v>
      </c>
      <c r="F82" s="14">
        <v>450.93</v>
      </c>
      <c r="G82" s="14">
        <v>448.84</v>
      </c>
      <c r="H82" s="14">
        <v>454.88</v>
      </c>
      <c r="I82" s="14">
        <v>474.72</v>
      </c>
      <c r="J82" s="14">
        <v>525.52</v>
      </c>
      <c r="K82" s="14">
        <v>445.49</v>
      </c>
      <c r="L82" s="14">
        <v>447.03</v>
      </c>
      <c r="M82" s="14">
        <v>438.71</v>
      </c>
      <c r="N82" s="14">
        <v>448.92</v>
      </c>
      <c r="O82" s="14">
        <v>446</v>
      </c>
      <c r="P82" s="97"/>
      <c r="Q82" t="e">
        <f>+VLOOKUP(A82,#REF!,1,0)</f>
        <v>#REF!</v>
      </c>
    </row>
    <row r="83" spans="1:17" hidden="1" x14ac:dyDescent="0.35">
      <c r="A83" t="s">
        <v>183</v>
      </c>
      <c r="B83" t="s">
        <v>1183</v>
      </c>
      <c r="C83" t="s">
        <v>1189</v>
      </c>
      <c r="D83" s="14">
        <v>384.6</v>
      </c>
      <c r="E83" s="14">
        <v>462.23</v>
      </c>
      <c r="F83" s="14">
        <v>411.48</v>
      </c>
      <c r="G83" s="14">
        <v>403.8</v>
      </c>
      <c r="H83" s="14">
        <v>442.59</v>
      </c>
      <c r="I83" s="14">
        <v>468.91</v>
      </c>
      <c r="J83" s="14">
        <v>410.12</v>
      </c>
      <c r="K83" s="14">
        <v>402.89</v>
      </c>
      <c r="L83" s="14">
        <v>409.58</v>
      </c>
      <c r="M83" s="14">
        <v>402.42</v>
      </c>
      <c r="N83" s="14">
        <v>393.8</v>
      </c>
      <c r="O83" s="14">
        <v>413.04</v>
      </c>
      <c r="P83" s="97"/>
      <c r="Q83" t="e">
        <f>+VLOOKUP(A83,#REF!,1,0)</f>
        <v>#REF!</v>
      </c>
    </row>
    <row r="84" spans="1:17" x14ac:dyDescent="0.35">
      <c r="A84" t="s">
        <v>145</v>
      </c>
      <c r="B84">
        <v>1068</v>
      </c>
      <c r="C84" t="s">
        <v>1120</v>
      </c>
      <c r="D84" s="14">
        <v>1.25</v>
      </c>
      <c r="E84" s="14">
        <v>1.3</v>
      </c>
      <c r="F84" s="14">
        <v>1.31</v>
      </c>
      <c r="G84" s="14">
        <v>1.31</v>
      </c>
      <c r="H84" s="14">
        <v>1.32</v>
      </c>
      <c r="I84" s="14">
        <v>1.34</v>
      </c>
      <c r="J84" s="14">
        <v>1.49</v>
      </c>
      <c r="K84" s="14">
        <v>1.29</v>
      </c>
      <c r="L84" s="14">
        <v>1.3</v>
      </c>
      <c r="M84" s="14">
        <v>1.28</v>
      </c>
      <c r="N84" s="14">
        <v>1.31</v>
      </c>
      <c r="O84" s="14">
        <v>1.3</v>
      </c>
      <c r="P84" s="97"/>
      <c r="Q84" t="e">
        <f>+VLOOKUP(A84,#REF!,1,0)</f>
        <v>#REF!</v>
      </c>
    </row>
    <row r="85" spans="1:17" hidden="1" x14ac:dyDescent="0.35">
      <c r="A85" t="s">
        <v>134</v>
      </c>
      <c r="B85">
        <v>806</v>
      </c>
      <c r="C85" t="s">
        <v>1113</v>
      </c>
      <c r="D85" s="14">
        <v>4.17</v>
      </c>
      <c r="E85" s="14">
        <v>4.18</v>
      </c>
      <c r="F85" s="14">
        <v>4.2</v>
      </c>
      <c r="G85" s="14">
        <v>4.22</v>
      </c>
      <c r="H85" s="14">
        <v>4.32</v>
      </c>
      <c r="I85" s="14">
        <v>4.33</v>
      </c>
      <c r="J85" s="14">
        <v>4.26</v>
      </c>
      <c r="K85" s="14">
        <v>4.24</v>
      </c>
      <c r="L85" s="14">
        <v>4.37</v>
      </c>
      <c r="M85" s="14">
        <v>4.26</v>
      </c>
      <c r="N85" s="14">
        <v>4.1100000000000003</v>
      </c>
      <c r="O85" s="14">
        <v>4.3099999999999996</v>
      </c>
      <c r="P85" s="97"/>
    </row>
    <row r="86" spans="1:17" hidden="1" x14ac:dyDescent="0.35">
      <c r="A86" t="s">
        <v>144</v>
      </c>
      <c r="B86">
        <v>810</v>
      </c>
      <c r="C86" t="s">
        <v>1141</v>
      </c>
      <c r="D86" s="14">
        <v>0.41</v>
      </c>
      <c r="E86" s="14">
        <v>0.41</v>
      </c>
      <c r="F86" s="14">
        <v>0.41</v>
      </c>
      <c r="G86" s="14">
        <v>0.42</v>
      </c>
      <c r="H86" s="14">
        <v>0.44</v>
      </c>
      <c r="I86" s="14">
        <v>0.44</v>
      </c>
      <c r="J86" s="14">
        <v>0.43</v>
      </c>
      <c r="K86" s="14">
        <v>0.42</v>
      </c>
      <c r="L86" s="14">
        <v>0.44</v>
      </c>
      <c r="M86" s="14">
        <v>0.43</v>
      </c>
      <c r="N86" s="14">
        <v>0.4</v>
      </c>
      <c r="O86" s="14">
        <v>0.43</v>
      </c>
      <c r="P86" s="97"/>
      <c r="Q86" t="e">
        <f>+VLOOKUP(A86,#REF!,1,0)</f>
        <v>#REF!</v>
      </c>
    </row>
    <row r="87" spans="1:17" hidden="1" x14ac:dyDescent="0.35">
      <c r="A87" t="s">
        <v>174</v>
      </c>
      <c r="B87">
        <v>170</v>
      </c>
      <c r="C87" t="s">
        <v>1133</v>
      </c>
      <c r="D87" s="14">
        <v>0.74</v>
      </c>
      <c r="E87" s="14">
        <v>0.57999999999999996</v>
      </c>
      <c r="F87" s="14">
        <v>0.57999999999999996</v>
      </c>
      <c r="G87" s="14">
        <v>0.57999999999999996</v>
      </c>
      <c r="H87" s="14">
        <v>0.57999999999999996</v>
      </c>
      <c r="I87" s="14">
        <v>0.57999999999999996</v>
      </c>
      <c r="J87" s="14">
        <v>0.5</v>
      </c>
      <c r="K87" s="14">
        <v>0.51</v>
      </c>
      <c r="L87" s="14">
        <v>0.48</v>
      </c>
      <c r="M87" s="14">
        <v>0.52</v>
      </c>
      <c r="N87" s="14">
        <v>0.49</v>
      </c>
      <c r="O87" s="14">
        <v>0.47</v>
      </c>
      <c r="P87" s="97"/>
      <c r="Q87" t="e">
        <f>+VLOOKUP(A87,#REF!,1,0)</f>
        <v>#REF!</v>
      </c>
    </row>
    <row r="88" spans="1:17" hidden="1" x14ac:dyDescent="0.35">
      <c r="A88" t="s">
        <v>159</v>
      </c>
      <c r="B88">
        <v>70</v>
      </c>
      <c r="C88" t="s">
        <v>1130</v>
      </c>
      <c r="D88" s="14">
        <v>0.8</v>
      </c>
      <c r="E88" s="14">
        <v>0.8</v>
      </c>
      <c r="F88" s="14">
        <v>0.8</v>
      </c>
      <c r="G88" s="14">
        <v>0.8</v>
      </c>
      <c r="H88" s="14">
        <v>0.8</v>
      </c>
      <c r="I88" s="14">
        <v>0.8</v>
      </c>
      <c r="J88" s="14">
        <v>0.8</v>
      </c>
      <c r="K88" s="14">
        <v>0.8</v>
      </c>
      <c r="L88" s="14">
        <v>0.8</v>
      </c>
      <c r="M88" s="14">
        <v>0.8</v>
      </c>
      <c r="N88" s="14">
        <v>0.8</v>
      </c>
      <c r="O88" s="14">
        <v>0.8</v>
      </c>
      <c r="P88" s="97"/>
    </row>
    <row r="89" spans="1:17" hidden="1" x14ac:dyDescent="0.35">
      <c r="A89" t="s">
        <v>172</v>
      </c>
      <c r="B89">
        <v>58</v>
      </c>
      <c r="C89" t="s">
        <v>1137</v>
      </c>
      <c r="D89" s="14">
        <v>0.67</v>
      </c>
      <c r="E89" s="14">
        <v>0.75</v>
      </c>
      <c r="F89" s="14">
        <v>0.73</v>
      </c>
      <c r="G89" s="14">
        <v>0.76</v>
      </c>
      <c r="H89" s="14">
        <v>0.68</v>
      </c>
      <c r="I89" s="14">
        <v>0.76</v>
      </c>
      <c r="J89" s="14">
        <v>0.62</v>
      </c>
      <c r="K89" s="14">
        <v>0.62</v>
      </c>
      <c r="L89" s="14">
        <v>0.6</v>
      </c>
      <c r="M89" s="14">
        <v>0.6</v>
      </c>
      <c r="N89" s="14">
        <v>0.59</v>
      </c>
      <c r="O89" s="14">
        <v>0.6</v>
      </c>
      <c r="P89" s="97"/>
      <c r="Q89" t="e">
        <f>+VLOOKUP(A89,#REF!,1,0)</f>
        <v>#REF!</v>
      </c>
    </row>
    <row r="90" spans="1:17" hidden="1" x14ac:dyDescent="0.35">
      <c r="A90" t="s">
        <v>163</v>
      </c>
      <c r="B90">
        <v>933</v>
      </c>
      <c r="C90" t="s">
        <v>1153</v>
      </c>
      <c r="D90" s="14">
        <v>0.17</v>
      </c>
      <c r="E90" s="14">
        <v>0.17</v>
      </c>
      <c r="F90" s="14">
        <v>0.17</v>
      </c>
      <c r="G90" s="14">
        <v>0.17</v>
      </c>
      <c r="H90" s="14">
        <v>0.18</v>
      </c>
      <c r="I90" s="14">
        <v>0.18</v>
      </c>
      <c r="J90" s="14">
        <v>0.18</v>
      </c>
      <c r="K90" s="14">
        <v>0.18</v>
      </c>
      <c r="L90" s="14">
        <v>0.19</v>
      </c>
      <c r="M90" s="14">
        <v>0.18</v>
      </c>
      <c r="N90" s="14">
        <v>0.17</v>
      </c>
      <c r="O90" s="14">
        <v>0.19</v>
      </c>
      <c r="P90" s="97"/>
      <c r="Q90" t="e">
        <f>+VLOOKUP(A90,#REF!,1,0)</f>
        <v>#REF!</v>
      </c>
    </row>
    <row r="91" spans="1:17" hidden="1" x14ac:dyDescent="0.35">
      <c r="A91" t="s">
        <v>132</v>
      </c>
      <c r="B91">
        <v>704</v>
      </c>
      <c r="C91" t="s">
        <v>1099</v>
      </c>
      <c r="D91" s="14">
        <v>27.84</v>
      </c>
      <c r="E91" s="14">
        <v>28.46</v>
      </c>
      <c r="F91" s="14">
        <v>22.2</v>
      </c>
      <c r="G91" s="14">
        <v>22.46</v>
      </c>
      <c r="H91" s="14">
        <v>21.18</v>
      </c>
      <c r="I91" s="14">
        <v>22.44</v>
      </c>
      <c r="J91" s="14">
        <v>19.78</v>
      </c>
      <c r="K91" s="14">
        <v>19.54</v>
      </c>
      <c r="L91" s="14">
        <v>19.28</v>
      </c>
      <c r="M91" s="14">
        <v>19.28</v>
      </c>
      <c r="N91" s="14">
        <v>18.71</v>
      </c>
      <c r="O91" s="14">
        <v>20.67</v>
      </c>
      <c r="P91" s="97"/>
      <c r="Q91" t="e">
        <f>+VLOOKUP(A91,#REF!,1,0)</f>
        <v>#REF!</v>
      </c>
    </row>
    <row r="92" spans="1:17" hidden="1" x14ac:dyDescent="0.35">
      <c r="A92" t="s">
        <v>155</v>
      </c>
      <c r="B92">
        <v>907</v>
      </c>
      <c r="C92" t="s">
        <v>1164</v>
      </c>
      <c r="D92" s="14">
        <v>0.03</v>
      </c>
      <c r="E92" s="14">
        <v>0.03</v>
      </c>
      <c r="F92" s="14">
        <v>0.03</v>
      </c>
      <c r="G92" s="14">
        <v>0.03</v>
      </c>
      <c r="H92" s="14">
        <v>0.03</v>
      </c>
      <c r="I92" s="14">
        <v>0.03</v>
      </c>
      <c r="J92" s="14">
        <v>0.03</v>
      </c>
      <c r="K92" s="14">
        <v>0.03</v>
      </c>
      <c r="L92" s="14">
        <v>0.03</v>
      </c>
      <c r="M92" s="14">
        <v>0.03</v>
      </c>
      <c r="N92" s="14">
        <v>0.03</v>
      </c>
      <c r="O92" s="14">
        <v>0.03</v>
      </c>
      <c r="P92" s="97"/>
      <c r="Q92" t="e">
        <f>+VLOOKUP(A92,#REF!,1,0)</f>
        <v>#REF!</v>
      </c>
    </row>
    <row r="93" spans="1:17" hidden="1" x14ac:dyDescent="0.35">
      <c r="A93" t="s">
        <v>167</v>
      </c>
      <c r="B93">
        <v>601</v>
      </c>
      <c r="C93" t="s">
        <v>1169</v>
      </c>
      <c r="D93" s="103">
        <v>0</v>
      </c>
      <c r="E93" s="103">
        <v>0</v>
      </c>
      <c r="F93" s="103">
        <v>0</v>
      </c>
      <c r="G93" s="103">
        <v>0</v>
      </c>
      <c r="H93" s="103">
        <v>0</v>
      </c>
      <c r="I93" s="103">
        <v>0</v>
      </c>
      <c r="J93" s="103">
        <v>0</v>
      </c>
      <c r="K93" s="103">
        <v>0</v>
      </c>
      <c r="L93" s="103">
        <v>0</v>
      </c>
      <c r="M93" s="103">
        <v>0</v>
      </c>
      <c r="N93" s="103">
        <v>0</v>
      </c>
      <c r="O93" s="103">
        <v>0</v>
      </c>
      <c r="P93" s="107"/>
      <c r="Q93" t="e">
        <f>+VLOOKUP(A93,#REF!,1,0)</f>
        <v>#REF!</v>
      </c>
    </row>
    <row r="94" spans="1:17" hidden="1" x14ac:dyDescent="0.35">
      <c r="A94" t="s">
        <v>185</v>
      </c>
      <c r="B94" t="s">
        <v>1184</v>
      </c>
      <c r="C94" t="s">
        <v>1192</v>
      </c>
      <c r="D94" s="14">
        <v>77.31</v>
      </c>
      <c r="E94" s="14">
        <v>80.97</v>
      </c>
      <c r="F94" s="14">
        <v>83.14</v>
      </c>
      <c r="G94" s="14">
        <v>82.81</v>
      </c>
      <c r="H94" s="14">
        <v>83.74</v>
      </c>
      <c r="I94" s="14"/>
      <c r="J94" s="14"/>
      <c r="K94" s="14"/>
      <c r="L94" s="14"/>
      <c r="M94" s="14"/>
      <c r="N94" s="14"/>
      <c r="O94" s="14"/>
      <c r="P94" s="97"/>
      <c r="Q94" t="e">
        <f>+VLOOKUP(A94,#REF!,1,0)</f>
        <v>#REF!</v>
      </c>
    </row>
    <row r="95" spans="1:17" hidden="1" x14ac:dyDescent="0.35">
      <c r="A95" t="s">
        <v>973</v>
      </c>
      <c r="B95">
        <v>1050</v>
      </c>
      <c r="C95" t="s">
        <v>1139</v>
      </c>
      <c r="D95" s="14">
        <v>0.39</v>
      </c>
      <c r="E95" s="14">
        <v>0.47</v>
      </c>
      <c r="F95" s="14">
        <v>0.34</v>
      </c>
      <c r="G95" s="14">
        <v>0.33</v>
      </c>
      <c r="H95" s="14">
        <v>0.33</v>
      </c>
      <c r="I95" s="14">
        <v>0.33</v>
      </c>
      <c r="J95" s="14">
        <v>0.35</v>
      </c>
      <c r="K95" s="14">
        <v>0.33</v>
      </c>
      <c r="L95" s="14">
        <v>0.32</v>
      </c>
      <c r="M95" s="14">
        <v>0.33</v>
      </c>
      <c r="N95" s="14">
        <v>0.32</v>
      </c>
      <c r="O95" s="14">
        <v>0.34</v>
      </c>
      <c r="P95" s="97"/>
      <c r="Q95" t="e">
        <f>+VLOOKUP(A95,#REF!,1,0)</f>
        <v>#REF!</v>
      </c>
    </row>
    <row r="96" spans="1:17" hidden="1" x14ac:dyDescent="0.35">
      <c r="A96" t="s">
        <v>162</v>
      </c>
      <c r="B96">
        <v>716</v>
      </c>
      <c r="C96" t="s">
        <v>1122</v>
      </c>
      <c r="D96" s="14">
        <v>1.23</v>
      </c>
      <c r="E96" s="14">
        <v>1.42</v>
      </c>
      <c r="F96" s="14">
        <v>1.5</v>
      </c>
      <c r="G96" s="14">
        <v>1.44</v>
      </c>
      <c r="H96" s="14">
        <v>1.24</v>
      </c>
      <c r="I96" s="14">
        <v>1.3</v>
      </c>
      <c r="J96" s="14">
        <v>1.24</v>
      </c>
      <c r="K96" s="14">
        <v>1.26</v>
      </c>
      <c r="L96" s="14">
        <v>1.19</v>
      </c>
      <c r="M96" s="14">
        <v>1.24</v>
      </c>
      <c r="N96" s="14">
        <v>1.2</v>
      </c>
      <c r="O96" s="14">
        <v>1.1599999999999999</v>
      </c>
      <c r="P96" s="97"/>
      <c r="Q96" t="e">
        <f>+VLOOKUP(A96,#REF!,1,0)</f>
        <v>#REF!</v>
      </c>
    </row>
    <row r="97" spans="1:17" hidden="1" x14ac:dyDescent="0.35">
      <c r="A97" t="s">
        <v>133</v>
      </c>
      <c r="B97" t="s">
        <v>540</v>
      </c>
      <c r="C97" t="s">
        <v>541</v>
      </c>
      <c r="D97" s="14">
        <v>37.49</v>
      </c>
      <c r="E97" s="14">
        <v>38.299999999999997</v>
      </c>
      <c r="F97" s="14">
        <v>31.66</v>
      </c>
      <c r="G97" s="14">
        <v>33.18</v>
      </c>
      <c r="H97" s="14">
        <v>30.4</v>
      </c>
      <c r="I97" s="14">
        <v>31.64</v>
      </c>
      <c r="J97" s="14">
        <v>30.58</v>
      </c>
      <c r="K97" s="14">
        <v>28.46</v>
      </c>
      <c r="L97" s="14">
        <v>28.05</v>
      </c>
      <c r="M97" s="14">
        <v>28.21</v>
      </c>
      <c r="N97" s="14">
        <v>28.07</v>
      </c>
      <c r="O97" s="14">
        <v>27.92</v>
      </c>
      <c r="P97" s="97"/>
      <c r="Q97" t="e">
        <f>+VLOOKUP(A97,#REF!,1,0)</f>
        <v>#REF!</v>
      </c>
    </row>
    <row r="98" spans="1:17" hidden="1" x14ac:dyDescent="0.35">
      <c r="A98" t="s">
        <v>459</v>
      </c>
      <c r="B98">
        <v>951</v>
      </c>
      <c r="C98" t="s">
        <v>1190</v>
      </c>
      <c r="D98" s="14">
        <v>0.05</v>
      </c>
      <c r="E98" s="14">
        <v>0.04</v>
      </c>
      <c r="F98" s="14">
        <v>0.04</v>
      </c>
      <c r="G98" s="14">
        <v>0.04</v>
      </c>
      <c r="H98" s="14">
        <v>0.04</v>
      </c>
      <c r="I98" s="14">
        <v>0.04</v>
      </c>
      <c r="J98" s="14">
        <v>0.03</v>
      </c>
      <c r="K98" s="14">
        <v>0.03</v>
      </c>
      <c r="L98" s="14">
        <v>0.03</v>
      </c>
      <c r="M98" s="14">
        <v>0.03</v>
      </c>
      <c r="N98" s="14">
        <v>0.03</v>
      </c>
      <c r="O98" s="14">
        <v>0.03</v>
      </c>
      <c r="P98" s="97"/>
      <c r="Q98" t="e">
        <f>+VLOOKUP(A98,#REF!,1,0)</f>
        <v>#REF!</v>
      </c>
    </row>
    <row r="99" spans="1:17" hidden="1" x14ac:dyDescent="0.35">
      <c r="A99" t="s">
        <v>169</v>
      </c>
      <c r="B99">
        <v>685</v>
      </c>
      <c r="C99" t="s">
        <v>1167</v>
      </c>
      <c r="D99" s="14">
        <v>0</v>
      </c>
      <c r="E99" s="14">
        <v>0.01</v>
      </c>
      <c r="F99" s="14">
        <v>0</v>
      </c>
      <c r="G99" s="14">
        <v>0.01</v>
      </c>
      <c r="H99" s="14">
        <v>0.01</v>
      </c>
      <c r="I99" s="14">
        <v>0.01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97"/>
      <c r="Q99" t="e">
        <f>+VLOOKUP(A99,#REF!,1,0)</f>
        <v>#REF!</v>
      </c>
    </row>
    <row r="100" spans="1:17" hidden="1" x14ac:dyDescent="0.35">
      <c r="A100" t="s">
        <v>161</v>
      </c>
      <c r="B100" t="s">
        <v>535</v>
      </c>
      <c r="C100" t="s">
        <v>1143</v>
      </c>
      <c r="D100" s="14">
        <v>0.48</v>
      </c>
      <c r="E100" s="14">
        <v>0.48</v>
      </c>
      <c r="F100" s="14">
        <v>0.48</v>
      </c>
      <c r="G100" s="14">
        <v>0.48</v>
      </c>
      <c r="H100" s="14">
        <v>0.5</v>
      </c>
      <c r="I100" s="14">
        <v>0.5</v>
      </c>
      <c r="J100" s="14">
        <v>0.5</v>
      </c>
      <c r="K100" s="14">
        <v>0.49</v>
      </c>
      <c r="L100" s="14">
        <v>0.51</v>
      </c>
      <c r="M100" s="14">
        <v>0.5</v>
      </c>
      <c r="N100" s="14">
        <v>0.47</v>
      </c>
      <c r="O100" s="14">
        <v>0.5</v>
      </c>
      <c r="P100" s="97"/>
      <c r="Q100" t="e">
        <f>+VLOOKUP(A100,#REF!,1,0)</f>
        <v>#REF!</v>
      </c>
    </row>
    <row r="101" spans="1:17" hidden="1" x14ac:dyDescent="0.35">
      <c r="A101" t="s">
        <v>139</v>
      </c>
      <c r="B101">
        <v>379</v>
      </c>
      <c r="C101" t="s">
        <v>1105</v>
      </c>
      <c r="D101" s="14">
        <v>7.71</v>
      </c>
      <c r="E101" s="14">
        <v>8.41</v>
      </c>
      <c r="F101" s="14">
        <v>6.34</v>
      </c>
      <c r="G101" s="14">
        <v>6.73</v>
      </c>
      <c r="H101" s="14">
        <v>6.04</v>
      </c>
      <c r="I101" s="14">
        <v>6.34</v>
      </c>
      <c r="J101" s="14">
        <v>5.68</v>
      </c>
      <c r="K101" s="14">
        <v>5.56</v>
      </c>
      <c r="L101" s="14">
        <v>5.39</v>
      </c>
      <c r="M101" s="14">
        <v>5.49</v>
      </c>
      <c r="N101" s="14">
        <v>5.39</v>
      </c>
      <c r="O101" s="14">
        <v>5.37</v>
      </c>
      <c r="P101" s="97"/>
      <c r="Q101" t="e">
        <f>+VLOOKUP(A101,#REF!,1,0)</f>
        <v>#REF!</v>
      </c>
    </row>
    <row r="102" spans="1:17" hidden="1" x14ac:dyDescent="0.35">
      <c r="A102" t="s">
        <v>1193</v>
      </c>
      <c r="B102">
        <v>871</v>
      </c>
      <c r="C102" t="s">
        <v>554</v>
      </c>
      <c r="D102" s="14">
        <v>2316.12</v>
      </c>
      <c r="E102" s="14">
        <v>2450.2199999999998</v>
      </c>
      <c r="F102" s="14">
        <v>1886.55</v>
      </c>
      <c r="G102" s="14">
        <v>1955.25</v>
      </c>
      <c r="H102" s="14">
        <v>1690.46</v>
      </c>
      <c r="I102" s="14">
        <v>1788.42</v>
      </c>
      <c r="J102" s="14">
        <v>1636.12</v>
      </c>
      <c r="K102" s="14">
        <v>1625.35</v>
      </c>
      <c r="L102" s="14">
        <v>1588.28</v>
      </c>
      <c r="M102" s="14">
        <v>1595.84</v>
      </c>
      <c r="N102" s="14">
        <v>1564.15</v>
      </c>
      <c r="O102" s="14">
        <v>1590.98</v>
      </c>
      <c r="P102" s="97"/>
      <c r="Q102" t="e">
        <f>+VLOOKUP(A102,#REF!,1,0)</f>
        <v>#REF!</v>
      </c>
    </row>
    <row r="103" spans="1:17" hidden="1" x14ac:dyDescent="0.35">
      <c r="A103" t="s">
        <v>1194</v>
      </c>
      <c r="B103">
        <v>17</v>
      </c>
      <c r="C103" t="s">
        <v>1089</v>
      </c>
      <c r="D103" s="14">
        <v>519.70000000000005</v>
      </c>
      <c r="E103" s="14">
        <v>538.36</v>
      </c>
      <c r="F103" s="14">
        <v>533.29</v>
      </c>
      <c r="G103" s="14">
        <v>531.28</v>
      </c>
      <c r="H103" s="14">
        <v>563.1</v>
      </c>
      <c r="I103" s="14">
        <v>595.4</v>
      </c>
      <c r="J103" s="14">
        <v>655.15</v>
      </c>
      <c r="K103" s="14">
        <v>555.15</v>
      </c>
      <c r="L103" s="14">
        <v>556.52</v>
      </c>
      <c r="M103" s="14">
        <v>547.08000000000004</v>
      </c>
      <c r="N103" s="14">
        <v>558.66</v>
      </c>
      <c r="O103" s="14">
        <v>555.35</v>
      </c>
      <c r="P103" s="97"/>
      <c r="Q103" s="68" t="e">
        <f>+VLOOKUP(A103,#REF!,1,0)</f>
        <v>#REF!</v>
      </c>
    </row>
    <row r="104" spans="1:17" hidden="1" x14ac:dyDescent="0.35">
      <c r="A104" t="s">
        <v>164</v>
      </c>
      <c r="B104" t="s">
        <v>531</v>
      </c>
      <c r="C104" t="s">
        <v>1132</v>
      </c>
      <c r="D104" s="14">
        <v>0.49</v>
      </c>
      <c r="E104" s="14">
        <v>0.57999999999999996</v>
      </c>
      <c r="F104" s="14">
        <v>0.54</v>
      </c>
      <c r="G104" s="14">
        <v>0.6</v>
      </c>
      <c r="H104" s="14">
        <v>0.46</v>
      </c>
      <c r="I104" s="14">
        <v>0.49</v>
      </c>
      <c r="J104" s="14">
        <v>0.48</v>
      </c>
      <c r="K104" s="14">
        <v>0.49</v>
      </c>
      <c r="L104" s="14">
        <v>0.46</v>
      </c>
      <c r="M104" s="14">
        <v>0.48</v>
      </c>
      <c r="N104" s="14">
        <v>0.46</v>
      </c>
      <c r="O104" s="14">
        <v>0.44</v>
      </c>
      <c r="P104" s="97"/>
      <c r="Q104" t="e">
        <f>+VLOOKUP(A104,#REF!,1,0)</f>
        <v>#REF!</v>
      </c>
    </row>
    <row r="105" spans="1:17" hidden="1" x14ac:dyDescent="0.35">
      <c r="A105" t="s">
        <v>154</v>
      </c>
      <c r="B105">
        <v>508</v>
      </c>
      <c r="C105" t="s">
        <v>1119</v>
      </c>
      <c r="D105" s="14">
        <v>1.82</v>
      </c>
      <c r="E105" s="14">
        <v>2.02</v>
      </c>
      <c r="F105" s="14">
        <v>0.9</v>
      </c>
      <c r="G105" s="14">
        <v>1.1299999999999999</v>
      </c>
      <c r="H105" s="14">
        <v>0.82</v>
      </c>
      <c r="I105" s="14">
        <v>0.98</v>
      </c>
      <c r="J105" s="14">
        <v>0.63</v>
      </c>
      <c r="K105" s="14">
        <v>0.64</v>
      </c>
      <c r="L105" s="14">
        <v>0.56999999999999995</v>
      </c>
      <c r="M105" s="14">
        <v>0.6</v>
      </c>
      <c r="N105" s="14">
        <v>0.56999999999999995</v>
      </c>
      <c r="O105" s="14">
        <v>0.53</v>
      </c>
      <c r="P105" s="97"/>
      <c r="Q105" t="e">
        <f>+VLOOKUP(A105,#REF!,1,0)</f>
        <v>#REF!</v>
      </c>
    </row>
    <row r="106" spans="1:17" hidden="1" x14ac:dyDescent="0.35">
      <c r="A106" t="s">
        <v>171</v>
      </c>
      <c r="B106" t="s">
        <v>556</v>
      </c>
      <c r="C106" t="s">
        <v>1131</v>
      </c>
      <c r="D106" s="14">
        <v>0.46</v>
      </c>
      <c r="E106" s="14">
        <v>0.71</v>
      </c>
      <c r="F106" s="14">
        <v>0.78</v>
      </c>
      <c r="G106" s="14">
        <v>0.48</v>
      </c>
      <c r="H106" s="14">
        <v>0.46</v>
      </c>
      <c r="I106" s="14">
        <v>0.48</v>
      </c>
      <c r="J106" s="14">
        <v>0.46</v>
      </c>
      <c r="K106" s="14">
        <v>0.47</v>
      </c>
      <c r="L106" s="14">
        <v>0.44</v>
      </c>
      <c r="M106" s="14">
        <v>0.48</v>
      </c>
      <c r="N106" s="14">
        <v>0.45</v>
      </c>
      <c r="O106" s="14">
        <v>0.43</v>
      </c>
      <c r="P106" s="97"/>
      <c r="Q106" t="e">
        <f>+VLOOKUP(A106,#REF!,1,0)</f>
        <v>#REF!</v>
      </c>
    </row>
    <row r="107" spans="1:17" hidden="1" x14ac:dyDescent="0.35">
      <c r="A107" t="s">
        <v>153</v>
      </c>
      <c r="B107" t="s">
        <v>533</v>
      </c>
      <c r="C107" t="s">
        <v>1175</v>
      </c>
      <c r="D107" s="14">
        <v>2.15</v>
      </c>
      <c r="E107" s="14">
        <v>2.31</v>
      </c>
      <c r="F107" s="14">
        <v>2.41</v>
      </c>
      <c r="G107" s="14">
        <v>2.41</v>
      </c>
      <c r="H107" s="14">
        <v>2.02</v>
      </c>
      <c r="I107" s="14">
        <v>2.11</v>
      </c>
      <c r="J107" s="14">
        <v>2.14</v>
      </c>
      <c r="K107" s="14">
        <v>2.14</v>
      </c>
      <c r="L107" s="14">
        <v>2.06</v>
      </c>
      <c r="M107" s="14">
        <v>2.0699999999999998</v>
      </c>
      <c r="N107" s="14">
        <v>2.04</v>
      </c>
      <c r="O107" s="14">
        <v>2.0499999999999998</v>
      </c>
      <c r="P107" s="97"/>
      <c r="Q107" t="e">
        <f>+VLOOKUP(A107,#REF!,1,0)</f>
        <v>#REF!</v>
      </c>
    </row>
    <row r="108" spans="1:17" hidden="1" x14ac:dyDescent="0.35">
      <c r="A108" t="s">
        <v>158</v>
      </c>
      <c r="B108" t="s">
        <v>534</v>
      </c>
      <c r="C108" t="s">
        <v>1176</v>
      </c>
      <c r="D108" s="14">
        <v>0.66</v>
      </c>
      <c r="E108" s="14">
        <v>0.68</v>
      </c>
      <c r="F108" s="14">
        <v>0.65</v>
      </c>
      <c r="G108" s="14">
        <v>0.65</v>
      </c>
      <c r="H108" s="14">
        <v>0.65</v>
      </c>
      <c r="I108" s="14">
        <v>0.65</v>
      </c>
      <c r="J108" s="14">
        <v>0.62</v>
      </c>
      <c r="K108" s="14">
        <v>0.62</v>
      </c>
      <c r="L108" s="14">
        <v>0.6</v>
      </c>
      <c r="M108" s="14">
        <v>0.62</v>
      </c>
      <c r="N108" s="14">
        <v>0.6</v>
      </c>
      <c r="O108" s="14">
        <v>0.59</v>
      </c>
      <c r="P108" s="97"/>
      <c r="Q108" t="e">
        <f>+VLOOKUP(A108,#REF!,1,0)</f>
        <v>#REF!</v>
      </c>
    </row>
    <row r="109" spans="1:17" hidden="1" x14ac:dyDescent="0.35">
      <c r="A109" t="s">
        <v>150</v>
      </c>
      <c r="B109" s="104" t="s">
        <v>532</v>
      </c>
      <c r="C109" s="104" t="s">
        <v>1174</v>
      </c>
      <c r="D109" s="104">
        <v>2.0499999999999998</v>
      </c>
      <c r="E109" s="14">
        <v>2.25</v>
      </c>
      <c r="F109" s="14">
        <v>0.86</v>
      </c>
      <c r="G109" s="14">
        <v>0.94</v>
      </c>
      <c r="H109" s="14">
        <v>1.06</v>
      </c>
      <c r="I109" s="14">
        <v>1.23</v>
      </c>
      <c r="J109" s="14">
        <v>0.66</v>
      </c>
      <c r="K109" s="14">
        <v>0.6</v>
      </c>
      <c r="L109" s="14">
        <v>0.64</v>
      </c>
      <c r="M109" s="14">
        <v>0.63</v>
      </c>
      <c r="N109" s="14">
        <v>0.63</v>
      </c>
      <c r="O109" s="14">
        <v>0.71</v>
      </c>
      <c r="P109" s="97"/>
      <c r="Q109" t="e">
        <f>+VLOOKUP(A109,#REF!,1,0)</f>
        <v>#REF!</v>
      </c>
    </row>
    <row r="110" spans="1:17" hidden="1" x14ac:dyDescent="0.35">
      <c r="A110" t="s">
        <v>141</v>
      </c>
      <c r="B110" t="s">
        <v>495</v>
      </c>
      <c r="C110" t="s">
        <v>1121</v>
      </c>
      <c r="D110" s="14">
        <v>1.54</v>
      </c>
      <c r="E110" s="14">
        <v>1.54</v>
      </c>
      <c r="F110" s="14">
        <v>1.54</v>
      </c>
      <c r="G110" s="14">
        <v>1.54</v>
      </c>
      <c r="H110" s="14">
        <v>1.54</v>
      </c>
      <c r="I110" s="14">
        <v>1.54</v>
      </c>
      <c r="J110" s="14">
        <v>1.54</v>
      </c>
      <c r="K110" s="14">
        <v>1.54</v>
      </c>
      <c r="L110" s="14">
        <v>1.54</v>
      </c>
      <c r="M110" s="14">
        <v>1.54</v>
      </c>
      <c r="N110" s="14">
        <v>1.54</v>
      </c>
      <c r="O110" s="14">
        <v>1.54</v>
      </c>
      <c r="P110" s="97"/>
      <c r="Q110" t="e">
        <f>+VLOOKUP(A110,#REF!,1,0)</f>
        <v>#REF!</v>
      </c>
    </row>
    <row r="111" spans="1:17" hidden="1" x14ac:dyDescent="0.35">
      <c r="A111" t="s">
        <v>176</v>
      </c>
      <c r="B111">
        <v>461</v>
      </c>
      <c r="C111" t="s">
        <v>1127</v>
      </c>
      <c r="D111" s="14">
        <v>0.83</v>
      </c>
      <c r="E111" s="14">
        <v>0.86</v>
      </c>
      <c r="F111" s="14">
        <v>0.87</v>
      </c>
      <c r="G111" s="14">
        <v>0.87</v>
      </c>
      <c r="H111" s="14">
        <v>0.87</v>
      </c>
      <c r="I111" s="14">
        <v>0.89</v>
      </c>
      <c r="J111" s="14">
        <v>1</v>
      </c>
      <c r="K111" s="14">
        <v>0.85</v>
      </c>
      <c r="L111" s="14">
        <v>0.86</v>
      </c>
      <c r="M111" s="14">
        <v>0.84</v>
      </c>
      <c r="N111" s="14">
        <v>0.86</v>
      </c>
      <c r="O111" s="14">
        <v>0.86</v>
      </c>
      <c r="P111" s="97"/>
      <c r="Q111" t="e">
        <f>+VLOOKUP(A111,#REF!,1,0)</f>
        <v>#REF!</v>
      </c>
    </row>
    <row r="112" spans="1:17" x14ac:dyDescent="0.35">
      <c r="B112" s="53"/>
      <c r="C112" s="54"/>
    </row>
    <row r="113" spans="2:3" x14ac:dyDescent="0.35">
      <c r="B113" s="53"/>
      <c r="C113" s="54"/>
    </row>
    <row r="114" spans="2:3" x14ac:dyDescent="0.35">
      <c r="B114" s="53"/>
      <c r="C114" s="54"/>
    </row>
    <row r="115" spans="2:3" x14ac:dyDescent="0.35">
      <c r="B115" s="53"/>
      <c r="C115" s="54"/>
    </row>
    <row r="116" spans="2:3" x14ac:dyDescent="0.35">
      <c r="B116" s="53"/>
      <c r="C116" s="54"/>
    </row>
    <row r="117" spans="2:3" x14ac:dyDescent="0.35">
      <c r="B117" s="53"/>
      <c r="C117" s="54"/>
    </row>
    <row r="118" spans="2:3" x14ac:dyDescent="0.35">
      <c r="B118" s="53"/>
      <c r="C118" s="54"/>
    </row>
    <row r="119" spans="2:3" x14ac:dyDescent="0.35">
      <c r="B119" s="53"/>
      <c r="C119" s="54"/>
    </row>
    <row r="120" spans="2:3" x14ac:dyDescent="0.35">
      <c r="B120" s="53"/>
      <c r="C120" s="54"/>
    </row>
    <row r="121" spans="2:3" x14ac:dyDescent="0.35">
      <c r="B121" s="53"/>
      <c r="C121" s="54"/>
    </row>
    <row r="122" spans="2:3" x14ac:dyDescent="0.35">
      <c r="B122" s="53"/>
      <c r="C122" s="54"/>
    </row>
    <row r="123" spans="2:3" x14ac:dyDescent="0.35">
      <c r="B123" s="53"/>
      <c r="C123" s="54"/>
    </row>
    <row r="124" spans="2:3" x14ac:dyDescent="0.35">
      <c r="B124" s="53"/>
      <c r="C124" s="54"/>
    </row>
    <row r="125" spans="2:3" x14ac:dyDescent="0.35">
      <c r="B125" s="53"/>
      <c r="C125" s="54"/>
    </row>
    <row r="126" spans="2:3" x14ac:dyDescent="0.35">
      <c r="B126" s="53"/>
      <c r="C126" s="54"/>
    </row>
    <row r="127" spans="2:3" x14ac:dyDescent="0.35">
      <c r="B127" s="53"/>
      <c r="C127" s="54"/>
    </row>
    <row r="128" spans="2:3" x14ac:dyDescent="0.35">
      <c r="B128" s="53"/>
      <c r="C128" s="54"/>
    </row>
    <row r="129" spans="2:3" x14ac:dyDescent="0.35">
      <c r="B129" s="53"/>
      <c r="C129" s="54"/>
    </row>
    <row r="130" spans="2:3" x14ac:dyDescent="0.35">
      <c r="B130" s="53"/>
      <c r="C130" s="54"/>
    </row>
    <row r="131" spans="2:3" x14ac:dyDescent="0.35">
      <c r="B131" s="53"/>
      <c r="C131" s="54"/>
    </row>
    <row r="132" spans="2:3" x14ac:dyDescent="0.35">
      <c r="B132" s="53"/>
      <c r="C132" s="54"/>
    </row>
    <row r="133" spans="2:3" x14ac:dyDescent="0.35">
      <c r="B133" s="53"/>
      <c r="C133" s="54"/>
    </row>
    <row r="134" spans="2:3" x14ac:dyDescent="0.35">
      <c r="B134" s="53"/>
      <c r="C134" s="54"/>
    </row>
    <row r="135" spans="2:3" x14ac:dyDescent="0.35">
      <c r="B135" s="53"/>
      <c r="C135" s="54"/>
    </row>
    <row r="136" spans="2:3" x14ac:dyDescent="0.35">
      <c r="B136" s="53"/>
      <c r="C136" s="54"/>
    </row>
    <row r="137" spans="2:3" x14ac:dyDescent="0.35">
      <c r="B137" s="53"/>
      <c r="C137" s="54"/>
    </row>
    <row r="138" spans="2:3" x14ac:dyDescent="0.35">
      <c r="B138" s="53"/>
      <c r="C138" s="54"/>
    </row>
    <row r="139" spans="2:3" x14ac:dyDescent="0.35">
      <c r="B139" s="53"/>
      <c r="C139" s="54"/>
    </row>
    <row r="140" spans="2:3" x14ac:dyDescent="0.35">
      <c r="B140" s="53"/>
      <c r="C140" s="54"/>
    </row>
    <row r="141" spans="2:3" x14ac:dyDescent="0.35">
      <c r="B141" s="53"/>
      <c r="C141" s="54"/>
    </row>
    <row r="142" spans="2:3" x14ac:dyDescent="0.35">
      <c r="B142" s="53"/>
      <c r="C142" s="54"/>
    </row>
    <row r="143" spans="2:3" x14ac:dyDescent="0.35">
      <c r="B143" s="53"/>
      <c r="C143" s="54"/>
    </row>
    <row r="144" spans="2:3" x14ac:dyDescent="0.35">
      <c r="B144" s="53"/>
      <c r="C144" s="54"/>
    </row>
    <row r="145" spans="2:3" x14ac:dyDescent="0.35">
      <c r="B145" s="53"/>
      <c r="C145" s="54"/>
    </row>
    <row r="146" spans="2:3" x14ac:dyDescent="0.35">
      <c r="B146" s="53"/>
      <c r="C146" s="54"/>
    </row>
    <row r="147" spans="2:3" x14ac:dyDescent="0.35">
      <c r="B147" s="53"/>
      <c r="C147" s="54"/>
    </row>
    <row r="148" spans="2:3" x14ac:dyDescent="0.35">
      <c r="B148" s="53"/>
      <c r="C148" s="54"/>
    </row>
    <row r="149" spans="2:3" x14ac:dyDescent="0.35">
      <c r="B149" s="53"/>
      <c r="C149" s="54"/>
    </row>
    <row r="150" spans="2:3" x14ac:dyDescent="0.35">
      <c r="B150" s="53"/>
      <c r="C150" s="54"/>
    </row>
    <row r="151" spans="2:3" x14ac:dyDescent="0.35">
      <c r="B151" s="53"/>
      <c r="C151" s="54"/>
    </row>
    <row r="152" spans="2:3" x14ac:dyDescent="0.35">
      <c r="B152" s="53"/>
      <c r="C152" s="54"/>
    </row>
    <row r="153" spans="2:3" x14ac:dyDescent="0.35">
      <c r="B153" s="53"/>
      <c r="C153" s="54"/>
    </row>
    <row r="154" spans="2:3" x14ac:dyDescent="0.35">
      <c r="B154" s="53"/>
      <c r="C154" s="54"/>
    </row>
    <row r="155" spans="2:3" x14ac:dyDescent="0.35">
      <c r="B155" s="53"/>
      <c r="C155" s="54"/>
    </row>
    <row r="156" spans="2:3" x14ac:dyDescent="0.35">
      <c r="B156" s="53"/>
      <c r="C156" s="54"/>
    </row>
    <row r="157" spans="2:3" x14ac:dyDescent="0.35">
      <c r="B157" s="53"/>
      <c r="C157" s="54"/>
    </row>
    <row r="158" spans="2:3" x14ac:dyDescent="0.35">
      <c r="B158" s="53"/>
      <c r="C158" s="54"/>
    </row>
    <row r="159" spans="2:3" x14ac:dyDescent="0.35">
      <c r="B159" s="53"/>
      <c r="C159" s="54"/>
    </row>
    <row r="160" spans="2:3" x14ac:dyDescent="0.35">
      <c r="B160" s="53"/>
      <c r="C160" s="54"/>
    </row>
    <row r="161" spans="2:3" x14ac:dyDescent="0.35">
      <c r="B161" s="53"/>
      <c r="C161" s="54"/>
    </row>
    <row r="162" spans="2:3" x14ac:dyDescent="0.35">
      <c r="B162" s="53"/>
      <c r="C162" s="54"/>
    </row>
    <row r="163" spans="2:3" x14ac:dyDescent="0.35">
      <c r="B163" s="53"/>
      <c r="C163" s="54"/>
    </row>
    <row r="164" spans="2:3" x14ac:dyDescent="0.35">
      <c r="B164" s="53"/>
      <c r="C164" s="54"/>
    </row>
    <row r="165" spans="2:3" x14ac:dyDescent="0.35">
      <c r="B165" s="53"/>
      <c r="C165" s="54"/>
    </row>
    <row r="166" spans="2:3" x14ac:dyDescent="0.35">
      <c r="B166" s="53"/>
      <c r="C166" s="54"/>
    </row>
    <row r="167" spans="2:3" x14ac:dyDescent="0.35">
      <c r="B167" s="53"/>
      <c r="C167" s="54"/>
    </row>
    <row r="168" spans="2:3" x14ac:dyDescent="0.35">
      <c r="B168" s="53"/>
      <c r="C168" s="54"/>
    </row>
    <row r="169" spans="2:3" x14ac:dyDescent="0.35">
      <c r="B169" s="53"/>
      <c r="C169" s="54"/>
    </row>
    <row r="170" spans="2:3" x14ac:dyDescent="0.35">
      <c r="B170" s="53"/>
      <c r="C170" s="54"/>
    </row>
    <row r="171" spans="2:3" x14ac:dyDescent="0.35">
      <c r="B171" s="53"/>
      <c r="C171" s="54"/>
    </row>
    <row r="172" spans="2:3" x14ac:dyDescent="0.35">
      <c r="B172" s="53"/>
      <c r="C172" s="54"/>
    </row>
    <row r="173" spans="2:3" x14ac:dyDescent="0.35">
      <c r="B173" s="53"/>
      <c r="C173" s="54"/>
    </row>
    <row r="174" spans="2:3" x14ac:dyDescent="0.35">
      <c r="B174" s="53"/>
      <c r="C174" s="54"/>
    </row>
    <row r="175" spans="2:3" x14ac:dyDescent="0.35">
      <c r="B175" s="53"/>
      <c r="C175" s="54"/>
    </row>
    <row r="176" spans="2:3" x14ac:dyDescent="0.35">
      <c r="B176" s="53"/>
      <c r="C176" s="54"/>
    </row>
    <row r="177" spans="2:3" x14ac:dyDescent="0.35">
      <c r="B177" s="53"/>
      <c r="C177" s="54"/>
    </row>
    <row r="178" spans="2:3" x14ac:dyDescent="0.35">
      <c r="B178" s="53"/>
      <c r="C178" s="54"/>
    </row>
    <row r="179" spans="2:3" x14ac:dyDescent="0.35">
      <c r="B179" s="53"/>
      <c r="C179" s="54"/>
    </row>
    <row r="180" spans="2:3" x14ac:dyDescent="0.35">
      <c r="B180" s="53"/>
      <c r="C180" s="54"/>
    </row>
    <row r="181" spans="2:3" x14ac:dyDescent="0.35">
      <c r="B181" s="53"/>
      <c r="C181" s="54"/>
    </row>
    <row r="182" spans="2:3" x14ac:dyDescent="0.35">
      <c r="B182" s="53"/>
      <c r="C182" s="54"/>
    </row>
    <row r="183" spans="2:3" x14ac:dyDescent="0.35">
      <c r="B183" s="53"/>
      <c r="C183" s="54"/>
    </row>
    <row r="184" spans="2:3" x14ac:dyDescent="0.35">
      <c r="B184" s="53"/>
      <c r="C184" s="54"/>
    </row>
    <row r="185" spans="2:3" x14ac:dyDescent="0.35">
      <c r="B185" s="53"/>
      <c r="C185" s="54"/>
    </row>
    <row r="186" spans="2:3" x14ac:dyDescent="0.35">
      <c r="B186" s="53"/>
      <c r="C186" s="54"/>
    </row>
    <row r="187" spans="2:3" x14ac:dyDescent="0.35">
      <c r="B187" s="53"/>
      <c r="C187" s="54"/>
    </row>
    <row r="188" spans="2:3" x14ac:dyDescent="0.35">
      <c r="B188" s="53"/>
      <c r="C188" s="54"/>
    </row>
    <row r="189" spans="2:3" x14ac:dyDescent="0.35">
      <c r="B189" s="53"/>
      <c r="C189" s="54"/>
    </row>
    <row r="190" spans="2:3" x14ac:dyDescent="0.35">
      <c r="B190" s="53"/>
      <c r="C190" s="54"/>
    </row>
    <row r="191" spans="2:3" x14ac:dyDescent="0.35">
      <c r="B191" s="53"/>
      <c r="C191" s="54"/>
    </row>
    <row r="192" spans="2:3" x14ac:dyDescent="0.35">
      <c r="B192" s="53"/>
      <c r="C192" s="54"/>
    </row>
    <row r="193" spans="2:3" x14ac:dyDescent="0.35">
      <c r="B193" s="53"/>
      <c r="C193" s="54"/>
    </row>
    <row r="194" spans="2:3" x14ac:dyDescent="0.35">
      <c r="B194" s="53"/>
      <c r="C194" s="54"/>
    </row>
    <row r="195" spans="2:3" x14ac:dyDescent="0.35">
      <c r="B195" s="53"/>
      <c r="C195" s="54"/>
    </row>
    <row r="196" spans="2:3" x14ac:dyDescent="0.35">
      <c r="B196" s="53"/>
      <c r="C196" s="54"/>
    </row>
    <row r="197" spans="2:3" x14ac:dyDescent="0.35">
      <c r="B197" s="53"/>
      <c r="C197" s="54"/>
    </row>
    <row r="198" spans="2:3" x14ac:dyDescent="0.35">
      <c r="B198" s="53"/>
      <c r="C198" s="54"/>
    </row>
    <row r="199" spans="2:3" x14ac:dyDescent="0.35">
      <c r="B199" s="53"/>
      <c r="C199" s="54"/>
    </row>
    <row r="200" spans="2:3" x14ac:dyDescent="0.35">
      <c r="B200" s="53"/>
      <c r="C200" s="54"/>
    </row>
    <row r="201" spans="2:3" x14ac:dyDescent="0.35">
      <c r="B201" s="53"/>
      <c r="C201" s="54"/>
    </row>
    <row r="202" spans="2:3" x14ac:dyDescent="0.35">
      <c r="B202" s="53"/>
      <c r="C202" s="54"/>
    </row>
    <row r="203" spans="2:3" x14ac:dyDescent="0.35">
      <c r="B203" s="53"/>
      <c r="C203" s="54"/>
    </row>
    <row r="204" spans="2:3" x14ac:dyDescent="0.35">
      <c r="B204" s="53"/>
      <c r="C204" s="54"/>
    </row>
    <row r="205" spans="2:3" x14ac:dyDescent="0.35">
      <c r="B205" s="53"/>
      <c r="C205" s="54"/>
    </row>
    <row r="206" spans="2:3" x14ac:dyDescent="0.35">
      <c r="B206" s="53"/>
      <c r="C206" s="54"/>
    </row>
    <row r="207" spans="2:3" x14ac:dyDescent="0.35">
      <c r="B207" s="53"/>
      <c r="C207" s="54"/>
    </row>
    <row r="208" spans="2:3" x14ac:dyDescent="0.35">
      <c r="B208" s="53"/>
      <c r="C208" s="54"/>
    </row>
    <row r="209" spans="2:3" x14ac:dyDescent="0.35">
      <c r="B209" s="53"/>
      <c r="C209" s="54"/>
    </row>
    <row r="210" spans="2:3" x14ac:dyDescent="0.35">
      <c r="B210" s="53"/>
      <c r="C210" s="54"/>
    </row>
    <row r="211" spans="2:3" x14ac:dyDescent="0.35">
      <c r="B211" s="53"/>
      <c r="C211" s="54"/>
    </row>
    <row r="212" spans="2:3" x14ac:dyDescent="0.35">
      <c r="B212" s="53"/>
      <c r="C212" s="54"/>
    </row>
    <row r="213" spans="2:3" x14ac:dyDescent="0.35">
      <c r="B213" s="53"/>
      <c r="C213" s="54"/>
    </row>
    <row r="214" spans="2:3" x14ac:dyDescent="0.35">
      <c r="B214" s="53"/>
      <c r="C214" s="54"/>
    </row>
    <row r="215" spans="2:3" x14ac:dyDescent="0.35">
      <c r="B215" s="53"/>
      <c r="C215" s="54"/>
    </row>
    <row r="216" spans="2:3" x14ac:dyDescent="0.35">
      <c r="B216" s="53"/>
      <c r="C216" s="54"/>
    </row>
    <row r="217" spans="2:3" x14ac:dyDescent="0.35">
      <c r="B217" s="53"/>
      <c r="C217" s="54"/>
    </row>
    <row r="218" spans="2:3" x14ac:dyDescent="0.35">
      <c r="B218" s="53"/>
      <c r="C218" s="54"/>
    </row>
    <row r="219" spans="2:3" x14ac:dyDescent="0.35">
      <c r="B219" s="53"/>
      <c r="C219" s="54"/>
    </row>
    <row r="220" spans="2:3" x14ac:dyDescent="0.35">
      <c r="B220" s="53"/>
      <c r="C220" s="54"/>
    </row>
    <row r="221" spans="2:3" x14ac:dyDescent="0.35">
      <c r="B221" s="53"/>
      <c r="C221" s="54"/>
    </row>
    <row r="222" spans="2:3" x14ac:dyDescent="0.35">
      <c r="B222" s="53"/>
      <c r="C222" s="54"/>
    </row>
    <row r="223" spans="2:3" x14ac:dyDescent="0.35">
      <c r="B223" s="53"/>
      <c r="C223" s="54"/>
    </row>
    <row r="224" spans="2:3" x14ac:dyDescent="0.35">
      <c r="B224" s="53"/>
      <c r="C224" s="54"/>
    </row>
    <row r="225" spans="2:3" x14ac:dyDescent="0.35">
      <c r="B225" s="53"/>
      <c r="C225" s="54"/>
    </row>
    <row r="226" spans="2:3" x14ac:dyDescent="0.35">
      <c r="B226" s="53"/>
      <c r="C226" s="54"/>
    </row>
    <row r="227" spans="2:3" x14ac:dyDescent="0.35">
      <c r="B227" s="53"/>
      <c r="C227" s="54"/>
    </row>
    <row r="228" spans="2:3" x14ac:dyDescent="0.35">
      <c r="B228" s="53"/>
      <c r="C228" s="54"/>
    </row>
    <row r="229" spans="2:3" x14ac:dyDescent="0.35">
      <c r="B229" s="53"/>
      <c r="C229" s="54"/>
    </row>
    <row r="230" spans="2:3" x14ac:dyDescent="0.35">
      <c r="B230" s="53"/>
      <c r="C230" s="54"/>
    </row>
    <row r="231" spans="2:3" x14ac:dyDescent="0.35">
      <c r="B231" s="53"/>
      <c r="C231" s="54"/>
    </row>
    <row r="232" spans="2:3" x14ac:dyDescent="0.35">
      <c r="B232" s="53"/>
      <c r="C232" s="54"/>
    </row>
    <row r="233" spans="2:3" x14ac:dyDescent="0.35">
      <c r="B233" s="53"/>
      <c r="C233" s="54"/>
    </row>
    <row r="234" spans="2:3" x14ac:dyDescent="0.35">
      <c r="B234" s="53"/>
      <c r="C234" s="54"/>
    </row>
    <row r="235" spans="2:3" x14ac:dyDescent="0.35">
      <c r="B235" s="53"/>
      <c r="C235" s="54"/>
    </row>
    <row r="236" spans="2:3" x14ac:dyDescent="0.35">
      <c r="B236" s="53"/>
      <c r="C236" s="54"/>
    </row>
    <row r="237" spans="2:3" x14ac:dyDescent="0.35">
      <c r="B237" s="53"/>
      <c r="C237" s="54"/>
    </row>
    <row r="238" spans="2:3" x14ac:dyDescent="0.35">
      <c r="B238" s="53"/>
      <c r="C238" s="54"/>
    </row>
    <row r="239" spans="2:3" x14ac:dyDescent="0.35">
      <c r="B239" s="53"/>
      <c r="C239" s="54"/>
    </row>
    <row r="240" spans="2:3" x14ac:dyDescent="0.35">
      <c r="B240" s="53"/>
      <c r="C240" s="54"/>
    </row>
    <row r="241" spans="2:3" x14ac:dyDescent="0.35">
      <c r="B241" s="53"/>
      <c r="C241" s="54"/>
    </row>
    <row r="242" spans="2:3" x14ac:dyDescent="0.35">
      <c r="B242" s="53"/>
      <c r="C242" s="54"/>
    </row>
    <row r="243" spans="2:3" x14ac:dyDescent="0.35">
      <c r="B243" s="53"/>
      <c r="C243" s="54"/>
    </row>
    <row r="244" spans="2:3" x14ac:dyDescent="0.35">
      <c r="B244" s="53"/>
      <c r="C244" s="54"/>
    </row>
    <row r="245" spans="2:3" x14ac:dyDescent="0.35">
      <c r="B245" s="53"/>
      <c r="C245" s="54"/>
    </row>
    <row r="246" spans="2:3" x14ac:dyDescent="0.35">
      <c r="B246" s="53"/>
      <c r="C246" s="54"/>
    </row>
    <row r="247" spans="2:3" x14ac:dyDescent="0.35">
      <c r="B247" s="53"/>
      <c r="C247" s="54"/>
    </row>
    <row r="248" spans="2:3" x14ac:dyDescent="0.35">
      <c r="B248" s="53"/>
      <c r="C248" s="54"/>
    </row>
    <row r="249" spans="2:3" x14ac:dyDescent="0.35">
      <c r="B249" s="53"/>
      <c r="C249" s="54"/>
    </row>
    <row r="250" spans="2:3" x14ac:dyDescent="0.35">
      <c r="B250" s="53"/>
      <c r="C250" s="54"/>
    </row>
    <row r="251" spans="2:3" x14ac:dyDescent="0.35">
      <c r="B251" s="53"/>
      <c r="C251" s="54"/>
    </row>
    <row r="252" spans="2:3" x14ac:dyDescent="0.35">
      <c r="B252" s="53"/>
      <c r="C252" s="54"/>
    </row>
    <row r="253" spans="2:3" x14ac:dyDescent="0.35">
      <c r="B253" s="53"/>
      <c r="C253" s="54"/>
    </row>
    <row r="254" spans="2:3" x14ac:dyDescent="0.35">
      <c r="B254" s="53"/>
      <c r="C254" s="54"/>
    </row>
    <row r="255" spans="2:3" x14ac:dyDescent="0.35">
      <c r="B255" s="53"/>
      <c r="C255" s="54"/>
    </row>
    <row r="256" spans="2:3" x14ac:dyDescent="0.35">
      <c r="B256" s="53"/>
      <c r="C256" s="54"/>
    </row>
    <row r="257" spans="2:3" x14ac:dyDescent="0.35">
      <c r="B257" s="53"/>
      <c r="C257" s="54"/>
    </row>
    <row r="258" spans="2:3" x14ac:dyDescent="0.35">
      <c r="B258" s="53"/>
      <c r="C258" s="54"/>
    </row>
    <row r="259" spans="2:3" x14ac:dyDescent="0.35">
      <c r="B259" s="53"/>
      <c r="C259" s="54"/>
    </row>
    <row r="260" spans="2:3" x14ac:dyDescent="0.35">
      <c r="B260" s="53"/>
      <c r="C260" s="54"/>
    </row>
    <row r="261" spans="2:3" x14ac:dyDescent="0.35">
      <c r="B261" s="53"/>
      <c r="C261" s="54"/>
    </row>
    <row r="262" spans="2:3" x14ac:dyDescent="0.35">
      <c r="B262" s="53"/>
      <c r="C262" s="54"/>
    </row>
    <row r="263" spans="2:3" x14ac:dyDescent="0.35">
      <c r="B263" s="53"/>
      <c r="C263" s="54"/>
    </row>
    <row r="264" spans="2:3" x14ac:dyDescent="0.35">
      <c r="B264" s="53"/>
      <c r="C264" s="54"/>
    </row>
    <row r="265" spans="2:3" x14ac:dyDescent="0.35">
      <c r="B265" s="53"/>
      <c r="C265" s="54"/>
    </row>
    <row r="266" spans="2:3" x14ac:dyDescent="0.35">
      <c r="B266" s="53"/>
      <c r="C266" s="54"/>
    </row>
    <row r="267" spans="2:3" x14ac:dyDescent="0.35">
      <c r="B267" s="53"/>
      <c r="C267" s="54"/>
    </row>
    <row r="268" spans="2:3" x14ac:dyDescent="0.35">
      <c r="B268" s="53"/>
      <c r="C268" s="54"/>
    </row>
    <row r="269" spans="2:3" x14ac:dyDescent="0.35">
      <c r="B269" s="53"/>
      <c r="C269" s="54"/>
    </row>
    <row r="270" spans="2:3" x14ac:dyDescent="0.35">
      <c r="B270" s="53"/>
      <c r="C270" s="54"/>
    </row>
    <row r="271" spans="2:3" x14ac:dyDescent="0.35">
      <c r="B271" s="53"/>
      <c r="C271" s="54"/>
    </row>
    <row r="272" spans="2:3" x14ac:dyDescent="0.35">
      <c r="B272" s="53"/>
      <c r="C272" s="54"/>
    </row>
    <row r="273" spans="2:3" x14ac:dyDescent="0.35">
      <c r="B273" s="53"/>
      <c r="C273" s="54"/>
    </row>
    <row r="274" spans="2:3" x14ac:dyDescent="0.35">
      <c r="B274" s="53"/>
      <c r="C274" s="54"/>
    </row>
    <row r="275" spans="2:3" x14ac:dyDescent="0.35">
      <c r="B275" s="53"/>
      <c r="C275" s="54"/>
    </row>
    <row r="276" spans="2:3" x14ac:dyDescent="0.35">
      <c r="B276" s="53"/>
      <c r="C276" s="54"/>
    </row>
    <row r="277" spans="2:3" x14ac:dyDescent="0.35">
      <c r="B277" s="53"/>
      <c r="C277" s="54"/>
    </row>
    <row r="278" spans="2:3" x14ac:dyDescent="0.35">
      <c r="B278" s="53"/>
      <c r="C278" s="54"/>
    </row>
    <row r="279" spans="2:3" x14ac:dyDescent="0.35">
      <c r="B279" s="53"/>
      <c r="C279" s="54"/>
    </row>
    <row r="280" spans="2:3" x14ac:dyDescent="0.35">
      <c r="B280" s="53"/>
      <c r="C280" s="54"/>
    </row>
    <row r="281" spans="2:3" x14ac:dyDescent="0.35">
      <c r="B281" s="53"/>
      <c r="C281" s="54"/>
    </row>
    <row r="282" spans="2:3" x14ac:dyDescent="0.35">
      <c r="B282" s="53"/>
      <c r="C282" s="54"/>
    </row>
    <row r="283" spans="2:3" x14ac:dyDescent="0.35">
      <c r="B283" s="53"/>
      <c r="C283" s="54"/>
    </row>
    <row r="284" spans="2:3" x14ac:dyDescent="0.35">
      <c r="B284" s="53"/>
      <c r="C284" s="54"/>
    </row>
    <row r="285" spans="2:3" x14ac:dyDescent="0.35">
      <c r="B285" s="53"/>
      <c r="C285" s="54"/>
    </row>
    <row r="286" spans="2:3" x14ac:dyDescent="0.35">
      <c r="B286" s="53"/>
      <c r="C286" s="54"/>
    </row>
    <row r="287" spans="2:3" x14ac:dyDescent="0.35">
      <c r="B287" s="53"/>
      <c r="C287" s="54"/>
    </row>
    <row r="288" spans="2:3" x14ac:dyDescent="0.35">
      <c r="B288" s="53"/>
      <c r="C288" s="54"/>
    </row>
    <row r="289" spans="2:3" x14ac:dyDescent="0.35">
      <c r="B289" s="53"/>
      <c r="C289" s="54"/>
    </row>
    <row r="290" spans="2:3" x14ac:dyDescent="0.35">
      <c r="B290" s="53"/>
      <c r="C290" s="54"/>
    </row>
    <row r="291" spans="2:3" x14ac:dyDescent="0.35">
      <c r="B291" s="53"/>
      <c r="C291" s="54"/>
    </row>
    <row r="292" spans="2:3" x14ac:dyDescent="0.35">
      <c r="B292" s="53"/>
      <c r="C292" s="54"/>
    </row>
    <row r="293" spans="2:3" x14ac:dyDescent="0.35">
      <c r="B293" s="53"/>
      <c r="C293" s="54"/>
    </row>
    <row r="294" spans="2:3" x14ac:dyDescent="0.35">
      <c r="B294" s="53"/>
      <c r="C294" s="54"/>
    </row>
    <row r="295" spans="2:3" x14ac:dyDescent="0.35">
      <c r="B295" s="53"/>
      <c r="C295" s="54"/>
    </row>
    <row r="296" spans="2:3" x14ac:dyDescent="0.35">
      <c r="B296" s="53"/>
      <c r="C296" s="54"/>
    </row>
    <row r="297" spans="2:3" x14ac:dyDescent="0.35">
      <c r="B297" s="53"/>
      <c r="C297" s="54"/>
    </row>
    <row r="298" spans="2:3" x14ac:dyDescent="0.35">
      <c r="B298" s="53"/>
      <c r="C298" s="54"/>
    </row>
    <row r="299" spans="2:3" x14ac:dyDescent="0.35">
      <c r="B299" s="53"/>
      <c r="C299" s="54"/>
    </row>
    <row r="300" spans="2:3" x14ac:dyDescent="0.35">
      <c r="B300" s="53"/>
      <c r="C300" s="54"/>
    </row>
    <row r="301" spans="2:3" x14ac:dyDescent="0.35">
      <c r="B301" s="53"/>
      <c r="C301" s="54"/>
    </row>
    <row r="302" spans="2:3" x14ac:dyDescent="0.35">
      <c r="B302" s="53"/>
      <c r="C302" s="54"/>
    </row>
    <row r="303" spans="2:3" x14ac:dyDescent="0.35">
      <c r="B303" s="53"/>
      <c r="C303" s="54"/>
    </row>
    <row r="304" spans="2:3" x14ac:dyDescent="0.35">
      <c r="B304" s="53"/>
      <c r="C304" s="54"/>
    </row>
    <row r="305" spans="2:3" x14ac:dyDescent="0.35">
      <c r="B305" s="53"/>
      <c r="C305" s="54"/>
    </row>
    <row r="306" spans="2:3" x14ac:dyDescent="0.35">
      <c r="B306" s="53"/>
      <c r="C306" s="54"/>
    </row>
    <row r="307" spans="2:3" x14ac:dyDescent="0.35">
      <c r="B307" s="53"/>
      <c r="C307" s="54"/>
    </row>
    <row r="308" spans="2:3" x14ac:dyDescent="0.35">
      <c r="B308" s="53"/>
      <c r="C308" s="54"/>
    </row>
    <row r="309" spans="2:3" x14ac:dyDescent="0.35">
      <c r="B309" s="53"/>
      <c r="C309" s="54"/>
    </row>
    <row r="310" spans="2:3" x14ac:dyDescent="0.35">
      <c r="B310" s="53"/>
      <c r="C310" s="54"/>
    </row>
    <row r="311" spans="2:3" x14ac:dyDescent="0.35">
      <c r="B311" s="53"/>
      <c r="C311" s="54"/>
    </row>
    <row r="312" spans="2:3" x14ac:dyDescent="0.35">
      <c r="B312" s="53"/>
      <c r="C312" s="54"/>
    </row>
    <row r="313" spans="2:3" x14ac:dyDescent="0.35">
      <c r="B313" s="53"/>
      <c r="C313" s="54"/>
    </row>
    <row r="314" spans="2:3" x14ac:dyDescent="0.35">
      <c r="B314" s="53"/>
      <c r="C314" s="54"/>
    </row>
    <row r="315" spans="2:3" x14ac:dyDescent="0.35">
      <c r="B315" s="53"/>
      <c r="C315" s="54"/>
    </row>
    <row r="316" spans="2:3" x14ac:dyDescent="0.35">
      <c r="B316" s="53"/>
      <c r="C316" s="54"/>
    </row>
    <row r="317" spans="2:3" x14ac:dyDescent="0.35">
      <c r="B317" s="53"/>
      <c r="C317" s="54"/>
    </row>
    <row r="318" spans="2:3" x14ac:dyDescent="0.35">
      <c r="B318" s="53"/>
      <c r="C318" s="54"/>
    </row>
    <row r="319" spans="2:3" x14ac:dyDescent="0.35">
      <c r="B319" s="53"/>
      <c r="C319" s="54"/>
    </row>
    <row r="320" spans="2:3" x14ac:dyDescent="0.35">
      <c r="B320" s="53"/>
      <c r="C320" s="54"/>
    </row>
    <row r="321" spans="2:3" x14ac:dyDescent="0.35">
      <c r="B321" s="53"/>
      <c r="C321" s="54"/>
    </row>
    <row r="322" spans="2:3" x14ac:dyDescent="0.35">
      <c r="B322" s="53"/>
      <c r="C322" s="54"/>
    </row>
    <row r="323" spans="2:3" x14ac:dyDescent="0.35">
      <c r="B323" s="53"/>
      <c r="C323" s="54"/>
    </row>
    <row r="324" spans="2:3" x14ac:dyDescent="0.35">
      <c r="B324" s="53"/>
      <c r="C324" s="54"/>
    </row>
    <row r="325" spans="2:3" x14ac:dyDescent="0.35">
      <c r="B325" s="53"/>
      <c r="C325" s="54"/>
    </row>
    <row r="326" spans="2:3" x14ac:dyDescent="0.35">
      <c r="B326" s="53"/>
      <c r="C326" s="54"/>
    </row>
    <row r="327" spans="2:3" x14ac:dyDescent="0.35">
      <c r="B327" s="53"/>
      <c r="C327" s="54"/>
    </row>
    <row r="328" spans="2:3" x14ac:dyDescent="0.35">
      <c r="B328" s="53"/>
      <c r="C328" s="54"/>
    </row>
    <row r="329" spans="2:3" x14ac:dyDescent="0.35">
      <c r="B329" s="53"/>
      <c r="C329" s="54"/>
    </row>
    <row r="330" spans="2:3" x14ac:dyDescent="0.35">
      <c r="B330" s="53"/>
      <c r="C330" s="54"/>
    </row>
    <row r="331" spans="2:3" x14ac:dyDescent="0.35">
      <c r="B331" s="53"/>
      <c r="C331" s="54"/>
    </row>
    <row r="332" spans="2:3" x14ac:dyDescent="0.35">
      <c r="B332" s="53"/>
      <c r="C332" s="54"/>
    </row>
    <row r="333" spans="2:3" x14ac:dyDescent="0.35">
      <c r="B333" s="53"/>
      <c r="C333" s="54"/>
    </row>
    <row r="334" spans="2:3" x14ac:dyDescent="0.35">
      <c r="B334" s="53"/>
      <c r="C334" s="54"/>
    </row>
    <row r="335" spans="2:3" x14ac:dyDescent="0.35">
      <c r="B335" s="53"/>
      <c r="C335" s="54"/>
    </row>
    <row r="336" spans="2:3" x14ac:dyDescent="0.35">
      <c r="B336" s="53"/>
      <c r="C336" s="54"/>
    </row>
    <row r="337" spans="2:3" x14ac:dyDescent="0.35">
      <c r="B337" s="53"/>
      <c r="C337" s="54"/>
    </row>
    <row r="338" spans="2:3" x14ac:dyDescent="0.35">
      <c r="B338" s="53"/>
      <c r="C338" s="54"/>
    </row>
    <row r="339" spans="2:3" x14ac:dyDescent="0.35">
      <c r="B339" s="53"/>
      <c r="C339" s="54"/>
    </row>
    <row r="340" spans="2:3" x14ac:dyDescent="0.35">
      <c r="B340" s="53"/>
      <c r="C340" s="54"/>
    </row>
    <row r="341" spans="2:3" x14ac:dyDescent="0.35">
      <c r="B341" s="53"/>
      <c r="C341" s="54"/>
    </row>
    <row r="342" spans="2:3" x14ac:dyDescent="0.35">
      <c r="B342" s="53"/>
      <c r="C342" s="54"/>
    </row>
    <row r="343" spans="2:3" x14ac:dyDescent="0.35">
      <c r="B343" s="53"/>
      <c r="C343" s="54"/>
    </row>
    <row r="344" spans="2:3" x14ac:dyDescent="0.35">
      <c r="B344" s="53"/>
      <c r="C344" s="54"/>
    </row>
    <row r="345" spans="2:3" x14ac:dyDescent="0.35">
      <c r="B345" s="53"/>
      <c r="C345" s="54"/>
    </row>
    <row r="346" spans="2:3" x14ac:dyDescent="0.35">
      <c r="B346" s="53"/>
      <c r="C346" s="54"/>
    </row>
    <row r="347" spans="2:3" x14ac:dyDescent="0.35">
      <c r="B347" s="53"/>
      <c r="C347" s="54"/>
    </row>
    <row r="348" spans="2:3" x14ac:dyDescent="0.35">
      <c r="B348" s="53"/>
      <c r="C348" s="54"/>
    </row>
    <row r="349" spans="2:3" x14ac:dyDescent="0.35">
      <c r="B349" s="53"/>
      <c r="C349" s="54"/>
    </row>
    <row r="350" spans="2:3" x14ac:dyDescent="0.35">
      <c r="B350" s="53"/>
      <c r="C350" s="54"/>
    </row>
    <row r="351" spans="2:3" x14ac:dyDescent="0.35">
      <c r="B351" s="53"/>
      <c r="C351" s="54"/>
    </row>
    <row r="352" spans="2:3" x14ac:dyDescent="0.35">
      <c r="B352" s="53"/>
      <c r="C352" s="54"/>
    </row>
    <row r="353" spans="2:3" x14ac:dyDescent="0.35">
      <c r="B353" s="53"/>
      <c r="C353" s="54"/>
    </row>
    <row r="354" spans="2:3" x14ac:dyDescent="0.35">
      <c r="B354" s="53"/>
      <c r="C354" s="54"/>
    </row>
    <row r="355" spans="2:3" x14ac:dyDescent="0.35">
      <c r="B355" s="53"/>
      <c r="C355" s="54"/>
    </row>
    <row r="356" spans="2:3" x14ac:dyDescent="0.35">
      <c r="B356" s="53"/>
      <c r="C356" s="54"/>
    </row>
    <row r="357" spans="2:3" x14ac:dyDescent="0.35">
      <c r="B357" s="53"/>
      <c r="C357" s="54"/>
    </row>
    <row r="358" spans="2:3" x14ac:dyDescent="0.35">
      <c r="B358" s="53"/>
      <c r="C358" s="54"/>
    </row>
    <row r="359" spans="2:3" x14ac:dyDescent="0.35">
      <c r="B359" s="53"/>
      <c r="C359" s="54"/>
    </row>
    <row r="360" spans="2:3" x14ac:dyDescent="0.35">
      <c r="B360" s="53"/>
      <c r="C360" s="54"/>
    </row>
    <row r="361" spans="2:3" x14ac:dyDescent="0.35">
      <c r="B361" s="53"/>
      <c r="C361" s="54"/>
    </row>
    <row r="362" spans="2:3" x14ac:dyDescent="0.35">
      <c r="B362" s="53"/>
      <c r="C362" s="54"/>
    </row>
    <row r="363" spans="2:3" x14ac:dyDescent="0.35">
      <c r="B363" s="53"/>
      <c r="C363" s="54"/>
    </row>
    <row r="364" spans="2:3" x14ac:dyDescent="0.35">
      <c r="B364" s="53"/>
      <c r="C364" s="54"/>
    </row>
    <row r="365" spans="2:3" x14ac:dyDescent="0.35">
      <c r="B365" s="53"/>
      <c r="C365" s="54"/>
    </row>
    <row r="366" spans="2:3" x14ac:dyDescent="0.35">
      <c r="B366" s="53"/>
      <c r="C366" s="54"/>
    </row>
    <row r="367" spans="2:3" x14ac:dyDescent="0.35">
      <c r="B367" s="53"/>
      <c r="C367" s="54"/>
    </row>
    <row r="368" spans="2:3" x14ac:dyDescent="0.35">
      <c r="B368" s="53"/>
      <c r="C368" s="54"/>
    </row>
    <row r="369" spans="2:3" x14ac:dyDescent="0.35">
      <c r="B369" s="53"/>
      <c r="C369" s="54"/>
    </row>
    <row r="370" spans="2:3" x14ac:dyDescent="0.35">
      <c r="B370" s="53"/>
      <c r="C370" s="54"/>
    </row>
    <row r="371" spans="2:3" x14ac:dyDescent="0.35">
      <c r="B371" s="53"/>
      <c r="C371" s="54"/>
    </row>
    <row r="372" spans="2:3" x14ac:dyDescent="0.35">
      <c r="B372" s="53"/>
      <c r="C372" s="54"/>
    </row>
    <row r="373" spans="2:3" x14ac:dyDescent="0.35">
      <c r="B373" s="53"/>
      <c r="C373" s="54"/>
    </row>
    <row r="374" spans="2:3" x14ac:dyDescent="0.35">
      <c r="B374" s="53"/>
      <c r="C374" s="54"/>
    </row>
    <row r="375" spans="2:3" x14ac:dyDescent="0.35">
      <c r="B375" s="53"/>
      <c r="C375" s="54"/>
    </row>
    <row r="376" spans="2:3" x14ac:dyDescent="0.35">
      <c r="B376" s="53"/>
      <c r="C376" s="54"/>
    </row>
    <row r="377" spans="2:3" x14ac:dyDescent="0.35">
      <c r="B377" s="53"/>
      <c r="C377" s="54"/>
    </row>
    <row r="378" spans="2:3" x14ac:dyDescent="0.35">
      <c r="B378" s="53"/>
      <c r="C378" s="54"/>
    </row>
    <row r="379" spans="2:3" x14ac:dyDescent="0.35">
      <c r="B379" s="53"/>
      <c r="C379" s="54"/>
    </row>
    <row r="380" spans="2:3" x14ac:dyDescent="0.35">
      <c r="B380" s="53"/>
      <c r="C380" s="54"/>
    </row>
    <row r="381" spans="2:3" x14ac:dyDescent="0.35">
      <c r="B381" s="53"/>
      <c r="C381" s="54"/>
    </row>
    <row r="382" spans="2:3" x14ac:dyDescent="0.35">
      <c r="B382" s="53"/>
      <c r="C382" s="54"/>
    </row>
    <row r="383" spans="2:3" x14ac:dyDescent="0.35">
      <c r="B383" s="53"/>
      <c r="C383" s="54"/>
    </row>
    <row r="384" spans="2:3" x14ac:dyDescent="0.35">
      <c r="B384" s="53"/>
      <c r="C384" s="54"/>
    </row>
    <row r="385" spans="2:3" x14ac:dyDescent="0.35">
      <c r="B385" s="53"/>
      <c r="C385" s="54"/>
    </row>
    <row r="386" spans="2:3" x14ac:dyDescent="0.35">
      <c r="B386" s="53"/>
      <c r="C386" s="54"/>
    </row>
    <row r="387" spans="2:3" x14ac:dyDescent="0.35">
      <c r="B387" s="53"/>
      <c r="C387" s="54"/>
    </row>
    <row r="388" spans="2:3" x14ac:dyDescent="0.35">
      <c r="B388" s="53"/>
      <c r="C388" s="54"/>
    </row>
    <row r="389" spans="2:3" x14ac:dyDescent="0.35">
      <c r="B389" s="53"/>
      <c r="C389" s="54"/>
    </row>
    <row r="390" spans="2:3" x14ac:dyDescent="0.35">
      <c r="B390" s="53"/>
      <c r="C390" s="54"/>
    </row>
    <row r="391" spans="2:3" x14ac:dyDescent="0.35">
      <c r="B391" s="53"/>
      <c r="C391" s="54"/>
    </row>
    <row r="392" spans="2:3" x14ac:dyDescent="0.35">
      <c r="B392" s="53"/>
      <c r="C392" s="54"/>
    </row>
    <row r="393" spans="2:3" x14ac:dyDescent="0.35">
      <c r="B393" s="53"/>
      <c r="C393" s="54"/>
    </row>
    <row r="394" spans="2:3" x14ac:dyDescent="0.35">
      <c r="B394" s="53"/>
      <c r="C394" s="54"/>
    </row>
    <row r="395" spans="2:3" x14ac:dyDescent="0.35">
      <c r="B395" s="53"/>
      <c r="C395" s="54"/>
    </row>
    <row r="396" spans="2:3" x14ac:dyDescent="0.35">
      <c r="B396" s="53"/>
      <c r="C396" s="54"/>
    </row>
    <row r="397" spans="2:3" x14ac:dyDescent="0.35">
      <c r="B397" s="53"/>
      <c r="C397" s="54"/>
    </row>
    <row r="398" spans="2:3" x14ac:dyDescent="0.35">
      <c r="B398" s="53"/>
      <c r="C398" s="54"/>
    </row>
    <row r="399" spans="2:3" x14ac:dyDescent="0.35">
      <c r="B399" s="53"/>
      <c r="C399" s="54"/>
    </row>
    <row r="400" spans="2:3" x14ac:dyDescent="0.35">
      <c r="B400" s="53"/>
      <c r="C400" s="54"/>
    </row>
    <row r="401" spans="2:3" x14ac:dyDescent="0.35">
      <c r="B401" s="53"/>
      <c r="C401" s="54"/>
    </row>
    <row r="402" spans="2:3" x14ac:dyDescent="0.35">
      <c r="B402" s="53"/>
      <c r="C402" s="54"/>
    </row>
    <row r="403" spans="2:3" x14ac:dyDescent="0.35">
      <c r="B403" s="53"/>
      <c r="C403" s="54"/>
    </row>
    <row r="404" spans="2:3" x14ac:dyDescent="0.35">
      <c r="B404" s="53"/>
      <c r="C404" s="54"/>
    </row>
    <row r="405" spans="2:3" x14ac:dyDescent="0.35">
      <c r="B405" s="53"/>
      <c r="C405" s="54"/>
    </row>
    <row r="406" spans="2:3" x14ac:dyDescent="0.35">
      <c r="B406" s="53"/>
      <c r="C406" s="54"/>
    </row>
    <row r="407" spans="2:3" x14ac:dyDescent="0.35">
      <c r="B407" s="53"/>
      <c r="C407" s="54"/>
    </row>
    <row r="408" spans="2:3" x14ac:dyDescent="0.35">
      <c r="B408" s="53"/>
      <c r="C408" s="54"/>
    </row>
    <row r="409" spans="2:3" x14ac:dyDescent="0.35">
      <c r="B409" s="53"/>
      <c r="C409" s="54"/>
    </row>
    <row r="410" spans="2:3" x14ac:dyDescent="0.35">
      <c r="B410" s="53"/>
      <c r="C410" s="54"/>
    </row>
    <row r="411" spans="2:3" x14ac:dyDescent="0.35">
      <c r="B411" s="53"/>
      <c r="C411" s="54"/>
    </row>
    <row r="412" spans="2:3" x14ac:dyDescent="0.35">
      <c r="B412" s="53"/>
      <c r="C412" s="54"/>
    </row>
    <row r="413" spans="2:3" x14ac:dyDescent="0.35">
      <c r="B413" s="53"/>
      <c r="C413" s="54"/>
    </row>
    <row r="414" spans="2:3" x14ac:dyDescent="0.35">
      <c r="B414" s="53"/>
      <c r="C414" s="54"/>
    </row>
    <row r="415" spans="2:3" x14ac:dyDescent="0.35">
      <c r="B415" s="53"/>
      <c r="C415" s="54"/>
    </row>
    <row r="416" spans="2:3" x14ac:dyDescent="0.35">
      <c r="B416" s="53"/>
      <c r="C416" s="54"/>
    </row>
    <row r="417" spans="2:3" x14ac:dyDescent="0.35">
      <c r="B417" s="53"/>
      <c r="C417" s="54"/>
    </row>
    <row r="418" spans="2:3" x14ac:dyDescent="0.35">
      <c r="B418" s="53"/>
      <c r="C418" s="54"/>
    </row>
    <row r="419" spans="2:3" x14ac:dyDescent="0.35">
      <c r="B419" s="53"/>
      <c r="C419" s="54"/>
    </row>
    <row r="420" spans="2:3" x14ac:dyDescent="0.35">
      <c r="B420" s="53"/>
      <c r="C420" s="54"/>
    </row>
    <row r="421" spans="2:3" x14ac:dyDescent="0.35">
      <c r="B421" s="53"/>
      <c r="C421" s="54"/>
    </row>
    <row r="422" spans="2:3" x14ac:dyDescent="0.35">
      <c r="B422" s="53"/>
      <c r="C422" s="54"/>
    </row>
    <row r="423" spans="2:3" x14ac:dyDescent="0.35">
      <c r="B423" s="53"/>
      <c r="C423" s="54"/>
    </row>
    <row r="424" spans="2:3" x14ac:dyDescent="0.35">
      <c r="B424" s="53"/>
      <c r="C424" s="54"/>
    </row>
    <row r="425" spans="2:3" x14ac:dyDescent="0.35">
      <c r="B425" s="53"/>
      <c r="C425" s="54"/>
    </row>
    <row r="426" spans="2:3" x14ac:dyDescent="0.35">
      <c r="B426" s="53"/>
      <c r="C426" s="54"/>
    </row>
    <row r="427" spans="2:3" x14ac:dyDescent="0.35">
      <c r="B427" s="53"/>
      <c r="C427" s="54"/>
    </row>
    <row r="428" spans="2:3" x14ac:dyDescent="0.35">
      <c r="B428" s="53"/>
      <c r="C428" s="54"/>
    </row>
    <row r="429" spans="2:3" x14ac:dyDescent="0.35">
      <c r="B429" s="53"/>
      <c r="C429" s="54"/>
    </row>
    <row r="430" spans="2:3" x14ac:dyDescent="0.35">
      <c r="B430" s="53"/>
      <c r="C430" s="54"/>
    </row>
    <row r="431" spans="2:3" x14ac:dyDescent="0.35">
      <c r="B431" s="53"/>
      <c r="C431" s="54"/>
    </row>
    <row r="432" spans="2:3" x14ac:dyDescent="0.35">
      <c r="B432" s="53"/>
      <c r="C432" s="54"/>
    </row>
    <row r="433" spans="2:3" x14ac:dyDescent="0.35">
      <c r="B433" s="53"/>
      <c r="C433" s="54"/>
    </row>
    <row r="434" spans="2:3" x14ac:dyDescent="0.35">
      <c r="B434" s="53"/>
      <c r="C434" s="54"/>
    </row>
    <row r="435" spans="2:3" x14ac:dyDescent="0.35">
      <c r="B435" s="53"/>
      <c r="C435" s="54"/>
    </row>
    <row r="436" spans="2:3" x14ac:dyDescent="0.35">
      <c r="B436" s="53"/>
      <c r="C436" s="54"/>
    </row>
    <row r="437" spans="2:3" x14ac:dyDescent="0.35">
      <c r="B437" s="53"/>
      <c r="C437" s="54"/>
    </row>
    <row r="438" spans="2:3" x14ac:dyDescent="0.35">
      <c r="B438" s="53"/>
      <c r="C438" s="54"/>
    </row>
    <row r="439" spans="2:3" x14ac:dyDescent="0.35">
      <c r="B439" s="53"/>
      <c r="C439" s="54"/>
    </row>
    <row r="440" spans="2:3" x14ac:dyDescent="0.35">
      <c r="B440" s="53"/>
      <c r="C440" s="54"/>
    </row>
    <row r="441" spans="2:3" x14ac:dyDescent="0.35">
      <c r="B441" s="53"/>
      <c r="C441" s="54"/>
    </row>
    <row r="442" spans="2:3" x14ac:dyDescent="0.35">
      <c r="B442" s="53"/>
      <c r="C442" s="54"/>
    </row>
    <row r="443" spans="2:3" x14ac:dyDescent="0.35">
      <c r="B443" s="53"/>
      <c r="C443" s="54"/>
    </row>
    <row r="444" spans="2:3" x14ac:dyDescent="0.35">
      <c r="B444" s="53"/>
      <c r="C444" s="54"/>
    </row>
    <row r="445" spans="2:3" x14ac:dyDescent="0.35">
      <c r="B445" s="53"/>
      <c r="C445" s="54"/>
    </row>
    <row r="446" spans="2:3" x14ac:dyDescent="0.35">
      <c r="B446" s="53"/>
      <c r="C446" s="54"/>
    </row>
    <row r="447" spans="2:3" x14ac:dyDescent="0.35">
      <c r="B447" s="53"/>
      <c r="C447" s="54"/>
    </row>
    <row r="448" spans="2:3" x14ac:dyDescent="0.35">
      <c r="B448" s="53"/>
      <c r="C448" s="54"/>
    </row>
    <row r="449" spans="2:3" x14ac:dyDescent="0.35">
      <c r="B449" s="53"/>
      <c r="C449" s="54"/>
    </row>
    <row r="450" spans="2:3" x14ac:dyDescent="0.35">
      <c r="B450" s="53"/>
      <c r="C450" s="54"/>
    </row>
    <row r="451" spans="2:3" x14ac:dyDescent="0.35">
      <c r="B451" s="53"/>
      <c r="C451" s="54"/>
    </row>
    <row r="452" spans="2:3" x14ac:dyDescent="0.35">
      <c r="B452" s="53"/>
      <c r="C452" s="54"/>
    </row>
    <row r="453" spans="2:3" x14ac:dyDescent="0.35">
      <c r="B453" s="53"/>
      <c r="C453" s="54"/>
    </row>
    <row r="454" spans="2:3" x14ac:dyDescent="0.35">
      <c r="B454" s="53"/>
      <c r="C454" s="54"/>
    </row>
    <row r="455" spans="2:3" x14ac:dyDescent="0.35">
      <c r="B455" s="53"/>
      <c r="C455" s="54"/>
    </row>
    <row r="456" spans="2:3" x14ac:dyDescent="0.35">
      <c r="B456" s="53"/>
      <c r="C456" s="54"/>
    </row>
    <row r="457" spans="2:3" x14ac:dyDescent="0.35">
      <c r="B457" s="53"/>
      <c r="C457" s="54"/>
    </row>
    <row r="458" spans="2:3" x14ac:dyDescent="0.35">
      <c r="B458" s="53"/>
      <c r="C458" s="54"/>
    </row>
    <row r="459" spans="2:3" x14ac:dyDescent="0.35">
      <c r="B459" s="53"/>
      <c r="C459" s="54"/>
    </row>
    <row r="460" spans="2:3" x14ac:dyDescent="0.35">
      <c r="B460" s="53"/>
      <c r="C460" s="54"/>
    </row>
    <row r="461" spans="2:3" x14ac:dyDescent="0.35">
      <c r="B461" s="53"/>
      <c r="C461" s="54"/>
    </row>
    <row r="462" spans="2:3" x14ac:dyDescent="0.35">
      <c r="B462" s="53"/>
      <c r="C462" s="54"/>
    </row>
    <row r="463" spans="2:3" x14ac:dyDescent="0.35">
      <c r="B463" s="53"/>
      <c r="C463" s="54"/>
    </row>
    <row r="464" spans="2:3" x14ac:dyDescent="0.35">
      <c r="B464" s="53"/>
      <c r="C464" s="54"/>
    </row>
    <row r="465" spans="2:3" x14ac:dyDescent="0.35">
      <c r="B465" s="53"/>
      <c r="C465" s="54"/>
    </row>
    <row r="466" spans="2:3" x14ac:dyDescent="0.35">
      <c r="B466" s="53"/>
      <c r="C466" s="54"/>
    </row>
    <row r="467" spans="2:3" x14ac:dyDescent="0.35">
      <c r="B467" s="53"/>
      <c r="C467" s="54"/>
    </row>
    <row r="468" spans="2:3" x14ac:dyDescent="0.35">
      <c r="B468" s="53"/>
      <c r="C468" s="54"/>
    </row>
    <row r="469" spans="2:3" x14ac:dyDescent="0.35">
      <c r="B469" s="53"/>
      <c r="C469" s="54"/>
    </row>
    <row r="470" spans="2:3" x14ac:dyDescent="0.35">
      <c r="B470" s="53"/>
      <c r="C470" s="54"/>
    </row>
    <row r="471" spans="2:3" x14ac:dyDescent="0.35">
      <c r="B471" s="53"/>
      <c r="C471" s="54"/>
    </row>
    <row r="472" spans="2:3" x14ac:dyDescent="0.35">
      <c r="B472" s="53"/>
      <c r="C472" s="54"/>
    </row>
    <row r="473" spans="2:3" x14ac:dyDescent="0.35">
      <c r="B473" s="53"/>
      <c r="C473" s="54"/>
    </row>
    <row r="474" spans="2:3" x14ac:dyDescent="0.35">
      <c r="B474" s="53"/>
      <c r="C474" s="54"/>
    </row>
    <row r="475" spans="2:3" x14ac:dyDescent="0.35">
      <c r="B475" s="53"/>
      <c r="C475" s="54"/>
    </row>
    <row r="476" spans="2:3" x14ac:dyDescent="0.35">
      <c r="B476" s="53"/>
      <c r="C476" s="54"/>
    </row>
    <row r="477" spans="2:3" x14ac:dyDescent="0.35">
      <c r="B477" s="53"/>
      <c r="C477" s="54"/>
    </row>
    <row r="478" spans="2:3" x14ac:dyDescent="0.35">
      <c r="B478" s="53"/>
      <c r="C478" s="54"/>
    </row>
    <row r="479" spans="2:3" x14ac:dyDescent="0.35">
      <c r="B479" s="53"/>
      <c r="C479" s="54"/>
    </row>
    <row r="480" spans="2:3" x14ac:dyDescent="0.35">
      <c r="B480" s="53"/>
      <c r="C480" s="54"/>
    </row>
    <row r="481" spans="2:3" x14ac:dyDescent="0.35">
      <c r="B481" s="53"/>
      <c r="C481" s="54"/>
    </row>
    <row r="482" spans="2:3" x14ac:dyDescent="0.35">
      <c r="B482" s="53"/>
      <c r="C482" s="54"/>
    </row>
    <row r="483" spans="2:3" x14ac:dyDescent="0.35">
      <c r="B483" s="53"/>
      <c r="C483" s="54"/>
    </row>
    <row r="484" spans="2:3" x14ac:dyDescent="0.35">
      <c r="B484" s="53"/>
      <c r="C484" s="54"/>
    </row>
    <row r="485" spans="2:3" x14ac:dyDescent="0.35">
      <c r="B485" s="53"/>
      <c r="C485" s="54"/>
    </row>
    <row r="486" spans="2:3" x14ac:dyDescent="0.35">
      <c r="B486" s="53"/>
      <c r="C486" s="54"/>
    </row>
    <row r="487" spans="2:3" x14ac:dyDescent="0.35">
      <c r="B487" s="53"/>
      <c r="C487" s="54"/>
    </row>
    <row r="488" spans="2:3" x14ac:dyDescent="0.35">
      <c r="B488" s="53"/>
      <c r="C488" s="54"/>
    </row>
    <row r="489" spans="2:3" x14ac:dyDescent="0.35">
      <c r="B489" s="53"/>
      <c r="C489" s="54"/>
    </row>
    <row r="490" spans="2:3" x14ac:dyDescent="0.35">
      <c r="B490" s="53"/>
      <c r="C490" s="54"/>
    </row>
    <row r="491" spans="2:3" x14ac:dyDescent="0.35">
      <c r="B491" s="53"/>
      <c r="C491" s="54"/>
    </row>
    <row r="492" spans="2:3" x14ac:dyDescent="0.35">
      <c r="B492" s="53"/>
      <c r="C492" s="54"/>
    </row>
  </sheetData>
  <autoFilter ref="A4:Q111" xr:uid="{0B4D2AE0-392F-4F0C-BB13-CAF2AFBAD7D2}">
    <filterColumn colId="0">
      <filters>
        <filter val="CONCENTRADO PARA BALANCEADO-ZHIPPING 973 FOR SHRIM | 1073"/>
        <filter val="PREMEZCLA MINERAL COMPLEMIN SHRIMP | 1068"/>
      </filters>
    </filterColumn>
    <sortState xmlns:xlrd2="http://schemas.microsoft.com/office/spreadsheetml/2017/richdata2" ref="A5:Q111">
      <sortCondition ref="A4:A111"/>
    </sortState>
  </autoFilter>
  <mergeCells count="1">
    <mergeCell ref="O2:P2"/>
  </mergeCells>
  <conditionalFormatting sqref="A1:A1048576">
    <cfRule type="duplicateValues" dxfId="29" priority="48"/>
    <cfRule type="duplicateValues" dxfId="28" priority="49"/>
    <cfRule type="duplicateValues" dxfId="27" priority="50"/>
  </conditionalFormatting>
  <conditionalFormatting sqref="A102:A111">
    <cfRule type="duplicateValues" dxfId="26" priority="280"/>
  </conditionalFormatting>
  <conditionalFormatting sqref="C112:C1048576 E1 G1 I1 K1 M1 O1 C1:C3">
    <cfRule type="duplicateValues" dxfId="25" priority="27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6113-EF93-42D3-AB55-907AA956273E}">
  <sheetPr codeName="Hoja4" filterMode="1"/>
  <dimension ref="A1:BI244"/>
  <sheetViews>
    <sheetView showGridLines="0" zoomScale="60" zoomScaleNormal="90" workbookViewId="0">
      <pane xSplit="7" ySplit="4" topLeftCell="H123" activePane="bottomRight" state="frozen"/>
      <selection pane="topRight" activeCell="G1" sqref="G1"/>
      <selection pane="bottomLeft" activeCell="A4" sqref="A4"/>
      <selection pane="bottomRight" activeCell="L240" sqref="L240"/>
    </sheetView>
  </sheetViews>
  <sheetFormatPr baseColWidth="10" defaultRowHeight="14.5" outlineLevelCol="1" x14ac:dyDescent="0.35"/>
  <cols>
    <col min="1" max="2" width="8.54296875" customWidth="1"/>
    <col min="3" max="3" width="14.08984375" bestFit="1" customWidth="1"/>
    <col min="4" max="4" width="8.90625" customWidth="1"/>
    <col min="5" max="5" width="60.453125" bestFit="1" customWidth="1"/>
    <col min="6" max="6" width="13.36328125" style="6" bestFit="1" customWidth="1"/>
    <col min="7" max="7" width="11.90625" style="6" bestFit="1" customWidth="1"/>
    <col min="8" max="8" width="14.6328125" bestFit="1" customWidth="1"/>
    <col min="9" max="10" width="9.6328125" customWidth="1"/>
    <col min="11" max="11" width="1.90625" customWidth="1"/>
    <col min="12" max="12" width="14.1796875" bestFit="1" customWidth="1"/>
    <col min="13" max="13" width="15.81640625" bestFit="1" customWidth="1"/>
    <col min="14" max="14" width="2.08984375" customWidth="1"/>
    <col min="15" max="16" width="6" customWidth="1"/>
    <col min="17" max="18" width="5.1796875" customWidth="1"/>
    <col min="19" max="19" width="9" customWidth="1"/>
    <col min="20" max="22" width="9" customWidth="1" outlineLevel="1"/>
    <col min="23" max="23" width="14.36328125" customWidth="1" outlineLevel="1"/>
    <col min="24" max="24" width="9" customWidth="1" outlineLevel="1"/>
    <col min="25" max="25" width="14.08984375" bestFit="1" customWidth="1" outlineLevel="1"/>
    <col min="26" max="26" width="12.26953125" bestFit="1" customWidth="1" outlineLevel="1"/>
    <col min="27" max="27" width="9.90625" bestFit="1" customWidth="1" outlineLevel="1"/>
    <col min="28" max="28" width="7.26953125" customWidth="1"/>
    <col min="29" max="29" width="17.453125" bestFit="1" customWidth="1"/>
    <col min="30" max="30" width="11" customWidth="1"/>
    <col min="31" max="31" width="9.81640625" customWidth="1"/>
    <col min="32" max="32" width="13.7265625" customWidth="1"/>
    <col min="33" max="33" width="15.26953125" bestFit="1" customWidth="1"/>
    <col min="34" max="35" width="9.81640625" customWidth="1"/>
    <col min="36" max="36" width="9.08984375" bestFit="1" customWidth="1"/>
    <col min="37" max="37" width="10.26953125" bestFit="1" customWidth="1"/>
    <col min="38" max="38" width="11.08984375" customWidth="1"/>
    <col min="39" max="39" width="10.453125" style="14" customWidth="1"/>
    <col min="40" max="40" width="16.81640625" style="14" bestFit="1" customWidth="1"/>
    <col min="41" max="41" width="11.36328125" style="14" bestFit="1" customWidth="1"/>
    <col min="42" max="43" width="10.08984375" style="14" customWidth="1"/>
    <col min="44" max="44" width="17.1796875" style="14" bestFit="1" customWidth="1"/>
    <col min="45" max="45" width="10.453125" customWidth="1"/>
    <col min="46" max="46" width="10.26953125" customWidth="1"/>
    <col min="47" max="47" width="10" customWidth="1"/>
    <col min="48" max="48" width="10.54296875" bestFit="1" customWidth="1"/>
    <col min="49" max="49" width="14.08984375" bestFit="1" customWidth="1"/>
    <col min="50" max="50" width="10" customWidth="1"/>
    <col min="51" max="51" width="14.90625" customWidth="1"/>
    <col min="52" max="52" width="16.54296875" bestFit="1" customWidth="1"/>
    <col min="57" max="57" width="2.26953125" bestFit="1" customWidth="1"/>
  </cols>
  <sheetData>
    <row r="1" spans="1:61" x14ac:dyDescent="0.35">
      <c r="D1" t="s">
        <v>572</v>
      </c>
      <c r="E1">
        <v>2</v>
      </c>
      <c r="F1" s="6">
        <v>3</v>
      </c>
      <c r="G1">
        <v>4</v>
      </c>
      <c r="H1">
        <v>5</v>
      </c>
      <c r="I1" s="6">
        <v>6</v>
      </c>
      <c r="J1">
        <v>7</v>
      </c>
      <c r="K1">
        <v>8</v>
      </c>
      <c r="L1" s="6">
        <v>9</v>
      </c>
      <c r="M1">
        <v>10</v>
      </c>
      <c r="N1">
        <v>11</v>
      </c>
      <c r="O1" s="6">
        <v>12</v>
      </c>
      <c r="P1">
        <v>13</v>
      </c>
      <c r="Q1">
        <v>14</v>
      </c>
      <c r="R1" s="6">
        <v>15</v>
      </c>
      <c r="S1">
        <v>16</v>
      </c>
      <c r="T1">
        <v>17</v>
      </c>
      <c r="U1" s="6">
        <v>18</v>
      </c>
      <c r="V1">
        <v>19</v>
      </c>
      <c r="W1">
        <v>20</v>
      </c>
      <c r="X1" s="6">
        <v>21</v>
      </c>
      <c r="Y1">
        <v>22</v>
      </c>
      <c r="Z1">
        <v>23</v>
      </c>
      <c r="AA1" s="6">
        <v>24</v>
      </c>
      <c r="AB1">
        <v>25</v>
      </c>
      <c r="AC1">
        <v>26</v>
      </c>
      <c r="AD1" s="6">
        <v>27</v>
      </c>
      <c r="AE1">
        <v>28</v>
      </c>
      <c r="AF1">
        <v>29</v>
      </c>
      <c r="AG1" s="6">
        <v>30</v>
      </c>
      <c r="AH1">
        <v>31</v>
      </c>
      <c r="AI1">
        <v>32</v>
      </c>
      <c r="AJ1" s="6">
        <v>33</v>
      </c>
      <c r="AK1">
        <v>34</v>
      </c>
      <c r="AL1">
        <v>35</v>
      </c>
      <c r="AM1" s="6">
        <v>36</v>
      </c>
      <c r="AN1">
        <v>37</v>
      </c>
      <c r="AO1">
        <v>38</v>
      </c>
      <c r="AP1" s="6">
        <v>39</v>
      </c>
      <c r="AQ1">
        <v>40</v>
      </c>
      <c r="AR1">
        <v>41</v>
      </c>
      <c r="AS1" s="6">
        <v>42</v>
      </c>
      <c r="AT1">
        <v>43</v>
      </c>
      <c r="AU1">
        <v>44</v>
      </c>
      <c r="AV1" s="6">
        <v>45</v>
      </c>
      <c r="AW1">
        <v>46</v>
      </c>
      <c r="AX1">
        <v>47</v>
      </c>
      <c r="AY1" s="6">
        <v>48</v>
      </c>
      <c r="AZ1">
        <v>49</v>
      </c>
    </row>
    <row r="2" spans="1:61" ht="23.5" x14ac:dyDescent="0.55000000000000004">
      <c r="C2" s="15" t="s">
        <v>31</v>
      </c>
      <c r="F2" s="8"/>
      <c r="G2" s="8"/>
      <c r="L2" s="115" t="s">
        <v>6</v>
      </c>
      <c r="M2" s="116"/>
      <c r="U2" s="17" t="s">
        <v>7</v>
      </c>
      <c r="AC2" s="17" t="s">
        <v>35</v>
      </c>
      <c r="AD2" s="16"/>
      <c r="AE2" s="9"/>
      <c r="AF2" s="16"/>
      <c r="AG2" s="9"/>
      <c r="AH2" s="9"/>
      <c r="AI2" s="9"/>
      <c r="AO2" s="98"/>
      <c r="BF2" s="12" t="s">
        <v>1</v>
      </c>
      <c r="BG2" s="12" t="s">
        <v>0</v>
      </c>
      <c r="BH2" s="12" t="s">
        <v>1</v>
      </c>
      <c r="BI2" s="12" t="s">
        <v>0</v>
      </c>
    </row>
    <row r="3" spans="1:61" x14ac:dyDescent="0.35">
      <c r="I3" s="19"/>
      <c r="L3" s="117"/>
      <c r="M3" s="118"/>
      <c r="N3">
        <v>11</v>
      </c>
      <c r="O3">
        <v>12</v>
      </c>
      <c r="P3">
        <v>13</v>
      </c>
      <c r="Q3">
        <v>14</v>
      </c>
      <c r="S3" s="4" t="s">
        <v>26</v>
      </c>
      <c r="T3">
        <v>17</v>
      </c>
      <c r="V3" s="18" t="s">
        <v>28</v>
      </c>
      <c r="Y3" t="s">
        <v>560</v>
      </c>
      <c r="Z3" s="18" t="s">
        <v>27</v>
      </c>
      <c r="AA3" s="10"/>
      <c r="AC3" s="46">
        <f>+IFERROR(VLOOKUP(POLÍTICA!E3,#REF!,7,0),0.2)</f>
        <v>0.2</v>
      </c>
      <c r="AE3" s="2"/>
      <c r="AG3" s="2" t="s">
        <v>34</v>
      </c>
      <c r="AH3" s="2"/>
      <c r="AI3" s="2"/>
      <c r="AJ3" s="10" t="s">
        <v>33</v>
      </c>
      <c r="AS3" t="s">
        <v>462</v>
      </c>
      <c r="AU3" s="18" t="s">
        <v>28</v>
      </c>
      <c r="AV3" t="s">
        <v>449</v>
      </c>
      <c r="AW3" s="18" t="s">
        <v>560</v>
      </c>
      <c r="AX3" s="10"/>
      <c r="BE3" s="4" t="s">
        <v>2</v>
      </c>
      <c r="BF3" s="9">
        <f t="shared" ref="BF3:BG5" si="0">+COUNTIFS($F:$F,$BE3,$G:$G,BF$2)</f>
        <v>0</v>
      </c>
      <c r="BG3" s="9">
        <f t="shared" si="0"/>
        <v>0</v>
      </c>
      <c r="BH3" s="13" t="e">
        <f>+BF3/SUM($BF3:$BG3)</f>
        <v>#DIV/0!</v>
      </c>
      <c r="BI3" s="13" t="e">
        <f>+BG3/SUM($BF3:$BG3)</f>
        <v>#DIV/0!</v>
      </c>
    </row>
    <row r="4" spans="1:61" s="32" customFormat="1" ht="58" x14ac:dyDescent="0.35">
      <c r="A4" s="30" t="s">
        <v>21</v>
      </c>
      <c r="B4" s="31" t="s">
        <v>569</v>
      </c>
      <c r="C4" s="31" t="s">
        <v>9</v>
      </c>
      <c r="D4" s="31" t="s">
        <v>10</v>
      </c>
      <c r="E4" s="31" t="s">
        <v>11</v>
      </c>
      <c r="F4" s="31" t="s">
        <v>20</v>
      </c>
      <c r="G4" s="31" t="s">
        <v>38</v>
      </c>
      <c r="H4" s="49" t="s">
        <v>25</v>
      </c>
      <c r="I4" s="49" t="s">
        <v>40</v>
      </c>
      <c r="J4" s="37" t="s">
        <v>30</v>
      </c>
      <c r="L4" s="33" t="s">
        <v>15</v>
      </c>
      <c r="M4" s="34" t="s">
        <v>16</v>
      </c>
      <c r="O4" s="30" t="s">
        <v>457</v>
      </c>
      <c r="P4" s="30" t="s">
        <v>460</v>
      </c>
      <c r="Q4" s="30" t="s">
        <v>461</v>
      </c>
      <c r="R4" s="30" t="s">
        <v>570</v>
      </c>
      <c r="S4" s="50" t="s">
        <v>12</v>
      </c>
      <c r="T4" s="50" t="s">
        <v>24</v>
      </c>
      <c r="U4" s="35" t="s">
        <v>19</v>
      </c>
      <c r="V4" s="49" t="s">
        <v>17</v>
      </c>
      <c r="W4" s="49" t="s">
        <v>467</v>
      </c>
      <c r="X4" s="49" t="s">
        <v>22</v>
      </c>
      <c r="Y4" s="49" t="s">
        <v>29</v>
      </c>
      <c r="Z4" s="49" t="s">
        <v>561</v>
      </c>
      <c r="AA4" s="69" t="s">
        <v>23</v>
      </c>
      <c r="AB4" s="72"/>
      <c r="AC4" s="36" t="s">
        <v>419</v>
      </c>
      <c r="AD4" s="70" t="s">
        <v>32</v>
      </c>
      <c r="AE4" s="70" t="s">
        <v>456</v>
      </c>
      <c r="AF4" s="70" t="s">
        <v>454</v>
      </c>
      <c r="AG4" s="59" t="s">
        <v>13</v>
      </c>
      <c r="AH4" s="70" t="s">
        <v>434</v>
      </c>
      <c r="AI4" s="70" t="s">
        <v>568</v>
      </c>
      <c r="AJ4" s="59" t="s">
        <v>14</v>
      </c>
      <c r="AK4" s="36" t="s">
        <v>5</v>
      </c>
      <c r="AL4" s="70" t="s">
        <v>566</v>
      </c>
      <c r="AM4" s="70" t="s">
        <v>463</v>
      </c>
      <c r="AN4" s="37" t="s">
        <v>36</v>
      </c>
      <c r="AO4" s="36" t="s">
        <v>567</v>
      </c>
      <c r="AP4" s="70" t="s">
        <v>566</v>
      </c>
      <c r="AQ4" s="70" t="s">
        <v>463</v>
      </c>
      <c r="AR4" s="37" t="s">
        <v>36</v>
      </c>
      <c r="AS4" s="70" t="s">
        <v>8</v>
      </c>
      <c r="AT4" s="37" t="s">
        <v>37</v>
      </c>
      <c r="AU4" s="71" t="s">
        <v>17</v>
      </c>
      <c r="AV4" s="49" t="s">
        <v>22</v>
      </c>
      <c r="AW4" s="49" t="s">
        <v>29</v>
      </c>
      <c r="AX4" s="69" t="s">
        <v>23</v>
      </c>
      <c r="AY4" s="60" t="s">
        <v>18</v>
      </c>
      <c r="AZ4" s="60" t="s">
        <v>39</v>
      </c>
      <c r="BE4" s="4" t="s">
        <v>3</v>
      </c>
      <c r="BF4" s="9">
        <f t="shared" si="0"/>
        <v>0</v>
      </c>
      <c r="BG4" s="9">
        <f t="shared" si="0"/>
        <v>0</v>
      </c>
      <c r="BH4" s="13" t="e">
        <f t="shared" ref="BH4" si="1">+BF4/SUM($BF4:$BG4)</f>
        <v>#DIV/0!</v>
      </c>
      <c r="BI4" s="13" t="e">
        <f t="shared" ref="BI4" si="2">+BG4/SUM($BF4:$BG4)</f>
        <v>#DIV/0!</v>
      </c>
    </row>
    <row r="5" spans="1:61" hidden="1" x14ac:dyDescent="0.35">
      <c r="A5" s="29" t="s">
        <v>423</v>
      </c>
      <c r="B5" s="6">
        <v>5000</v>
      </c>
      <c r="C5" s="2" t="e">
        <f>+VLOOKUP(E5,inventario!#REF!,2,0)</f>
        <v>#REF!</v>
      </c>
      <c r="D5" t="str">
        <f t="shared" ref="D5:D68" si="3">+RIGHT(E5, LEN(E5) - FIND("|", E5) - 1)</f>
        <v>1025-ME</v>
      </c>
      <c r="E5" t="s">
        <v>45</v>
      </c>
      <c r="F5" s="6" t="str">
        <f>+IFERROR(VLOOKUP(E5,#REF!,29,0),"C")</f>
        <v>C</v>
      </c>
      <c r="G5" s="6" t="str">
        <f>+IFERROR(VLOOKUP(E5,#REF!,34,0),"C")</f>
        <v>C</v>
      </c>
      <c r="H5" s="64">
        <f>+IFERROR(VLOOKUP(E5,#REF!,31,0),0)</f>
        <v>0</v>
      </c>
      <c r="I5" s="44">
        <f>+IFERROR(VLOOKUP(E5,#REF!,26,0),0)</f>
        <v>0</v>
      </c>
      <c r="J5" s="44">
        <f>+IFERROR(VLOOKUP(E5,#REF!,30,0),0)</f>
        <v>0</v>
      </c>
      <c r="K5" s="3"/>
      <c r="L5" s="25">
        <f t="shared" ref="L5:L68" si="4">+IF(OR(F5="A",F5="A+"),0.95,IF(F5="B",0.75,0.7))</f>
        <v>0.7</v>
      </c>
      <c r="M5" s="26">
        <f t="shared" ref="M5:M68" si="5">+NORMSINV(L5)</f>
        <v>0.52440051270804078</v>
      </c>
      <c r="O5">
        <f>+IFERROR(VLOOKUP(D5,lt!A:J,10,0),15)</f>
        <v>15</v>
      </c>
      <c r="P5">
        <v>2</v>
      </c>
      <c r="Q5">
        <v>1</v>
      </c>
      <c r="R5">
        <v>2</v>
      </c>
      <c r="S5" s="22">
        <f t="shared" ref="S5:S68" si="6">+O5+P5+Q5+R5</f>
        <v>20</v>
      </c>
      <c r="T5" s="9">
        <v>3</v>
      </c>
      <c r="U5" s="23">
        <f t="shared" ref="U5:U68" si="7">(T5+S5)/30</f>
        <v>0.76666666666666672</v>
      </c>
      <c r="V5" s="11">
        <f t="shared" ref="V5:V68" si="8">+J5*NORMSINV(L5)*SQRT((S5+T5)/30)</f>
        <v>0</v>
      </c>
      <c r="W5" s="11">
        <f t="shared" ref="W5:W68" si="9">+(S5+T5)/30*H5</f>
        <v>0</v>
      </c>
      <c r="X5" s="11">
        <f t="shared" ref="X5:X68" si="10">+(H5)/30*T5/2</f>
        <v>0</v>
      </c>
      <c r="Y5" s="11">
        <f t="shared" ref="Y5:Y68" si="11">+X5+V5</f>
        <v>0</v>
      </c>
      <c r="Z5" s="65">
        <f t="shared" ref="Z5:Z68" si="12">+CEILING(W5+V5,B5)</f>
        <v>0</v>
      </c>
      <c r="AA5" s="24">
        <f t="shared" ref="AA5:AA68" si="13">+H5/30*S5</f>
        <v>0</v>
      </c>
      <c r="AB5">
        <f t="shared" ref="AB5:AB68" si="14">+H5*T5</f>
        <v>0</v>
      </c>
      <c r="AC5" s="46">
        <f>+IFERROR(VLOOKUP(E5,#REF!,24,0),0.2)</f>
        <v>0.2</v>
      </c>
      <c r="AD5" s="42">
        <f>+IFERROR(VLOOKUP(E5,h!$C:$D,2,0),0.3866)</f>
        <v>4.6333000000000005E-5</v>
      </c>
      <c r="AE5" s="42">
        <f>+VLOOKUP(A5,k!$A$1:$G$4,5,0)</f>
        <v>0.35799365240740744</v>
      </c>
      <c r="AF5" s="47">
        <f t="shared" ref="AF5:AF68" si="15">+SUM(AC5:AE5)</f>
        <v>0.5580399854074074</v>
      </c>
      <c r="AG5" s="48">
        <f t="shared" ref="AG5:AG68" si="16">12%*AF5</f>
        <v>6.6964798248888888E-2</v>
      </c>
      <c r="AH5" s="20">
        <f>+IFERROR(VLOOKUP(C5,k!$A$7:$L$13,7,0),0)</f>
        <v>0</v>
      </c>
      <c r="AI5" s="20">
        <f t="shared" ref="AI5:AI68" si="17">+AL5*AH5</f>
        <v>0</v>
      </c>
      <c r="AJ5" s="5">
        <f t="shared" ref="AJ5:AJ68" si="18">AH5</f>
        <v>0</v>
      </c>
      <c r="AK5" s="57">
        <f t="shared" ref="AK5:AK68" si="19">+CEILING(IFERROR(SQRT(2*AJ5*I5/AG5),0),B5)</f>
        <v>0</v>
      </c>
      <c r="AL5" s="19">
        <f t="shared" ref="AL5:AL68" si="20">+IF(AK5=0,0,ROUNDUP(I5/AK5,0))</f>
        <v>0</v>
      </c>
      <c r="AM5" s="20">
        <f t="shared" ref="AM5:AM68" si="21">+IFERROR(AK5/H5,0)</f>
        <v>0</v>
      </c>
      <c r="AN5" s="27">
        <f t="shared" ref="AN5:AN68" si="22">+AM5*30</f>
        <v>0</v>
      </c>
      <c r="AO5" s="57">
        <f t="shared" ref="AO5:AO36" si="23">+CEILING(IFERROR(SQRT(2*AI5*I5/AG5),0),B5)</f>
        <v>0</v>
      </c>
      <c r="AP5" s="19">
        <f t="shared" ref="AP5:AP68" si="24">+IF(AO5=0,0,I5/AO5)</f>
        <v>0</v>
      </c>
      <c r="AQ5" s="20">
        <f t="shared" ref="AQ5:AQ68" si="25">+IFERROR(AO5/H5,0)</f>
        <v>0</v>
      </c>
      <c r="AR5" s="58">
        <f t="shared" ref="AR5:AR68" si="26">+AQ5*30</f>
        <v>0</v>
      </c>
      <c r="AS5" s="1">
        <f t="shared" ref="AS5:AS68" si="27">+AU5+H5/30*S5</f>
        <v>0</v>
      </c>
      <c r="AT5" s="21">
        <f t="shared" ref="AT5:AT68" si="28">+IFERROR(AS5/H5*22,0)</f>
        <v>0</v>
      </c>
      <c r="AU5" s="28">
        <f t="shared" ref="AU5:AU68" si="29">+NORMSINV(L5)*SQRT((S5)/30)*J5</f>
        <v>0</v>
      </c>
      <c r="AV5" s="19">
        <f t="shared" ref="AV5:AV68" si="30">+AO5/2</f>
        <v>0</v>
      </c>
      <c r="AW5" s="19">
        <f t="shared" ref="AW5:AW68" si="31">+AV5+AU5</f>
        <v>0</v>
      </c>
      <c r="AX5" s="27">
        <f t="shared" ref="AX5:AX68" si="32">+H5/30*S5</f>
        <v>0</v>
      </c>
      <c r="AY5" s="1" t="e">
        <f t="shared" ref="AY5:AY68" si="33">+AU5/H5*30</f>
        <v>#DIV/0!</v>
      </c>
      <c r="AZ5" s="1" t="e">
        <f t="shared" ref="AZ5:AZ68" si="34">+AW5/H5*30</f>
        <v>#DIV/0!</v>
      </c>
      <c r="BE5" t="s">
        <v>976</v>
      </c>
      <c r="BF5" s="9">
        <f t="shared" si="0"/>
        <v>0</v>
      </c>
      <c r="BG5" s="9">
        <f t="shared" si="0"/>
        <v>0</v>
      </c>
      <c r="BH5" s="13" t="e">
        <f t="shared" ref="BH5" si="35">+BF5/SUM($BF5:$BG5)</f>
        <v>#DIV/0!</v>
      </c>
      <c r="BI5" s="13" t="e">
        <f t="shared" ref="BI5" si="36">+BG5/SUM($BF5:$BG5)</f>
        <v>#DIV/0!</v>
      </c>
    </row>
    <row r="6" spans="1:61" hidden="1" x14ac:dyDescent="0.35">
      <c r="A6" s="29" t="s">
        <v>423</v>
      </c>
      <c r="B6" s="6">
        <v>5000</v>
      </c>
      <c r="C6" s="2" t="e">
        <f>+VLOOKUP(E6,inventario!#REF!,2,0)</f>
        <v>#REF!</v>
      </c>
      <c r="D6" t="str">
        <f t="shared" si="3"/>
        <v>1023-ME</v>
      </c>
      <c r="E6" t="s">
        <v>43</v>
      </c>
      <c r="F6" s="6" t="str">
        <f>+IFERROR(VLOOKUP(E6,#REF!,29,0),"C")</f>
        <v>C</v>
      </c>
      <c r="G6" s="6" t="str">
        <f>+IFERROR(VLOOKUP(E6,#REF!,34,0),"C")</f>
        <v>C</v>
      </c>
      <c r="H6" s="64">
        <f>+IFERROR(VLOOKUP(E6,#REF!,31,0),0)</f>
        <v>0</v>
      </c>
      <c r="I6" s="44">
        <f>+IFERROR(VLOOKUP(E6,#REF!,26,0),0)</f>
        <v>0</v>
      </c>
      <c r="J6" s="44">
        <f>+IFERROR(VLOOKUP(E6,#REF!,30,0),0)</f>
        <v>0</v>
      </c>
      <c r="K6" s="3"/>
      <c r="L6" s="25">
        <f t="shared" si="4"/>
        <v>0.7</v>
      </c>
      <c r="M6" s="26">
        <f t="shared" si="5"/>
        <v>0.52440051270804078</v>
      </c>
      <c r="O6">
        <f>+IFERROR(VLOOKUP(D6,lt!A:J,10,0),15)</f>
        <v>15</v>
      </c>
      <c r="P6">
        <v>2</v>
      </c>
      <c r="Q6">
        <v>1</v>
      </c>
      <c r="R6">
        <v>2</v>
      </c>
      <c r="S6" s="22">
        <f t="shared" si="6"/>
        <v>20</v>
      </c>
      <c r="T6" s="9">
        <v>3</v>
      </c>
      <c r="U6" s="23">
        <f t="shared" si="7"/>
        <v>0.76666666666666672</v>
      </c>
      <c r="V6" s="11">
        <f t="shared" si="8"/>
        <v>0</v>
      </c>
      <c r="W6" s="11">
        <f t="shared" si="9"/>
        <v>0</v>
      </c>
      <c r="X6" s="11">
        <f t="shared" si="10"/>
        <v>0</v>
      </c>
      <c r="Y6" s="11">
        <f t="shared" si="11"/>
        <v>0</v>
      </c>
      <c r="Z6" s="65">
        <f t="shared" si="12"/>
        <v>0</v>
      </c>
      <c r="AA6" s="24">
        <f t="shared" si="13"/>
        <v>0</v>
      </c>
      <c r="AB6">
        <f t="shared" si="14"/>
        <v>0</v>
      </c>
      <c r="AC6" s="46">
        <f>+IFERROR(VLOOKUP(E6,#REF!,24,0),0.2)</f>
        <v>0.2</v>
      </c>
      <c r="AD6" s="42">
        <f>+IFERROR(VLOOKUP(E6,h!$C:$D,2,0),0.3866)</f>
        <v>4.6333000000000005E-5</v>
      </c>
      <c r="AE6" s="42">
        <f>+VLOOKUP(A6,k!$A$1:$G$4,5,0)</f>
        <v>0.35799365240740744</v>
      </c>
      <c r="AF6" s="47">
        <f t="shared" si="15"/>
        <v>0.5580399854074074</v>
      </c>
      <c r="AG6" s="48">
        <f t="shared" si="16"/>
        <v>6.6964798248888888E-2</v>
      </c>
      <c r="AH6" s="20">
        <f>+IFERROR(VLOOKUP(C6,k!$A$7:$L$13,7,0),0)</f>
        <v>0</v>
      </c>
      <c r="AI6" s="20">
        <f t="shared" si="17"/>
        <v>0</v>
      </c>
      <c r="AJ6" s="5">
        <f t="shared" si="18"/>
        <v>0</v>
      </c>
      <c r="AK6" s="57">
        <f t="shared" si="19"/>
        <v>0</v>
      </c>
      <c r="AL6" s="19">
        <f t="shared" si="20"/>
        <v>0</v>
      </c>
      <c r="AM6" s="20">
        <f t="shared" si="21"/>
        <v>0</v>
      </c>
      <c r="AN6" s="27">
        <f t="shared" si="22"/>
        <v>0</v>
      </c>
      <c r="AO6" s="57">
        <f t="shared" si="23"/>
        <v>0</v>
      </c>
      <c r="AP6" s="19">
        <f t="shared" si="24"/>
        <v>0</v>
      </c>
      <c r="AQ6" s="20">
        <f t="shared" si="25"/>
        <v>0</v>
      </c>
      <c r="AR6" s="58">
        <f t="shared" si="26"/>
        <v>0</v>
      </c>
      <c r="AS6" s="1">
        <f t="shared" si="27"/>
        <v>0</v>
      </c>
      <c r="AT6" s="21">
        <f t="shared" si="28"/>
        <v>0</v>
      </c>
      <c r="AU6" s="28">
        <f t="shared" si="29"/>
        <v>0</v>
      </c>
      <c r="AV6" s="19">
        <f t="shared" si="30"/>
        <v>0</v>
      </c>
      <c r="AW6" s="19">
        <f t="shared" si="31"/>
        <v>0</v>
      </c>
      <c r="AX6" s="27">
        <f t="shared" si="32"/>
        <v>0</v>
      </c>
      <c r="AY6" s="1" t="e">
        <f t="shared" si="33"/>
        <v>#DIV/0!</v>
      </c>
      <c r="AZ6" s="1" t="e">
        <f t="shared" si="34"/>
        <v>#DIV/0!</v>
      </c>
    </row>
    <row r="7" spans="1:61" hidden="1" x14ac:dyDescent="0.35">
      <c r="A7" s="29" t="s">
        <v>423</v>
      </c>
      <c r="B7" s="6">
        <v>5000</v>
      </c>
      <c r="C7" s="2" t="e">
        <f>+VLOOKUP(E7,inventario!#REF!,2,0)</f>
        <v>#REF!</v>
      </c>
      <c r="D7" t="str">
        <f t="shared" si="3"/>
        <v>0201-ME</v>
      </c>
      <c r="E7" t="s">
        <v>105</v>
      </c>
      <c r="F7" s="6" t="str">
        <f>+IFERROR(VLOOKUP(E7,#REF!,29,0),"C")</f>
        <v>C</v>
      </c>
      <c r="G7" s="6" t="str">
        <f>+IFERROR(VLOOKUP(E7,#REF!,34,0),"C")</f>
        <v>C</v>
      </c>
      <c r="H7" s="64">
        <f>+IFERROR(VLOOKUP(E7,#REF!,31,0),0)</f>
        <v>0</v>
      </c>
      <c r="I7" s="44">
        <f>+IFERROR(VLOOKUP(E7,#REF!,26,0),0)</f>
        <v>0</v>
      </c>
      <c r="J7" s="44">
        <f>+IFERROR(VLOOKUP(E7,#REF!,30,0),0)</f>
        <v>0</v>
      </c>
      <c r="K7" s="3"/>
      <c r="L7" s="25">
        <f t="shared" si="4"/>
        <v>0.7</v>
      </c>
      <c r="M7" s="26">
        <f t="shared" si="5"/>
        <v>0.52440051270804078</v>
      </c>
      <c r="O7">
        <f>+IFERROR(VLOOKUP(D7,lt!A:J,10,0),15)</f>
        <v>15</v>
      </c>
      <c r="P7">
        <v>2</v>
      </c>
      <c r="Q7">
        <v>1</v>
      </c>
      <c r="R7">
        <v>2</v>
      </c>
      <c r="S7" s="22">
        <f t="shared" si="6"/>
        <v>20</v>
      </c>
      <c r="T7" s="9">
        <v>3</v>
      </c>
      <c r="U7" s="23">
        <f t="shared" si="7"/>
        <v>0.76666666666666672</v>
      </c>
      <c r="V7" s="11">
        <f t="shared" si="8"/>
        <v>0</v>
      </c>
      <c r="W7" s="11">
        <f t="shared" si="9"/>
        <v>0</v>
      </c>
      <c r="X7" s="11">
        <f t="shared" si="10"/>
        <v>0</v>
      </c>
      <c r="Y7" s="11">
        <f t="shared" si="11"/>
        <v>0</v>
      </c>
      <c r="Z7" s="65">
        <f t="shared" si="12"/>
        <v>0</v>
      </c>
      <c r="AA7" s="24">
        <f t="shared" si="13"/>
        <v>0</v>
      </c>
      <c r="AB7">
        <f t="shared" si="14"/>
        <v>0</v>
      </c>
      <c r="AC7" s="46">
        <f>+IFERROR(VLOOKUP(E7,#REF!,24,0),0.2)</f>
        <v>0.2</v>
      </c>
      <c r="AD7" s="42">
        <f>+IFERROR(VLOOKUP(E7,h!$C:$D,2,0),0.3866)</f>
        <v>4.6333000000000005E-5</v>
      </c>
      <c r="AE7" s="42">
        <f>+VLOOKUP(A7,k!$A$1:$G$4,5,0)</f>
        <v>0.35799365240740744</v>
      </c>
      <c r="AF7" s="47">
        <f t="shared" si="15"/>
        <v>0.5580399854074074</v>
      </c>
      <c r="AG7" s="48">
        <f t="shared" si="16"/>
        <v>6.6964798248888888E-2</v>
      </c>
      <c r="AH7" s="20">
        <f>+IFERROR(VLOOKUP(C7,k!$A$7:$L$13,7,0),0)</f>
        <v>0</v>
      </c>
      <c r="AI7" s="20">
        <f t="shared" si="17"/>
        <v>0</v>
      </c>
      <c r="AJ7" s="5">
        <f t="shared" si="18"/>
        <v>0</v>
      </c>
      <c r="AK7" s="57">
        <f t="shared" si="19"/>
        <v>0</v>
      </c>
      <c r="AL7" s="19">
        <f t="shared" si="20"/>
        <v>0</v>
      </c>
      <c r="AM7" s="20">
        <f t="shared" si="21"/>
        <v>0</v>
      </c>
      <c r="AN7" s="27">
        <f t="shared" si="22"/>
        <v>0</v>
      </c>
      <c r="AO7" s="57">
        <f t="shared" si="23"/>
        <v>0</v>
      </c>
      <c r="AP7" s="19">
        <f t="shared" si="24"/>
        <v>0</v>
      </c>
      <c r="AQ7" s="20">
        <f t="shared" si="25"/>
        <v>0</v>
      </c>
      <c r="AR7" s="58">
        <f t="shared" si="26"/>
        <v>0</v>
      </c>
      <c r="AS7" s="1">
        <f t="shared" si="27"/>
        <v>0</v>
      </c>
      <c r="AT7" s="21">
        <f t="shared" si="28"/>
        <v>0</v>
      </c>
      <c r="AU7" s="28">
        <f t="shared" si="29"/>
        <v>0</v>
      </c>
      <c r="AV7" s="19">
        <f t="shared" si="30"/>
        <v>0</v>
      </c>
      <c r="AW7" s="19">
        <f t="shared" si="31"/>
        <v>0</v>
      </c>
      <c r="AX7" s="27">
        <f t="shared" si="32"/>
        <v>0</v>
      </c>
      <c r="AY7" s="1" t="e">
        <f t="shared" si="33"/>
        <v>#DIV/0!</v>
      </c>
      <c r="AZ7" s="1" t="e">
        <f t="shared" si="34"/>
        <v>#DIV/0!</v>
      </c>
    </row>
    <row r="8" spans="1:61" hidden="1" x14ac:dyDescent="0.35">
      <c r="A8" s="29" t="s">
        <v>423</v>
      </c>
      <c r="B8" s="6">
        <v>5000</v>
      </c>
      <c r="C8" s="2" t="e">
        <f>+VLOOKUP(E8,inventario!#REF!,2,0)</f>
        <v>#REF!</v>
      </c>
      <c r="D8" t="str">
        <f t="shared" si="3"/>
        <v>0171-ME</v>
      </c>
      <c r="E8" t="s">
        <v>107</v>
      </c>
      <c r="F8" s="6" t="str">
        <f>+IFERROR(VLOOKUP(E8,#REF!,29,0),"C")</f>
        <v>C</v>
      </c>
      <c r="G8" s="6" t="str">
        <f>+IFERROR(VLOOKUP(E8,#REF!,34,0),"C")</f>
        <v>C</v>
      </c>
      <c r="H8" s="64">
        <f>+IFERROR(VLOOKUP(E8,#REF!,31,0),0)</f>
        <v>0</v>
      </c>
      <c r="I8" s="44">
        <f>+IFERROR(VLOOKUP(E8,#REF!,26,0),0)</f>
        <v>0</v>
      </c>
      <c r="J8" s="44">
        <f>+IFERROR(VLOOKUP(E8,#REF!,30,0),0)</f>
        <v>0</v>
      </c>
      <c r="K8" s="3"/>
      <c r="L8" s="25">
        <f t="shared" si="4"/>
        <v>0.7</v>
      </c>
      <c r="M8" s="26">
        <f t="shared" si="5"/>
        <v>0.52440051270804078</v>
      </c>
      <c r="O8">
        <f>+IFERROR(VLOOKUP(D8,lt!A:J,10,0),15)</f>
        <v>15</v>
      </c>
      <c r="P8">
        <v>2</v>
      </c>
      <c r="Q8">
        <v>1</v>
      </c>
      <c r="R8">
        <v>2</v>
      </c>
      <c r="S8" s="22">
        <f t="shared" si="6"/>
        <v>20</v>
      </c>
      <c r="T8" s="9">
        <v>3</v>
      </c>
      <c r="U8" s="23">
        <f t="shared" si="7"/>
        <v>0.76666666666666672</v>
      </c>
      <c r="V8" s="11">
        <f t="shared" si="8"/>
        <v>0</v>
      </c>
      <c r="W8" s="11">
        <f t="shared" si="9"/>
        <v>0</v>
      </c>
      <c r="X8" s="11">
        <f t="shared" si="10"/>
        <v>0</v>
      </c>
      <c r="Y8" s="11">
        <f t="shared" si="11"/>
        <v>0</v>
      </c>
      <c r="Z8" s="65">
        <f t="shared" si="12"/>
        <v>0</v>
      </c>
      <c r="AA8" s="24">
        <f t="shared" si="13"/>
        <v>0</v>
      </c>
      <c r="AB8">
        <f t="shared" si="14"/>
        <v>0</v>
      </c>
      <c r="AC8" s="46">
        <f>+IFERROR(VLOOKUP(E8,#REF!,24,0),0.2)</f>
        <v>0.2</v>
      </c>
      <c r="AD8" s="42">
        <f>+IFERROR(VLOOKUP(E8,h!$C:$D,2,0),0.3866)</f>
        <v>4.6333000000000005E-5</v>
      </c>
      <c r="AE8" s="42">
        <f>+VLOOKUP(A8,k!$A$1:$G$4,5,0)</f>
        <v>0.35799365240740744</v>
      </c>
      <c r="AF8" s="47">
        <f t="shared" si="15"/>
        <v>0.5580399854074074</v>
      </c>
      <c r="AG8" s="48">
        <f t="shared" si="16"/>
        <v>6.6964798248888888E-2</v>
      </c>
      <c r="AH8" s="20">
        <f>+IFERROR(VLOOKUP(C8,k!$A$7:$L$13,7,0),0)</f>
        <v>0</v>
      </c>
      <c r="AI8" s="20">
        <f t="shared" si="17"/>
        <v>0</v>
      </c>
      <c r="AJ8" s="5">
        <f t="shared" si="18"/>
        <v>0</v>
      </c>
      <c r="AK8" s="57">
        <f t="shared" si="19"/>
        <v>0</v>
      </c>
      <c r="AL8" s="19">
        <f t="shared" si="20"/>
        <v>0</v>
      </c>
      <c r="AM8" s="20">
        <f t="shared" si="21"/>
        <v>0</v>
      </c>
      <c r="AN8" s="27">
        <f t="shared" si="22"/>
        <v>0</v>
      </c>
      <c r="AO8" s="57">
        <f t="shared" si="23"/>
        <v>0</v>
      </c>
      <c r="AP8" s="19">
        <f t="shared" si="24"/>
        <v>0</v>
      </c>
      <c r="AQ8" s="20">
        <f t="shared" si="25"/>
        <v>0</v>
      </c>
      <c r="AR8" s="58">
        <f t="shared" si="26"/>
        <v>0</v>
      </c>
      <c r="AS8" s="1">
        <f t="shared" si="27"/>
        <v>0</v>
      </c>
      <c r="AT8" s="21">
        <f t="shared" si="28"/>
        <v>0</v>
      </c>
      <c r="AU8" s="28">
        <f t="shared" si="29"/>
        <v>0</v>
      </c>
      <c r="AV8" s="19">
        <f t="shared" si="30"/>
        <v>0</v>
      </c>
      <c r="AW8" s="19">
        <f t="shared" si="31"/>
        <v>0</v>
      </c>
      <c r="AX8" s="27">
        <f t="shared" si="32"/>
        <v>0</v>
      </c>
      <c r="AY8" s="1" t="e">
        <f t="shared" si="33"/>
        <v>#DIV/0!</v>
      </c>
      <c r="AZ8" s="1" t="e">
        <f t="shared" si="34"/>
        <v>#DIV/0!</v>
      </c>
    </row>
    <row r="9" spans="1:61" hidden="1" x14ac:dyDescent="0.35">
      <c r="A9" s="29" t="s">
        <v>423</v>
      </c>
      <c r="B9" s="6">
        <v>5000</v>
      </c>
      <c r="C9" s="2" t="e">
        <f>+VLOOKUP(E9,inventario!#REF!,2,0)</f>
        <v>#REF!</v>
      </c>
      <c r="D9" t="str">
        <f t="shared" si="3"/>
        <v>1018-ME</v>
      </c>
      <c r="E9" t="s">
        <v>109</v>
      </c>
      <c r="F9" s="6" t="str">
        <f>+IFERROR(VLOOKUP(E9,#REF!,29,0),"C")</f>
        <v>C</v>
      </c>
      <c r="G9" s="6" t="str">
        <f>+IFERROR(VLOOKUP(E9,#REF!,34,0),"C")</f>
        <v>C</v>
      </c>
      <c r="H9" s="64">
        <f>+IFERROR(VLOOKUP(E9,#REF!,31,0),0)</f>
        <v>0</v>
      </c>
      <c r="I9" s="44">
        <f>+IFERROR(VLOOKUP(E9,#REF!,26,0),0)</f>
        <v>0</v>
      </c>
      <c r="J9" s="44">
        <f>+IFERROR(VLOOKUP(E9,#REF!,30,0),0)</f>
        <v>0</v>
      </c>
      <c r="K9" s="3"/>
      <c r="L9" s="25">
        <f t="shared" si="4"/>
        <v>0.7</v>
      </c>
      <c r="M9" s="26">
        <f t="shared" si="5"/>
        <v>0.52440051270804078</v>
      </c>
      <c r="O9">
        <f>+IFERROR(VLOOKUP(D9,lt!A:J,10,0),15)</f>
        <v>15</v>
      </c>
      <c r="P9">
        <v>2</v>
      </c>
      <c r="Q9">
        <v>1</v>
      </c>
      <c r="R9">
        <v>2</v>
      </c>
      <c r="S9" s="22">
        <f t="shared" si="6"/>
        <v>20</v>
      </c>
      <c r="T9" s="9">
        <v>3</v>
      </c>
      <c r="U9" s="23">
        <f t="shared" si="7"/>
        <v>0.76666666666666672</v>
      </c>
      <c r="V9" s="11">
        <f t="shared" si="8"/>
        <v>0</v>
      </c>
      <c r="W9" s="11">
        <f t="shared" si="9"/>
        <v>0</v>
      </c>
      <c r="X9" s="11">
        <f t="shared" si="10"/>
        <v>0</v>
      </c>
      <c r="Y9" s="11">
        <f t="shared" si="11"/>
        <v>0</v>
      </c>
      <c r="Z9" s="65">
        <f t="shared" si="12"/>
        <v>0</v>
      </c>
      <c r="AA9" s="24">
        <f t="shared" si="13"/>
        <v>0</v>
      </c>
      <c r="AB9">
        <f t="shared" si="14"/>
        <v>0</v>
      </c>
      <c r="AC9" s="46">
        <f>+IFERROR(VLOOKUP(E9,#REF!,24,0),0.2)</f>
        <v>0.2</v>
      </c>
      <c r="AD9" s="42">
        <f>+IFERROR(VLOOKUP(E9,h!$C:$D,2,0),0.3866)</f>
        <v>4.6333000000000005E-5</v>
      </c>
      <c r="AE9" s="42">
        <f>+VLOOKUP(A9,k!$A$1:$G$4,5,0)</f>
        <v>0.35799365240740744</v>
      </c>
      <c r="AF9" s="47">
        <f t="shared" si="15"/>
        <v>0.5580399854074074</v>
      </c>
      <c r="AG9" s="48">
        <f t="shared" si="16"/>
        <v>6.6964798248888888E-2</v>
      </c>
      <c r="AH9" s="20">
        <f>+IFERROR(VLOOKUP(C9,k!$A$7:$L$13,7,0),0)</f>
        <v>0</v>
      </c>
      <c r="AI9" s="20">
        <f t="shared" si="17"/>
        <v>0</v>
      </c>
      <c r="AJ9" s="5">
        <f t="shared" si="18"/>
        <v>0</v>
      </c>
      <c r="AK9" s="57">
        <f t="shared" si="19"/>
        <v>0</v>
      </c>
      <c r="AL9" s="19">
        <f t="shared" si="20"/>
        <v>0</v>
      </c>
      <c r="AM9" s="20">
        <f t="shared" si="21"/>
        <v>0</v>
      </c>
      <c r="AN9" s="27">
        <f t="shared" si="22"/>
        <v>0</v>
      </c>
      <c r="AO9" s="57">
        <f t="shared" si="23"/>
        <v>0</v>
      </c>
      <c r="AP9" s="19">
        <f t="shared" si="24"/>
        <v>0</v>
      </c>
      <c r="AQ9" s="20">
        <f t="shared" si="25"/>
        <v>0</v>
      </c>
      <c r="AR9" s="58">
        <f t="shared" si="26"/>
        <v>0</v>
      </c>
      <c r="AS9" s="1">
        <f t="shared" si="27"/>
        <v>0</v>
      </c>
      <c r="AT9" s="21">
        <f t="shared" si="28"/>
        <v>0</v>
      </c>
      <c r="AU9" s="28">
        <f t="shared" si="29"/>
        <v>0</v>
      </c>
      <c r="AV9" s="19">
        <f t="shared" si="30"/>
        <v>0</v>
      </c>
      <c r="AW9" s="19">
        <f t="shared" si="31"/>
        <v>0</v>
      </c>
      <c r="AX9" s="27">
        <f t="shared" si="32"/>
        <v>0</v>
      </c>
      <c r="AY9" s="1" t="e">
        <f t="shared" si="33"/>
        <v>#DIV/0!</v>
      </c>
      <c r="AZ9" s="1" t="e">
        <f t="shared" si="34"/>
        <v>#DIV/0!</v>
      </c>
    </row>
    <row r="10" spans="1:61" hidden="1" x14ac:dyDescent="0.35">
      <c r="A10" s="29" t="s">
        <v>423</v>
      </c>
      <c r="B10" s="6">
        <v>5000</v>
      </c>
      <c r="C10" s="2" t="e">
        <f>+VLOOKUP(E10,inventario!#REF!,2,0)</f>
        <v>#REF!</v>
      </c>
      <c r="D10" t="str">
        <f t="shared" si="3"/>
        <v>1030-ME</v>
      </c>
      <c r="E10" t="s">
        <v>52</v>
      </c>
      <c r="F10" s="6" t="str">
        <f>+IFERROR(VLOOKUP(E10,#REF!,29,0),"C")</f>
        <v>C</v>
      </c>
      <c r="G10" s="6" t="str">
        <f>+IFERROR(VLOOKUP(E10,#REF!,34,0),"C")</f>
        <v>C</v>
      </c>
      <c r="H10" s="64">
        <f>+IFERROR(VLOOKUP(E10,#REF!,31,0),0)</f>
        <v>0</v>
      </c>
      <c r="I10" s="44">
        <f>+IFERROR(VLOOKUP(E10,#REF!,26,0),0)</f>
        <v>0</v>
      </c>
      <c r="J10" s="44">
        <f>+IFERROR(VLOOKUP(E10,#REF!,30,0),0)</f>
        <v>0</v>
      </c>
      <c r="K10" s="3"/>
      <c r="L10" s="25">
        <f t="shared" si="4"/>
        <v>0.7</v>
      </c>
      <c r="M10" s="26">
        <f t="shared" si="5"/>
        <v>0.52440051270804078</v>
      </c>
      <c r="O10">
        <f>+IFERROR(VLOOKUP(D10,lt!A:J,10,0),15)</f>
        <v>15</v>
      </c>
      <c r="P10">
        <v>2</v>
      </c>
      <c r="Q10">
        <v>1</v>
      </c>
      <c r="R10">
        <v>2</v>
      </c>
      <c r="S10" s="22">
        <f t="shared" si="6"/>
        <v>20</v>
      </c>
      <c r="T10" s="9">
        <v>3</v>
      </c>
      <c r="U10" s="23">
        <f t="shared" si="7"/>
        <v>0.76666666666666672</v>
      </c>
      <c r="V10" s="11">
        <f t="shared" si="8"/>
        <v>0</v>
      </c>
      <c r="W10" s="11">
        <f t="shared" si="9"/>
        <v>0</v>
      </c>
      <c r="X10" s="11">
        <f t="shared" si="10"/>
        <v>0</v>
      </c>
      <c r="Y10" s="11">
        <f t="shared" si="11"/>
        <v>0</v>
      </c>
      <c r="Z10" s="65">
        <f t="shared" si="12"/>
        <v>0</v>
      </c>
      <c r="AA10" s="24">
        <f t="shared" si="13"/>
        <v>0</v>
      </c>
      <c r="AB10">
        <f t="shared" si="14"/>
        <v>0</v>
      </c>
      <c r="AC10" s="46">
        <f>+IFERROR(VLOOKUP(E10,#REF!,24,0),0.2)</f>
        <v>0.2</v>
      </c>
      <c r="AD10" s="42">
        <f>+IFERROR(VLOOKUP(E10,h!$C:$D,2,0),0.3866)</f>
        <v>4.6333000000000005E-5</v>
      </c>
      <c r="AE10" s="42">
        <f>+VLOOKUP(A10,k!$A$1:$G$4,5,0)</f>
        <v>0.35799365240740744</v>
      </c>
      <c r="AF10" s="47">
        <f t="shared" si="15"/>
        <v>0.5580399854074074</v>
      </c>
      <c r="AG10" s="48">
        <f t="shared" si="16"/>
        <v>6.6964798248888888E-2</v>
      </c>
      <c r="AH10" s="20">
        <f>+IFERROR(VLOOKUP(C10,k!$A$7:$L$13,7,0),0)</f>
        <v>0</v>
      </c>
      <c r="AI10" s="20">
        <f t="shared" si="17"/>
        <v>0</v>
      </c>
      <c r="AJ10" s="5">
        <f t="shared" si="18"/>
        <v>0</v>
      </c>
      <c r="AK10" s="57">
        <f t="shared" si="19"/>
        <v>0</v>
      </c>
      <c r="AL10" s="19">
        <f t="shared" si="20"/>
        <v>0</v>
      </c>
      <c r="AM10" s="20">
        <f t="shared" si="21"/>
        <v>0</v>
      </c>
      <c r="AN10" s="27">
        <f t="shared" si="22"/>
        <v>0</v>
      </c>
      <c r="AO10" s="57">
        <f t="shared" si="23"/>
        <v>0</v>
      </c>
      <c r="AP10" s="19">
        <f t="shared" si="24"/>
        <v>0</v>
      </c>
      <c r="AQ10" s="20">
        <f t="shared" si="25"/>
        <v>0</v>
      </c>
      <c r="AR10" s="58">
        <f t="shared" si="26"/>
        <v>0</v>
      </c>
      <c r="AS10" s="1">
        <f t="shared" si="27"/>
        <v>0</v>
      </c>
      <c r="AT10" s="21">
        <f t="shared" si="28"/>
        <v>0</v>
      </c>
      <c r="AU10" s="28">
        <f t="shared" si="29"/>
        <v>0</v>
      </c>
      <c r="AV10" s="19">
        <f t="shared" si="30"/>
        <v>0</v>
      </c>
      <c r="AW10" s="19">
        <f t="shared" si="31"/>
        <v>0</v>
      </c>
      <c r="AX10" s="27">
        <f t="shared" si="32"/>
        <v>0</v>
      </c>
      <c r="AY10" s="1" t="e">
        <f t="shared" si="33"/>
        <v>#DIV/0!</v>
      </c>
      <c r="AZ10" s="1" t="e">
        <f t="shared" si="34"/>
        <v>#DIV/0!</v>
      </c>
    </row>
    <row r="11" spans="1:61" hidden="1" x14ac:dyDescent="0.35">
      <c r="A11" s="29" t="s">
        <v>423</v>
      </c>
      <c r="B11" s="6">
        <v>5000</v>
      </c>
      <c r="C11" s="2" t="e">
        <f>+VLOOKUP(E11,inventario!#REF!,2,0)</f>
        <v>#REF!</v>
      </c>
      <c r="D11" t="str">
        <f t="shared" si="3"/>
        <v>1029-ME</v>
      </c>
      <c r="E11" t="s">
        <v>51</v>
      </c>
      <c r="F11" s="6" t="str">
        <f>+IFERROR(VLOOKUP(E11,#REF!,29,0),"C")</f>
        <v>C</v>
      </c>
      <c r="G11" s="6" t="str">
        <f>+IFERROR(VLOOKUP(E11,#REF!,34,0),"C")</f>
        <v>C</v>
      </c>
      <c r="H11" s="64">
        <f>+IFERROR(VLOOKUP(E11,#REF!,31,0),0)</f>
        <v>0</v>
      </c>
      <c r="I11" s="44">
        <f>+IFERROR(VLOOKUP(E11,#REF!,26,0),0)</f>
        <v>0</v>
      </c>
      <c r="J11" s="44">
        <f>+IFERROR(VLOOKUP(E11,#REF!,30,0),0)</f>
        <v>0</v>
      </c>
      <c r="K11" s="3"/>
      <c r="L11" s="25">
        <f t="shared" si="4"/>
        <v>0.7</v>
      </c>
      <c r="M11" s="26">
        <f t="shared" si="5"/>
        <v>0.52440051270804078</v>
      </c>
      <c r="O11">
        <f>+IFERROR(VLOOKUP(D11,lt!A:J,10,0),15)</f>
        <v>15</v>
      </c>
      <c r="P11">
        <v>2</v>
      </c>
      <c r="Q11">
        <v>1</v>
      </c>
      <c r="R11">
        <v>2</v>
      </c>
      <c r="S11" s="22">
        <f t="shared" si="6"/>
        <v>20</v>
      </c>
      <c r="T11" s="9">
        <v>3</v>
      </c>
      <c r="U11" s="23">
        <f t="shared" si="7"/>
        <v>0.76666666666666672</v>
      </c>
      <c r="V11" s="11">
        <f t="shared" si="8"/>
        <v>0</v>
      </c>
      <c r="W11" s="11">
        <f t="shared" si="9"/>
        <v>0</v>
      </c>
      <c r="X11" s="11">
        <f t="shared" si="10"/>
        <v>0</v>
      </c>
      <c r="Y11" s="11">
        <f t="shared" si="11"/>
        <v>0</v>
      </c>
      <c r="Z11" s="65">
        <f t="shared" si="12"/>
        <v>0</v>
      </c>
      <c r="AA11" s="24">
        <f t="shared" si="13"/>
        <v>0</v>
      </c>
      <c r="AB11">
        <f t="shared" si="14"/>
        <v>0</v>
      </c>
      <c r="AC11" s="46">
        <f>+IFERROR(VLOOKUP(E11,#REF!,24,0),0.2)</f>
        <v>0.2</v>
      </c>
      <c r="AD11" s="42">
        <f>+IFERROR(VLOOKUP(E11,h!$C:$D,2,0),0.3866)</f>
        <v>4.6333000000000005E-5</v>
      </c>
      <c r="AE11" s="42">
        <f>+VLOOKUP(A11,k!$A$1:$G$4,5,0)</f>
        <v>0.35799365240740744</v>
      </c>
      <c r="AF11" s="47">
        <f t="shared" si="15"/>
        <v>0.5580399854074074</v>
      </c>
      <c r="AG11" s="48">
        <f t="shared" si="16"/>
        <v>6.6964798248888888E-2</v>
      </c>
      <c r="AH11" s="20">
        <f>+IFERROR(VLOOKUP(C11,k!$A$7:$L$13,7,0),0)</f>
        <v>0</v>
      </c>
      <c r="AI11" s="20">
        <f t="shared" si="17"/>
        <v>0</v>
      </c>
      <c r="AJ11" s="5">
        <f t="shared" si="18"/>
        <v>0</v>
      </c>
      <c r="AK11" s="57">
        <f t="shared" si="19"/>
        <v>0</v>
      </c>
      <c r="AL11" s="19">
        <f t="shared" si="20"/>
        <v>0</v>
      </c>
      <c r="AM11" s="20">
        <f t="shared" si="21"/>
        <v>0</v>
      </c>
      <c r="AN11" s="27">
        <f t="shared" si="22"/>
        <v>0</v>
      </c>
      <c r="AO11" s="57">
        <f t="shared" si="23"/>
        <v>0</v>
      </c>
      <c r="AP11" s="19">
        <f t="shared" si="24"/>
        <v>0</v>
      </c>
      <c r="AQ11" s="20">
        <f t="shared" si="25"/>
        <v>0</v>
      </c>
      <c r="AR11" s="58">
        <f t="shared" si="26"/>
        <v>0</v>
      </c>
      <c r="AS11" s="1">
        <f t="shared" si="27"/>
        <v>0</v>
      </c>
      <c r="AT11" s="21">
        <f t="shared" si="28"/>
        <v>0</v>
      </c>
      <c r="AU11" s="28">
        <f t="shared" si="29"/>
        <v>0</v>
      </c>
      <c r="AV11" s="19">
        <f t="shared" si="30"/>
        <v>0</v>
      </c>
      <c r="AW11" s="19">
        <f t="shared" si="31"/>
        <v>0</v>
      </c>
      <c r="AX11" s="27">
        <f t="shared" si="32"/>
        <v>0</v>
      </c>
      <c r="AY11" s="1" t="e">
        <f t="shared" si="33"/>
        <v>#DIV/0!</v>
      </c>
      <c r="AZ11" s="1" t="e">
        <f t="shared" si="34"/>
        <v>#DIV/0!</v>
      </c>
    </row>
    <row r="12" spans="1:61" hidden="1" x14ac:dyDescent="0.35">
      <c r="A12" s="29" t="s">
        <v>423</v>
      </c>
      <c r="B12" s="6">
        <v>5000</v>
      </c>
      <c r="C12" s="2" t="e">
        <f>+VLOOKUP(E12,inventario!#REF!,2,0)</f>
        <v>#REF!</v>
      </c>
      <c r="D12" t="str">
        <f t="shared" si="3"/>
        <v>1031-ME</v>
      </c>
      <c r="E12" t="s">
        <v>53</v>
      </c>
      <c r="F12" s="6" t="str">
        <f>+IFERROR(VLOOKUP(E12,#REF!,29,0),"C")</f>
        <v>C</v>
      </c>
      <c r="G12" s="6" t="str">
        <f>+IFERROR(VLOOKUP(E12,#REF!,34,0),"C")</f>
        <v>C</v>
      </c>
      <c r="H12" s="64">
        <f>+IFERROR(VLOOKUP(E12,#REF!,31,0),0)</f>
        <v>0</v>
      </c>
      <c r="I12" s="44">
        <f>+IFERROR(VLOOKUP(E12,#REF!,26,0),0)</f>
        <v>0</v>
      </c>
      <c r="J12" s="44">
        <f>+IFERROR(VLOOKUP(E12,#REF!,30,0),0)</f>
        <v>0</v>
      </c>
      <c r="K12" s="3"/>
      <c r="L12" s="25">
        <f t="shared" si="4"/>
        <v>0.7</v>
      </c>
      <c r="M12" s="26">
        <f t="shared" si="5"/>
        <v>0.52440051270804078</v>
      </c>
      <c r="O12">
        <f>+IFERROR(VLOOKUP(D12,lt!A:J,10,0),15)</f>
        <v>15</v>
      </c>
      <c r="P12">
        <v>2</v>
      </c>
      <c r="Q12">
        <v>1</v>
      </c>
      <c r="R12">
        <v>2</v>
      </c>
      <c r="S12" s="22">
        <f t="shared" si="6"/>
        <v>20</v>
      </c>
      <c r="T12" s="9">
        <v>3</v>
      </c>
      <c r="U12" s="23">
        <f t="shared" si="7"/>
        <v>0.76666666666666672</v>
      </c>
      <c r="V12" s="11">
        <f t="shared" si="8"/>
        <v>0</v>
      </c>
      <c r="W12" s="11">
        <f t="shared" si="9"/>
        <v>0</v>
      </c>
      <c r="X12" s="11">
        <f t="shared" si="10"/>
        <v>0</v>
      </c>
      <c r="Y12" s="11">
        <f t="shared" si="11"/>
        <v>0</v>
      </c>
      <c r="Z12" s="65">
        <f t="shared" si="12"/>
        <v>0</v>
      </c>
      <c r="AA12" s="24">
        <f t="shared" si="13"/>
        <v>0</v>
      </c>
      <c r="AB12">
        <f t="shared" si="14"/>
        <v>0</v>
      </c>
      <c r="AC12" s="46">
        <f>+IFERROR(VLOOKUP(E12,#REF!,24,0),0.2)</f>
        <v>0.2</v>
      </c>
      <c r="AD12" s="42">
        <f>+IFERROR(VLOOKUP(E12,h!$C:$D,2,0),0.3866)</f>
        <v>4.6333000000000005E-5</v>
      </c>
      <c r="AE12" s="42">
        <f>+VLOOKUP(A12,k!$A$1:$G$4,5,0)</f>
        <v>0.35799365240740744</v>
      </c>
      <c r="AF12" s="47">
        <f t="shared" si="15"/>
        <v>0.5580399854074074</v>
      </c>
      <c r="AG12" s="48">
        <f t="shared" si="16"/>
        <v>6.6964798248888888E-2</v>
      </c>
      <c r="AH12" s="20">
        <f>+IFERROR(VLOOKUP(C12,k!$A$7:$L$13,7,0),0)</f>
        <v>0</v>
      </c>
      <c r="AI12" s="20">
        <f t="shared" si="17"/>
        <v>0</v>
      </c>
      <c r="AJ12" s="5">
        <f t="shared" si="18"/>
        <v>0</v>
      </c>
      <c r="AK12" s="57">
        <f t="shared" si="19"/>
        <v>0</v>
      </c>
      <c r="AL12" s="19">
        <f t="shared" si="20"/>
        <v>0</v>
      </c>
      <c r="AM12" s="20">
        <f t="shared" si="21"/>
        <v>0</v>
      </c>
      <c r="AN12" s="27">
        <f t="shared" si="22"/>
        <v>0</v>
      </c>
      <c r="AO12" s="57">
        <f t="shared" si="23"/>
        <v>0</v>
      </c>
      <c r="AP12" s="19">
        <f t="shared" si="24"/>
        <v>0</v>
      </c>
      <c r="AQ12" s="20">
        <f t="shared" si="25"/>
        <v>0</v>
      </c>
      <c r="AR12" s="58">
        <f t="shared" si="26"/>
        <v>0</v>
      </c>
      <c r="AS12" s="1">
        <f t="shared" si="27"/>
        <v>0</v>
      </c>
      <c r="AT12" s="21">
        <f t="shared" si="28"/>
        <v>0</v>
      </c>
      <c r="AU12" s="28">
        <f t="shared" si="29"/>
        <v>0</v>
      </c>
      <c r="AV12" s="19">
        <f t="shared" si="30"/>
        <v>0</v>
      </c>
      <c r="AW12" s="19">
        <f t="shared" si="31"/>
        <v>0</v>
      </c>
      <c r="AX12" s="27">
        <f t="shared" si="32"/>
        <v>0</v>
      </c>
      <c r="AY12" s="1" t="e">
        <f t="shared" si="33"/>
        <v>#DIV/0!</v>
      </c>
      <c r="AZ12" s="1" t="e">
        <f t="shared" si="34"/>
        <v>#DIV/0!</v>
      </c>
    </row>
    <row r="13" spans="1:61" hidden="1" x14ac:dyDescent="0.35">
      <c r="A13" s="29" t="s">
        <v>423</v>
      </c>
      <c r="B13" s="6">
        <v>5000</v>
      </c>
      <c r="C13" s="2" t="e">
        <f>+VLOOKUP(E13,inventario!#REF!,2,0)</f>
        <v>#REF!</v>
      </c>
      <c r="D13" t="str">
        <f t="shared" si="3"/>
        <v>1019-ME</v>
      </c>
      <c r="E13" t="s">
        <v>111</v>
      </c>
      <c r="F13" s="6" t="str">
        <f>+IFERROR(VLOOKUP(E13,#REF!,29,0),"C")</f>
        <v>C</v>
      </c>
      <c r="G13" s="6" t="str">
        <f>+IFERROR(VLOOKUP(E13,#REF!,34,0),"C")</f>
        <v>C</v>
      </c>
      <c r="H13" s="64">
        <f>+IFERROR(VLOOKUP(E13,#REF!,31,0),0)</f>
        <v>0</v>
      </c>
      <c r="I13" s="44">
        <f>+IFERROR(VLOOKUP(E13,#REF!,26,0),0)</f>
        <v>0</v>
      </c>
      <c r="J13" s="44">
        <f>+IFERROR(VLOOKUP(E13,#REF!,30,0),0)</f>
        <v>0</v>
      </c>
      <c r="K13" s="3"/>
      <c r="L13" s="25">
        <f t="shared" si="4"/>
        <v>0.7</v>
      </c>
      <c r="M13" s="26">
        <f t="shared" si="5"/>
        <v>0.52440051270804078</v>
      </c>
      <c r="O13">
        <f>+IFERROR(VLOOKUP(D13,lt!A:J,10,0),15)</f>
        <v>15</v>
      </c>
      <c r="P13">
        <v>2</v>
      </c>
      <c r="Q13">
        <v>1</v>
      </c>
      <c r="R13">
        <v>2</v>
      </c>
      <c r="S13" s="22">
        <f t="shared" si="6"/>
        <v>20</v>
      </c>
      <c r="T13" s="9">
        <v>3</v>
      </c>
      <c r="U13" s="23">
        <f t="shared" si="7"/>
        <v>0.76666666666666672</v>
      </c>
      <c r="V13" s="11">
        <f t="shared" si="8"/>
        <v>0</v>
      </c>
      <c r="W13" s="11">
        <f t="shared" si="9"/>
        <v>0</v>
      </c>
      <c r="X13" s="11">
        <f t="shared" si="10"/>
        <v>0</v>
      </c>
      <c r="Y13" s="11">
        <f t="shared" si="11"/>
        <v>0</v>
      </c>
      <c r="Z13" s="65">
        <f t="shared" si="12"/>
        <v>0</v>
      </c>
      <c r="AA13" s="24">
        <f t="shared" si="13"/>
        <v>0</v>
      </c>
      <c r="AB13">
        <f t="shared" si="14"/>
        <v>0</v>
      </c>
      <c r="AC13" s="46">
        <f>+IFERROR(VLOOKUP(E13,#REF!,24,0),0.2)</f>
        <v>0.2</v>
      </c>
      <c r="AD13" s="42">
        <f>+IFERROR(VLOOKUP(E13,h!$C:$D,2,0),0.3866)</f>
        <v>4.6333000000000005E-5</v>
      </c>
      <c r="AE13" s="42">
        <f>+VLOOKUP(A13,k!$A$1:$G$4,5,0)</f>
        <v>0.35799365240740744</v>
      </c>
      <c r="AF13" s="47">
        <f t="shared" si="15"/>
        <v>0.5580399854074074</v>
      </c>
      <c r="AG13" s="48">
        <f t="shared" si="16"/>
        <v>6.6964798248888888E-2</v>
      </c>
      <c r="AH13" s="20">
        <f>+IFERROR(VLOOKUP(C13,k!$A$7:$L$13,7,0),0)</f>
        <v>0</v>
      </c>
      <c r="AI13" s="20">
        <f t="shared" si="17"/>
        <v>0</v>
      </c>
      <c r="AJ13" s="5">
        <f t="shared" si="18"/>
        <v>0</v>
      </c>
      <c r="AK13" s="57">
        <f t="shared" si="19"/>
        <v>0</v>
      </c>
      <c r="AL13" s="19">
        <f t="shared" si="20"/>
        <v>0</v>
      </c>
      <c r="AM13" s="20">
        <f t="shared" si="21"/>
        <v>0</v>
      </c>
      <c r="AN13" s="27">
        <f t="shared" si="22"/>
        <v>0</v>
      </c>
      <c r="AO13" s="57">
        <f t="shared" si="23"/>
        <v>0</v>
      </c>
      <c r="AP13" s="19">
        <f t="shared" si="24"/>
        <v>0</v>
      </c>
      <c r="AQ13" s="20">
        <f t="shared" si="25"/>
        <v>0</v>
      </c>
      <c r="AR13" s="58">
        <f t="shared" si="26"/>
        <v>0</v>
      </c>
      <c r="AS13" s="1">
        <f t="shared" si="27"/>
        <v>0</v>
      </c>
      <c r="AT13" s="21">
        <f t="shared" si="28"/>
        <v>0</v>
      </c>
      <c r="AU13" s="28">
        <f t="shared" si="29"/>
        <v>0</v>
      </c>
      <c r="AV13" s="19">
        <f t="shared" si="30"/>
        <v>0</v>
      </c>
      <c r="AW13" s="19">
        <f t="shared" si="31"/>
        <v>0</v>
      </c>
      <c r="AX13" s="27">
        <f t="shared" si="32"/>
        <v>0</v>
      </c>
      <c r="AY13" s="1" t="e">
        <f t="shared" si="33"/>
        <v>#DIV/0!</v>
      </c>
      <c r="AZ13" s="1" t="e">
        <f t="shared" si="34"/>
        <v>#DIV/0!</v>
      </c>
    </row>
    <row r="14" spans="1:61" hidden="1" x14ac:dyDescent="0.35">
      <c r="A14" s="29" t="s">
        <v>423</v>
      </c>
      <c r="B14" s="6">
        <v>5000</v>
      </c>
      <c r="C14" s="2" t="e">
        <f>+VLOOKUP(E14,inventario!#REF!,2,0)</f>
        <v>#REF!</v>
      </c>
      <c r="D14" t="str">
        <f t="shared" si="3"/>
        <v>1024-ME</v>
      </c>
      <c r="E14" t="s">
        <v>44</v>
      </c>
      <c r="F14" s="6" t="str">
        <f>+IFERROR(VLOOKUP(E14,#REF!,29,0),"C")</f>
        <v>C</v>
      </c>
      <c r="G14" s="6" t="str">
        <f>+IFERROR(VLOOKUP(E14,#REF!,34,0),"C")</f>
        <v>C</v>
      </c>
      <c r="H14" s="64">
        <f>+IFERROR(VLOOKUP(E14,#REF!,31,0),0)</f>
        <v>0</v>
      </c>
      <c r="I14" s="44">
        <f>+IFERROR(VLOOKUP(E14,#REF!,26,0),0)</f>
        <v>0</v>
      </c>
      <c r="J14" s="44">
        <f>+IFERROR(VLOOKUP(E14,#REF!,30,0),0)</f>
        <v>0</v>
      </c>
      <c r="K14" s="3"/>
      <c r="L14" s="25">
        <f t="shared" si="4"/>
        <v>0.7</v>
      </c>
      <c r="M14" s="26">
        <f t="shared" si="5"/>
        <v>0.52440051270804078</v>
      </c>
      <c r="O14">
        <f>+IFERROR(VLOOKUP(D14,lt!A:J,10,0),15)</f>
        <v>15</v>
      </c>
      <c r="P14">
        <v>2</v>
      </c>
      <c r="Q14">
        <v>1</v>
      </c>
      <c r="R14">
        <v>2</v>
      </c>
      <c r="S14" s="22">
        <f t="shared" si="6"/>
        <v>20</v>
      </c>
      <c r="T14" s="9">
        <v>3</v>
      </c>
      <c r="U14" s="23">
        <f t="shared" si="7"/>
        <v>0.76666666666666672</v>
      </c>
      <c r="V14" s="11">
        <f t="shared" si="8"/>
        <v>0</v>
      </c>
      <c r="W14" s="11">
        <f t="shared" si="9"/>
        <v>0</v>
      </c>
      <c r="X14" s="11">
        <f t="shared" si="10"/>
        <v>0</v>
      </c>
      <c r="Y14" s="11">
        <f t="shared" si="11"/>
        <v>0</v>
      </c>
      <c r="Z14" s="65">
        <f t="shared" si="12"/>
        <v>0</v>
      </c>
      <c r="AA14" s="24">
        <f t="shared" si="13"/>
        <v>0</v>
      </c>
      <c r="AB14">
        <f t="shared" si="14"/>
        <v>0</v>
      </c>
      <c r="AC14" s="46">
        <f>+IFERROR(VLOOKUP(E14,#REF!,24,0),0.2)</f>
        <v>0.2</v>
      </c>
      <c r="AD14" s="42">
        <f>+IFERROR(VLOOKUP(E14,h!$C:$D,2,0),0.3866)</f>
        <v>4.6333000000000005E-5</v>
      </c>
      <c r="AE14" s="42">
        <f>+VLOOKUP(A14,k!$A$1:$G$4,5,0)</f>
        <v>0.35799365240740744</v>
      </c>
      <c r="AF14" s="47">
        <f t="shared" si="15"/>
        <v>0.5580399854074074</v>
      </c>
      <c r="AG14" s="48">
        <f t="shared" si="16"/>
        <v>6.6964798248888888E-2</v>
      </c>
      <c r="AH14" s="20">
        <f>+IFERROR(VLOOKUP(C14,k!$A$7:$L$13,7,0),0)</f>
        <v>0</v>
      </c>
      <c r="AI14" s="20">
        <f t="shared" si="17"/>
        <v>0</v>
      </c>
      <c r="AJ14" s="5">
        <f t="shared" si="18"/>
        <v>0</v>
      </c>
      <c r="AK14" s="57">
        <f t="shared" si="19"/>
        <v>0</v>
      </c>
      <c r="AL14" s="19">
        <f t="shared" si="20"/>
        <v>0</v>
      </c>
      <c r="AM14" s="20">
        <f t="shared" si="21"/>
        <v>0</v>
      </c>
      <c r="AN14" s="27">
        <f t="shared" si="22"/>
        <v>0</v>
      </c>
      <c r="AO14" s="57">
        <f t="shared" si="23"/>
        <v>0</v>
      </c>
      <c r="AP14" s="19">
        <f t="shared" si="24"/>
        <v>0</v>
      </c>
      <c r="AQ14" s="20">
        <f t="shared" si="25"/>
        <v>0</v>
      </c>
      <c r="AR14" s="58">
        <f t="shared" si="26"/>
        <v>0</v>
      </c>
      <c r="AS14" s="1">
        <f t="shared" si="27"/>
        <v>0</v>
      </c>
      <c r="AT14" s="21">
        <f t="shared" si="28"/>
        <v>0</v>
      </c>
      <c r="AU14" s="28">
        <f t="shared" si="29"/>
        <v>0</v>
      </c>
      <c r="AV14" s="19">
        <f t="shared" si="30"/>
        <v>0</v>
      </c>
      <c r="AW14" s="19">
        <f t="shared" si="31"/>
        <v>0</v>
      </c>
      <c r="AX14" s="27">
        <f t="shared" si="32"/>
        <v>0</v>
      </c>
      <c r="AY14" s="1" t="e">
        <f t="shared" si="33"/>
        <v>#DIV/0!</v>
      </c>
      <c r="AZ14" s="1" t="e">
        <f t="shared" si="34"/>
        <v>#DIV/0!</v>
      </c>
    </row>
    <row r="15" spans="1:61" hidden="1" x14ac:dyDescent="0.35">
      <c r="A15" s="29" t="s">
        <v>423</v>
      </c>
      <c r="B15" s="6">
        <v>5000</v>
      </c>
      <c r="C15" s="2" t="e">
        <f>+VLOOKUP(E15,inventario!#REF!,2,0)</f>
        <v>#REF!</v>
      </c>
      <c r="D15" t="str">
        <f t="shared" si="3"/>
        <v>0754-ME</v>
      </c>
      <c r="E15" t="s">
        <v>112</v>
      </c>
      <c r="F15" s="6" t="str">
        <f>+IFERROR(VLOOKUP(E15,#REF!,29,0),"C")</f>
        <v>C</v>
      </c>
      <c r="G15" s="6" t="str">
        <f>+IFERROR(VLOOKUP(E15,#REF!,34,0),"C")</f>
        <v>C</v>
      </c>
      <c r="H15" s="64">
        <f>+IFERROR(VLOOKUP(E15,#REF!,31,0),0)</f>
        <v>0</v>
      </c>
      <c r="I15" s="44">
        <f>+IFERROR(VLOOKUP(E15,#REF!,26,0),0)</f>
        <v>0</v>
      </c>
      <c r="J15" s="44">
        <f>+IFERROR(VLOOKUP(E15,#REF!,30,0),0)</f>
        <v>0</v>
      </c>
      <c r="K15" s="3"/>
      <c r="L15" s="25">
        <f t="shared" si="4"/>
        <v>0.7</v>
      </c>
      <c r="M15" s="26">
        <f t="shared" si="5"/>
        <v>0.52440051270804078</v>
      </c>
      <c r="O15">
        <f>+IFERROR(VLOOKUP(D15,lt!A:J,10,0),15)</f>
        <v>15</v>
      </c>
      <c r="P15">
        <v>2</v>
      </c>
      <c r="Q15">
        <v>1</v>
      </c>
      <c r="R15">
        <v>2</v>
      </c>
      <c r="S15" s="22">
        <f t="shared" si="6"/>
        <v>20</v>
      </c>
      <c r="T15" s="9">
        <v>3</v>
      </c>
      <c r="U15" s="23">
        <f t="shared" si="7"/>
        <v>0.76666666666666672</v>
      </c>
      <c r="V15" s="11">
        <f t="shared" si="8"/>
        <v>0</v>
      </c>
      <c r="W15" s="11">
        <f t="shared" si="9"/>
        <v>0</v>
      </c>
      <c r="X15" s="11">
        <f t="shared" si="10"/>
        <v>0</v>
      </c>
      <c r="Y15" s="11">
        <f t="shared" si="11"/>
        <v>0</v>
      </c>
      <c r="Z15" s="65">
        <f t="shared" si="12"/>
        <v>0</v>
      </c>
      <c r="AA15" s="24">
        <f t="shared" si="13"/>
        <v>0</v>
      </c>
      <c r="AB15">
        <f t="shared" si="14"/>
        <v>0</v>
      </c>
      <c r="AC15" s="46">
        <f>+IFERROR(VLOOKUP(E15,#REF!,24,0),0.2)</f>
        <v>0.2</v>
      </c>
      <c r="AD15" s="42">
        <f>+IFERROR(VLOOKUP(E15,h!$C:$D,2,0),0.3866)</f>
        <v>4.6333000000000005E-5</v>
      </c>
      <c r="AE15" s="42">
        <f>+VLOOKUP(A15,k!$A$1:$G$4,5,0)</f>
        <v>0.35799365240740744</v>
      </c>
      <c r="AF15" s="47">
        <f t="shared" si="15"/>
        <v>0.5580399854074074</v>
      </c>
      <c r="AG15" s="48">
        <f t="shared" si="16"/>
        <v>6.6964798248888888E-2</v>
      </c>
      <c r="AH15" s="20">
        <f>+IFERROR(VLOOKUP(C15,k!$A$7:$L$13,7,0),0)</f>
        <v>0</v>
      </c>
      <c r="AI15" s="20">
        <f t="shared" si="17"/>
        <v>0</v>
      </c>
      <c r="AJ15" s="5">
        <f t="shared" si="18"/>
        <v>0</v>
      </c>
      <c r="AK15" s="57">
        <f t="shared" si="19"/>
        <v>0</v>
      </c>
      <c r="AL15" s="19">
        <f t="shared" si="20"/>
        <v>0</v>
      </c>
      <c r="AM15" s="20">
        <f t="shared" si="21"/>
        <v>0</v>
      </c>
      <c r="AN15" s="27">
        <f t="shared" si="22"/>
        <v>0</v>
      </c>
      <c r="AO15" s="57">
        <f t="shared" si="23"/>
        <v>0</v>
      </c>
      <c r="AP15" s="19">
        <f t="shared" si="24"/>
        <v>0</v>
      </c>
      <c r="AQ15" s="20">
        <f t="shared" si="25"/>
        <v>0</v>
      </c>
      <c r="AR15" s="58">
        <f t="shared" si="26"/>
        <v>0</v>
      </c>
      <c r="AS15" s="1">
        <f t="shared" si="27"/>
        <v>0</v>
      </c>
      <c r="AT15" s="21">
        <f t="shared" si="28"/>
        <v>0</v>
      </c>
      <c r="AU15" s="28">
        <f t="shared" si="29"/>
        <v>0</v>
      </c>
      <c r="AV15" s="19">
        <f t="shared" si="30"/>
        <v>0</v>
      </c>
      <c r="AW15" s="19">
        <f t="shared" si="31"/>
        <v>0</v>
      </c>
      <c r="AX15" s="27">
        <f t="shared" si="32"/>
        <v>0</v>
      </c>
      <c r="AY15" s="1" t="e">
        <f t="shared" si="33"/>
        <v>#DIV/0!</v>
      </c>
      <c r="AZ15" s="1" t="e">
        <f t="shared" si="34"/>
        <v>#DIV/0!</v>
      </c>
    </row>
    <row r="16" spans="1:61" hidden="1" x14ac:dyDescent="0.35">
      <c r="A16" s="29" t="s">
        <v>423</v>
      </c>
      <c r="B16" s="6">
        <v>5000</v>
      </c>
      <c r="C16" s="2" t="e">
        <f>+VLOOKUP(E16,inventario!#REF!,2,0)</f>
        <v>#REF!</v>
      </c>
      <c r="D16" t="str">
        <f t="shared" si="3"/>
        <v>0987-ME</v>
      </c>
      <c r="E16" t="s">
        <v>117</v>
      </c>
      <c r="F16" s="6" t="str">
        <f>+IFERROR(VLOOKUP(E16,#REF!,29,0),"C")</f>
        <v>C</v>
      </c>
      <c r="G16" s="6" t="str">
        <f>+IFERROR(VLOOKUP(E16,#REF!,34,0),"C")</f>
        <v>C</v>
      </c>
      <c r="H16" s="64">
        <f>+IFERROR(VLOOKUP(E16,#REF!,31,0),0)</f>
        <v>0</v>
      </c>
      <c r="I16" s="44">
        <f>+IFERROR(VLOOKUP(E16,#REF!,26,0),0)</f>
        <v>0</v>
      </c>
      <c r="J16" s="44">
        <f>+IFERROR(VLOOKUP(E16,#REF!,30,0),0)</f>
        <v>0</v>
      </c>
      <c r="K16" s="3"/>
      <c r="L16" s="25">
        <f t="shared" si="4"/>
        <v>0.7</v>
      </c>
      <c r="M16" s="26">
        <f t="shared" si="5"/>
        <v>0.52440051270804078</v>
      </c>
      <c r="O16">
        <f>+IFERROR(VLOOKUP(D16,lt!A:J,10,0),15)</f>
        <v>15</v>
      </c>
      <c r="P16">
        <v>2</v>
      </c>
      <c r="Q16">
        <v>1</v>
      </c>
      <c r="R16">
        <v>2</v>
      </c>
      <c r="S16" s="22">
        <f t="shared" si="6"/>
        <v>20</v>
      </c>
      <c r="T16" s="9">
        <v>3</v>
      </c>
      <c r="U16" s="23">
        <f t="shared" si="7"/>
        <v>0.76666666666666672</v>
      </c>
      <c r="V16" s="11">
        <f t="shared" si="8"/>
        <v>0</v>
      </c>
      <c r="W16" s="11">
        <f t="shared" si="9"/>
        <v>0</v>
      </c>
      <c r="X16" s="11">
        <f t="shared" si="10"/>
        <v>0</v>
      </c>
      <c r="Y16" s="11">
        <f t="shared" si="11"/>
        <v>0</v>
      </c>
      <c r="Z16" s="65">
        <f t="shared" si="12"/>
        <v>0</v>
      </c>
      <c r="AA16" s="24">
        <f t="shared" si="13"/>
        <v>0</v>
      </c>
      <c r="AB16">
        <f t="shared" si="14"/>
        <v>0</v>
      </c>
      <c r="AC16" s="46">
        <f>+IFERROR(VLOOKUP(E16,#REF!,24,0),0.2)</f>
        <v>0.2</v>
      </c>
      <c r="AD16" s="42">
        <f>+IFERROR(VLOOKUP(E16,h!$C:$D,2,0),0.3866)</f>
        <v>4.6333000000000005E-5</v>
      </c>
      <c r="AE16" s="42">
        <f>+VLOOKUP(A16,k!$A$1:$G$4,5,0)</f>
        <v>0.35799365240740744</v>
      </c>
      <c r="AF16" s="47">
        <f t="shared" si="15"/>
        <v>0.5580399854074074</v>
      </c>
      <c r="AG16" s="48">
        <f t="shared" si="16"/>
        <v>6.6964798248888888E-2</v>
      </c>
      <c r="AH16" s="20">
        <f>+IFERROR(VLOOKUP(C16,k!$A$7:$L$13,7,0),0)</f>
        <v>0</v>
      </c>
      <c r="AI16" s="20">
        <f t="shared" si="17"/>
        <v>0</v>
      </c>
      <c r="AJ16" s="5">
        <f t="shared" si="18"/>
        <v>0</v>
      </c>
      <c r="AK16" s="57">
        <f t="shared" si="19"/>
        <v>0</v>
      </c>
      <c r="AL16" s="19">
        <f t="shared" si="20"/>
        <v>0</v>
      </c>
      <c r="AM16" s="20">
        <f t="shared" si="21"/>
        <v>0</v>
      </c>
      <c r="AN16" s="27">
        <f t="shared" si="22"/>
        <v>0</v>
      </c>
      <c r="AO16" s="57">
        <f t="shared" si="23"/>
        <v>0</v>
      </c>
      <c r="AP16" s="19">
        <f t="shared" si="24"/>
        <v>0</v>
      </c>
      <c r="AQ16" s="20">
        <f t="shared" si="25"/>
        <v>0</v>
      </c>
      <c r="AR16" s="58">
        <f t="shared" si="26"/>
        <v>0</v>
      </c>
      <c r="AS16" s="1">
        <f t="shared" si="27"/>
        <v>0</v>
      </c>
      <c r="AT16" s="21">
        <f t="shared" si="28"/>
        <v>0</v>
      </c>
      <c r="AU16" s="28">
        <f t="shared" si="29"/>
        <v>0</v>
      </c>
      <c r="AV16" s="19">
        <f t="shared" si="30"/>
        <v>0</v>
      </c>
      <c r="AW16" s="19">
        <f t="shared" si="31"/>
        <v>0</v>
      </c>
      <c r="AX16" s="27">
        <f t="shared" si="32"/>
        <v>0</v>
      </c>
      <c r="AY16" s="1" t="e">
        <f t="shared" si="33"/>
        <v>#DIV/0!</v>
      </c>
      <c r="AZ16" s="1" t="e">
        <f t="shared" si="34"/>
        <v>#DIV/0!</v>
      </c>
    </row>
    <row r="17" spans="1:52" hidden="1" x14ac:dyDescent="0.35">
      <c r="A17" s="29" t="s">
        <v>423</v>
      </c>
      <c r="B17" s="6">
        <v>5000</v>
      </c>
      <c r="C17" s="2" t="e">
        <f>+VLOOKUP(E17,inventario!#REF!,2,0)</f>
        <v>#REF!</v>
      </c>
      <c r="D17" t="str">
        <f t="shared" si="3"/>
        <v>0751-ME</v>
      </c>
      <c r="E17" t="s">
        <v>110</v>
      </c>
      <c r="F17" s="6" t="str">
        <f>+IFERROR(VLOOKUP(E17,#REF!,29,0),"C")</f>
        <v>C</v>
      </c>
      <c r="G17" s="6" t="str">
        <f>+IFERROR(VLOOKUP(E17,#REF!,34,0),"C")</f>
        <v>C</v>
      </c>
      <c r="H17" s="64">
        <f>+IFERROR(VLOOKUP(E17,#REF!,31,0),0)</f>
        <v>0</v>
      </c>
      <c r="I17" s="44">
        <f>+IFERROR(VLOOKUP(E17,#REF!,26,0),0)</f>
        <v>0</v>
      </c>
      <c r="J17" s="44">
        <f>+IFERROR(VLOOKUP(E17,#REF!,30,0),0)</f>
        <v>0</v>
      </c>
      <c r="K17" s="3"/>
      <c r="L17" s="25">
        <f t="shared" si="4"/>
        <v>0.7</v>
      </c>
      <c r="M17" s="26">
        <f t="shared" si="5"/>
        <v>0.52440051270804078</v>
      </c>
      <c r="O17">
        <f>+IFERROR(VLOOKUP(D17,lt!A:J,10,0),15)</f>
        <v>15</v>
      </c>
      <c r="P17">
        <v>2</v>
      </c>
      <c r="Q17">
        <v>1</v>
      </c>
      <c r="R17">
        <v>2</v>
      </c>
      <c r="S17" s="22">
        <f t="shared" si="6"/>
        <v>20</v>
      </c>
      <c r="T17" s="9">
        <v>3</v>
      </c>
      <c r="U17" s="23">
        <f t="shared" si="7"/>
        <v>0.76666666666666672</v>
      </c>
      <c r="V17" s="11">
        <f t="shared" si="8"/>
        <v>0</v>
      </c>
      <c r="W17" s="11">
        <f t="shared" si="9"/>
        <v>0</v>
      </c>
      <c r="X17" s="11">
        <f t="shared" si="10"/>
        <v>0</v>
      </c>
      <c r="Y17" s="11">
        <f t="shared" si="11"/>
        <v>0</v>
      </c>
      <c r="Z17" s="65">
        <f t="shared" si="12"/>
        <v>0</v>
      </c>
      <c r="AA17" s="24">
        <f t="shared" si="13"/>
        <v>0</v>
      </c>
      <c r="AB17">
        <f t="shared" si="14"/>
        <v>0</v>
      </c>
      <c r="AC17" s="46">
        <f>+IFERROR(VLOOKUP(E17,#REF!,24,0),0.2)</f>
        <v>0.2</v>
      </c>
      <c r="AD17" s="42">
        <f>+IFERROR(VLOOKUP(E17,h!$C:$D,2,0),0.3866)</f>
        <v>4.6333000000000005E-5</v>
      </c>
      <c r="AE17" s="42">
        <f>+VLOOKUP(A17,k!$A$1:$G$4,5,0)</f>
        <v>0.35799365240740744</v>
      </c>
      <c r="AF17" s="47">
        <f t="shared" si="15"/>
        <v>0.5580399854074074</v>
      </c>
      <c r="AG17" s="48">
        <f t="shared" si="16"/>
        <v>6.6964798248888888E-2</v>
      </c>
      <c r="AH17" s="20">
        <f>+IFERROR(VLOOKUP(C17,k!$A$7:$L$13,7,0),0)</f>
        <v>0</v>
      </c>
      <c r="AI17" s="20">
        <f t="shared" si="17"/>
        <v>0</v>
      </c>
      <c r="AJ17" s="5">
        <f t="shared" si="18"/>
        <v>0</v>
      </c>
      <c r="AK17" s="57">
        <f t="shared" si="19"/>
        <v>0</v>
      </c>
      <c r="AL17" s="19">
        <f t="shared" si="20"/>
        <v>0</v>
      </c>
      <c r="AM17" s="20">
        <f t="shared" si="21"/>
        <v>0</v>
      </c>
      <c r="AN17" s="27">
        <f t="shared" si="22"/>
        <v>0</v>
      </c>
      <c r="AO17" s="57">
        <f t="shared" si="23"/>
        <v>0</v>
      </c>
      <c r="AP17" s="19">
        <f t="shared" si="24"/>
        <v>0</v>
      </c>
      <c r="AQ17" s="20">
        <f t="shared" si="25"/>
        <v>0</v>
      </c>
      <c r="AR17" s="58">
        <f t="shared" si="26"/>
        <v>0</v>
      </c>
      <c r="AS17" s="1">
        <f t="shared" si="27"/>
        <v>0</v>
      </c>
      <c r="AT17" s="21">
        <f t="shared" si="28"/>
        <v>0</v>
      </c>
      <c r="AU17" s="28">
        <f t="shared" si="29"/>
        <v>0</v>
      </c>
      <c r="AV17" s="19">
        <f t="shared" si="30"/>
        <v>0</v>
      </c>
      <c r="AW17" s="19">
        <f t="shared" si="31"/>
        <v>0</v>
      </c>
      <c r="AX17" s="27">
        <f t="shared" si="32"/>
        <v>0</v>
      </c>
      <c r="AY17" s="1" t="e">
        <f t="shared" si="33"/>
        <v>#DIV/0!</v>
      </c>
      <c r="AZ17" s="1" t="e">
        <f t="shared" si="34"/>
        <v>#DIV/0!</v>
      </c>
    </row>
    <row r="18" spans="1:52" hidden="1" x14ac:dyDescent="0.35">
      <c r="A18" s="29" t="s">
        <v>423</v>
      </c>
      <c r="B18" s="6">
        <v>5000</v>
      </c>
      <c r="C18" s="2" t="e">
        <f>+VLOOKUP(E18,inventario!#REF!,2,0)</f>
        <v>#REF!</v>
      </c>
      <c r="D18" t="str">
        <f t="shared" si="3"/>
        <v>1027-ME</v>
      </c>
      <c r="E18" t="s">
        <v>47</v>
      </c>
      <c r="F18" s="6" t="str">
        <f>+IFERROR(VLOOKUP(E18,#REF!,29,0),"C")</f>
        <v>C</v>
      </c>
      <c r="G18" s="6" t="str">
        <f>+IFERROR(VLOOKUP(E18,#REF!,34,0),"C")</f>
        <v>C</v>
      </c>
      <c r="H18" s="64">
        <f>+IFERROR(VLOOKUP(E18,#REF!,31,0),0)</f>
        <v>0</v>
      </c>
      <c r="I18" s="44">
        <f>+IFERROR(VLOOKUP(E18,#REF!,26,0),0)</f>
        <v>0</v>
      </c>
      <c r="J18" s="44">
        <f>+IFERROR(VLOOKUP(E18,#REF!,30,0),0)</f>
        <v>0</v>
      </c>
      <c r="K18" s="3"/>
      <c r="L18" s="25">
        <f t="shared" si="4"/>
        <v>0.7</v>
      </c>
      <c r="M18" s="26">
        <f t="shared" si="5"/>
        <v>0.52440051270804078</v>
      </c>
      <c r="O18">
        <f>+IFERROR(VLOOKUP(D18,lt!A:J,10,0),15)</f>
        <v>15</v>
      </c>
      <c r="P18">
        <v>2</v>
      </c>
      <c r="Q18">
        <v>1</v>
      </c>
      <c r="R18">
        <v>2</v>
      </c>
      <c r="S18" s="22">
        <f t="shared" si="6"/>
        <v>20</v>
      </c>
      <c r="T18" s="9">
        <v>3</v>
      </c>
      <c r="U18" s="23">
        <f t="shared" si="7"/>
        <v>0.76666666666666672</v>
      </c>
      <c r="V18" s="11">
        <f t="shared" si="8"/>
        <v>0</v>
      </c>
      <c r="W18" s="11">
        <f t="shared" si="9"/>
        <v>0</v>
      </c>
      <c r="X18" s="11">
        <f t="shared" si="10"/>
        <v>0</v>
      </c>
      <c r="Y18" s="11">
        <f t="shared" si="11"/>
        <v>0</v>
      </c>
      <c r="Z18" s="65">
        <f t="shared" si="12"/>
        <v>0</v>
      </c>
      <c r="AA18" s="24">
        <f t="shared" si="13"/>
        <v>0</v>
      </c>
      <c r="AB18">
        <f t="shared" si="14"/>
        <v>0</v>
      </c>
      <c r="AC18" s="46">
        <f>+IFERROR(VLOOKUP(E18,#REF!,24,0),0.2)</f>
        <v>0.2</v>
      </c>
      <c r="AD18" s="42">
        <f>+IFERROR(VLOOKUP(E18,h!$C:$D,2,0),0.3866)</f>
        <v>4.6333000000000005E-5</v>
      </c>
      <c r="AE18" s="42">
        <f>+VLOOKUP(A18,k!$A$1:$G$4,5,0)</f>
        <v>0.35799365240740744</v>
      </c>
      <c r="AF18" s="47">
        <f t="shared" si="15"/>
        <v>0.5580399854074074</v>
      </c>
      <c r="AG18" s="48">
        <f t="shared" si="16"/>
        <v>6.6964798248888888E-2</v>
      </c>
      <c r="AH18" s="20">
        <f>+IFERROR(VLOOKUP(C18,k!$A$7:$L$13,7,0),0)</f>
        <v>0</v>
      </c>
      <c r="AI18" s="20">
        <f t="shared" si="17"/>
        <v>0</v>
      </c>
      <c r="AJ18" s="5">
        <f t="shared" si="18"/>
        <v>0</v>
      </c>
      <c r="AK18" s="57">
        <f t="shared" si="19"/>
        <v>0</v>
      </c>
      <c r="AL18" s="19">
        <f t="shared" si="20"/>
        <v>0</v>
      </c>
      <c r="AM18" s="20">
        <f t="shared" si="21"/>
        <v>0</v>
      </c>
      <c r="AN18" s="27">
        <f t="shared" si="22"/>
        <v>0</v>
      </c>
      <c r="AO18" s="57">
        <f t="shared" si="23"/>
        <v>0</v>
      </c>
      <c r="AP18" s="19">
        <f t="shared" si="24"/>
        <v>0</v>
      </c>
      <c r="AQ18" s="20">
        <f t="shared" si="25"/>
        <v>0</v>
      </c>
      <c r="AR18" s="58">
        <f t="shared" si="26"/>
        <v>0</v>
      </c>
      <c r="AS18" s="1">
        <f t="shared" si="27"/>
        <v>0</v>
      </c>
      <c r="AT18" s="21">
        <f t="shared" si="28"/>
        <v>0</v>
      </c>
      <c r="AU18" s="28">
        <f t="shared" si="29"/>
        <v>0</v>
      </c>
      <c r="AV18" s="19">
        <f t="shared" si="30"/>
        <v>0</v>
      </c>
      <c r="AW18" s="19">
        <f t="shared" si="31"/>
        <v>0</v>
      </c>
      <c r="AX18" s="27">
        <f t="shared" si="32"/>
        <v>0</v>
      </c>
      <c r="AY18" s="1" t="e">
        <f t="shared" si="33"/>
        <v>#DIV/0!</v>
      </c>
      <c r="AZ18" s="1" t="e">
        <f t="shared" si="34"/>
        <v>#DIV/0!</v>
      </c>
    </row>
    <row r="19" spans="1:52" hidden="1" x14ac:dyDescent="0.35">
      <c r="A19" s="29" t="s">
        <v>423</v>
      </c>
      <c r="B19" s="6">
        <v>5000</v>
      </c>
      <c r="C19" s="2" t="e">
        <f>+VLOOKUP(E19,inventario!#REF!,2,0)</f>
        <v>#REF!</v>
      </c>
      <c r="D19" t="str">
        <f t="shared" si="3"/>
        <v>0995-ME</v>
      </c>
      <c r="E19" t="s">
        <v>108</v>
      </c>
      <c r="F19" s="6" t="str">
        <f>+IFERROR(VLOOKUP(E19,#REF!,29,0),"C")</f>
        <v>C</v>
      </c>
      <c r="G19" s="6" t="str">
        <f>+IFERROR(VLOOKUP(E19,#REF!,34,0),"C")</f>
        <v>C</v>
      </c>
      <c r="H19" s="64">
        <f>+IFERROR(VLOOKUP(E19,#REF!,31,0),0)</f>
        <v>0</v>
      </c>
      <c r="I19" s="44">
        <f>+IFERROR(VLOOKUP(E19,#REF!,26,0),0)</f>
        <v>0</v>
      </c>
      <c r="J19" s="44">
        <f>+IFERROR(VLOOKUP(E19,#REF!,30,0),0)</f>
        <v>0</v>
      </c>
      <c r="K19" s="3"/>
      <c r="L19" s="25">
        <f t="shared" si="4"/>
        <v>0.7</v>
      </c>
      <c r="M19" s="26">
        <f t="shared" si="5"/>
        <v>0.52440051270804078</v>
      </c>
      <c r="O19">
        <f>+IFERROR(VLOOKUP(D19,lt!A:J,10,0),15)</f>
        <v>15</v>
      </c>
      <c r="P19">
        <v>2</v>
      </c>
      <c r="Q19">
        <v>1</v>
      </c>
      <c r="R19">
        <v>2</v>
      </c>
      <c r="S19" s="22">
        <f t="shared" si="6"/>
        <v>20</v>
      </c>
      <c r="T19" s="9">
        <v>3</v>
      </c>
      <c r="U19" s="23">
        <f t="shared" si="7"/>
        <v>0.76666666666666672</v>
      </c>
      <c r="V19" s="11">
        <f t="shared" si="8"/>
        <v>0</v>
      </c>
      <c r="W19" s="11">
        <f t="shared" si="9"/>
        <v>0</v>
      </c>
      <c r="X19" s="11">
        <f t="shared" si="10"/>
        <v>0</v>
      </c>
      <c r="Y19" s="11">
        <f t="shared" si="11"/>
        <v>0</v>
      </c>
      <c r="Z19" s="65">
        <f t="shared" si="12"/>
        <v>0</v>
      </c>
      <c r="AA19" s="24">
        <f t="shared" si="13"/>
        <v>0</v>
      </c>
      <c r="AB19">
        <f t="shared" si="14"/>
        <v>0</v>
      </c>
      <c r="AC19" s="46">
        <f>+IFERROR(VLOOKUP(E19,#REF!,24,0),0.2)</f>
        <v>0.2</v>
      </c>
      <c r="AD19" s="42">
        <f>+IFERROR(VLOOKUP(E19,h!$C:$D,2,0),0.3866)</f>
        <v>4.6333000000000005E-5</v>
      </c>
      <c r="AE19" s="42">
        <f>+VLOOKUP(A19,k!$A$1:$G$4,5,0)</f>
        <v>0.35799365240740744</v>
      </c>
      <c r="AF19" s="47">
        <f t="shared" si="15"/>
        <v>0.5580399854074074</v>
      </c>
      <c r="AG19" s="48">
        <f t="shared" si="16"/>
        <v>6.6964798248888888E-2</v>
      </c>
      <c r="AH19" s="20">
        <f>+IFERROR(VLOOKUP(C19,k!$A$7:$L$13,7,0),0)</f>
        <v>0</v>
      </c>
      <c r="AI19" s="20">
        <f t="shared" si="17"/>
        <v>0</v>
      </c>
      <c r="AJ19" s="5">
        <f t="shared" si="18"/>
        <v>0</v>
      </c>
      <c r="AK19" s="57">
        <f t="shared" si="19"/>
        <v>0</v>
      </c>
      <c r="AL19" s="19">
        <f t="shared" si="20"/>
        <v>0</v>
      </c>
      <c r="AM19" s="20">
        <f t="shared" si="21"/>
        <v>0</v>
      </c>
      <c r="AN19" s="27">
        <f t="shared" si="22"/>
        <v>0</v>
      </c>
      <c r="AO19" s="57">
        <f t="shared" si="23"/>
        <v>0</v>
      </c>
      <c r="AP19" s="19">
        <f t="shared" si="24"/>
        <v>0</v>
      </c>
      <c r="AQ19" s="20">
        <f t="shared" si="25"/>
        <v>0</v>
      </c>
      <c r="AR19" s="58">
        <f t="shared" si="26"/>
        <v>0</v>
      </c>
      <c r="AS19" s="1">
        <f t="shared" si="27"/>
        <v>0</v>
      </c>
      <c r="AT19" s="21">
        <f t="shared" si="28"/>
        <v>0</v>
      </c>
      <c r="AU19" s="28">
        <f t="shared" si="29"/>
        <v>0</v>
      </c>
      <c r="AV19" s="19">
        <f t="shared" si="30"/>
        <v>0</v>
      </c>
      <c r="AW19" s="19">
        <f t="shared" si="31"/>
        <v>0</v>
      </c>
      <c r="AX19" s="27">
        <f t="shared" si="32"/>
        <v>0</v>
      </c>
      <c r="AY19" s="1" t="e">
        <f t="shared" si="33"/>
        <v>#DIV/0!</v>
      </c>
      <c r="AZ19" s="1" t="e">
        <f t="shared" si="34"/>
        <v>#DIV/0!</v>
      </c>
    </row>
    <row r="20" spans="1:52" hidden="1" x14ac:dyDescent="0.35">
      <c r="A20" s="29" t="s">
        <v>423</v>
      </c>
      <c r="B20" s="6">
        <v>5000</v>
      </c>
      <c r="C20" s="2" t="e">
        <f>+VLOOKUP(E20,inventario!#REF!,2,0)</f>
        <v>#REF!</v>
      </c>
      <c r="D20" t="str">
        <f t="shared" si="3"/>
        <v>0115-ME</v>
      </c>
      <c r="E20" t="s">
        <v>115</v>
      </c>
      <c r="F20" s="6" t="str">
        <f>+IFERROR(VLOOKUP(E20,#REF!,29,0),"C")</f>
        <v>C</v>
      </c>
      <c r="G20" s="6" t="str">
        <f>+IFERROR(VLOOKUP(E20,#REF!,34,0),"C")</f>
        <v>C</v>
      </c>
      <c r="H20" s="64">
        <f>+IFERROR(VLOOKUP(E20,#REF!,31,0),0)</f>
        <v>0</v>
      </c>
      <c r="I20" s="44">
        <f>+IFERROR(VLOOKUP(E20,#REF!,26,0),0)</f>
        <v>0</v>
      </c>
      <c r="J20" s="44">
        <f>+IFERROR(VLOOKUP(E20,#REF!,30,0),0)</f>
        <v>0</v>
      </c>
      <c r="K20" s="3"/>
      <c r="L20" s="25">
        <f t="shared" si="4"/>
        <v>0.7</v>
      </c>
      <c r="M20" s="26">
        <f t="shared" si="5"/>
        <v>0.52440051270804078</v>
      </c>
      <c r="O20">
        <f>+IFERROR(VLOOKUP(D20,lt!A:J,10,0),15)</f>
        <v>15</v>
      </c>
      <c r="P20">
        <v>2</v>
      </c>
      <c r="Q20">
        <v>1</v>
      </c>
      <c r="R20">
        <v>2</v>
      </c>
      <c r="S20" s="22">
        <f t="shared" si="6"/>
        <v>20</v>
      </c>
      <c r="T20" s="9">
        <v>3</v>
      </c>
      <c r="U20" s="23">
        <f t="shared" si="7"/>
        <v>0.76666666666666672</v>
      </c>
      <c r="V20" s="11">
        <f t="shared" si="8"/>
        <v>0</v>
      </c>
      <c r="W20" s="11">
        <f t="shared" si="9"/>
        <v>0</v>
      </c>
      <c r="X20" s="11">
        <f t="shared" si="10"/>
        <v>0</v>
      </c>
      <c r="Y20" s="11">
        <f t="shared" si="11"/>
        <v>0</v>
      </c>
      <c r="Z20" s="65">
        <f t="shared" si="12"/>
        <v>0</v>
      </c>
      <c r="AA20" s="24">
        <f t="shared" si="13"/>
        <v>0</v>
      </c>
      <c r="AB20">
        <f t="shared" si="14"/>
        <v>0</v>
      </c>
      <c r="AC20" s="46">
        <f>+IFERROR(VLOOKUP(E20,#REF!,24,0),0.2)</f>
        <v>0.2</v>
      </c>
      <c r="AD20" s="42">
        <f>+IFERROR(VLOOKUP(E20,h!$C:$D,2,0),0.3866)</f>
        <v>4.6333000000000005E-5</v>
      </c>
      <c r="AE20" s="42">
        <f>+VLOOKUP(A20,k!$A$1:$G$4,5,0)</f>
        <v>0.35799365240740744</v>
      </c>
      <c r="AF20" s="47">
        <f t="shared" si="15"/>
        <v>0.5580399854074074</v>
      </c>
      <c r="AG20" s="48">
        <f t="shared" si="16"/>
        <v>6.6964798248888888E-2</v>
      </c>
      <c r="AH20" s="20">
        <f>+IFERROR(VLOOKUP(C20,k!$A$7:$L$13,7,0),0)</f>
        <v>0</v>
      </c>
      <c r="AI20" s="20">
        <f t="shared" si="17"/>
        <v>0</v>
      </c>
      <c r="AJ20" s="5">
        <f t="shared" si="18"/>
        <v>0</v>
      </c>
      <c r="AK20" s="57">
        <f t="shared" si="19"/>
        <v>0</v>
      </c>
      <c r="AL20" s="19">
        <f t="shared" si="20"/>
        <v>0</v>
      </c>
      <c r="AM20" s="20">
        <f t="shared" si="21"/>
        <v>0</v>
      </c>
      <c r="AN20" s="27">
        <f t="shared" si="22"/>
        <v>0</v>
      </c>
      <c r="AO20" s="57">
        <f t="shared" si="23"/>
        <v>0</v>
      </c>
      <c r="AP20" s="19">
        <f t="shared" si="24"/>
        <v>0</v>
      </c>
      <c r="AQ20" s="20">
        <f t="shared" si="25"/>
        <v>0</v>
      </c>
      <c r="AR20" s="58">
        <f t="shared" si="26"/>
        <v>0</v>
      </c>
      <c r="AS20" s="1">
        <f t="shared" si="27"/>
        <v>0</v>
      </c>
      <c r="AT20" s="21">
        <f t="shared" si="28"/>
        <v>0</v>
      </c>
      <c r="AU20" s="28">
        <f t="shared" si="29"/>
        <v>0</v>
      </c>
      <c r="AV20" s="19">
        <f t="shared" si="30"/>
        <v>0</v>
      </c>
      <c r="AW20" s="19">
        <f t="shared" si="31"/>
        <v>0</v>
      </c>
      <c r="AX20" s="27">
        <f t="shared" si="32"/>
        <v>0</v>
      </c>
      <c r="AY20" s="1" t="e">
        <f t="shared" si="33"/>
        <v>#DIV/0!</v>
      </c>
      <c r="AZ20" s="1" t="e">
        <f t="shared" si="34"/>
        <v>#DIV/0!</v>
      </c>
    </row>
    <row r="21" spans="1:52" hidden="1" x14ac:dyDescent="0.35">
      <c r="A21" s="29" t="s">
        <v>423</v>
      </c>
      <c r="B21" s="6">
        <v>5000</v>
      </c>
      <c r="C21" s="2" t="e">
        <f>+VLOOKUP(E21,inventario!#REF!,2,0)</f>
        <v>#REF!</v>
      </c>
      <c r="D21" t="str">
        <f t="shared" si="3"/>
        <v>0993-ME</v>
      </c>
      <c r="E21" t="s">
        <v>106</v>
      </c>
      <c r="F21" s="6" t="str">
        <f>+IFERROR(VLOOKUP(E21,#REF!,29,0),"C")</f>
        <v>C</v>
      </c>
      <c r="G21" s="6" t="str">
        <f>+IFERROR(VLOOKUP(E21,#REF!,34,0),"C")</f>
        <v>C</v>
      </c>
      <c r="H21" s="64">
        <f>+IFERROR(VLOOKUP(E21,#REF!,31,0),0)</f>
        <v>0</v>
      </c>
      <c r="I21" s="44">
        <f>+IFERROR(VLOOKUP(E21,#REF!,26,0),0)</f>
        <v>0</v>
      </c>
      <c r="J21" s="44">
        <f>+IFERROR(VLOOKUP(E21,#REF!,30,0),0)</f>
        <v>0</v>
      </c>
      <c r="K21" s="3"/>
      <c r="L21" s="25">
        <f t="shared" si="4"/>
        <v>0.7</v>
      </c>
      <c r="M21" s="26">
        <f t="shared" si="5"/>
        <v>0.52440051270804078</v>
      </c>
      <c r="O21">
        <f>+IFERROR(VLOOKUP(D21,lt!A:J,10,0),15)</f>
        <v>15</v>
      </c>
      <c r="P21">
        <v>2</v>
      </c>
      <c r="Q21">
        <v>1</v>
      </c>
      <c r="R21">
        <v>2</v>
      </c>
      <c r="S21" s="22">
        <f t="shared" si="6"/>
        <v>20</v>
      </c>
      <c r="T21" s="9">
        <v>3</v>
      </c>
      <c r="U21" s="23">
        <f t="shared" si="7"/>
        <v>0.76666666666666672</v>
      </c>
      <c r="V21" s="11">
        <f t="shared" si="8"/>
        <v>0</v>
      </c>
      <c r="W21" s="11">
        <f t="shared" si="9"/>
        <v>0</v>
      </c>
      <c r="X21" s="11">
        <f t="shared" si="10"/>
        <v>0</v>
      </c>
      <c r="Y21" s="11">
        <f t="shared" si="11"/>
        <v>0</v>
      </c>
      <c r="Z21" s="65">
        <f t="shared" si="12"/>
        <v>0</v>
      </c>
      <c r="AA21" s="24">
        <f t="shared" si="13"/>
        <v>0</v>
      </c>
      <c r="AB21">
        <f t="shared" si="14"/>
        <v>0</v>
      </c>
      <c r="AC21" s="46">
        <f>+IFERROR(VLOOKUP(E21,#REF!,24,0),0.2)</f>
        <v>0.2</v>
      </c>
      <c r="AD21" s="42">
        <f>+IFERROR(VLOOKUP(E21,h!$C:$D,2,0),0.3866)</f>
        <v>4.6333000000000005E-5</v>
      </c>
      <c r="AE21" s="42">
        <f>+VLOOKUP(A21,k!$A$1:$G$4,5,0)</f>
        <v>0.35799365240740744</v>
      </c>
      <c r="AF21" s="47">
        <f t="shared" si="15"/>
        <v>0.5580399854074074</v>
      </c>
      <c r="AG21" s="48">
        <f t="shared" si="16"/>
        <v>6.6964798248888888E-2</v>
      </c>
      <c r="AH21" s="20">
        <f>+IFERROR(VLOOKUP(C21,k!$A$7:$L$13,7,0),0)</f>
        <v>0</v>
      </c>
      <c r="AI21" s="20">
        <f t="shared" si="17"/>
        <v>0</v>
      </c>
      <c r="AJ21" s="5">
        <f t="shared" si="18"/>
        <v>0</v>
      </c>
      <c r="AK21" s="57">
        <f t="shared" si="19"/>
        <v>0</v>
      </c>
      <c r="AL21" s="19">
        <f t="shared" si="20"/>
        <v>0</v>
      </c>
      <c r="AM21" s="20">
        <f t="shared" si="21"/>
        <v>0</v>
      </c>
      <c r="AN21" s="27">
        <f t="shared" si="22"/>
        <v>0</v>
      </c>
      <c r="AO21" s="57">
        <f t="shared" si="23"/>
        <v>0</v>
      </c>
      <c r="AP21" s="19">
        <f t="shared" si="24"/>
        <v>0</v>
      </c>
      <c r="AQ21" s="20">
        <f t="shared" si="25"/>
        <v>0</v>
      </c>
      <c r="AR21" s="58">
        <f t="shared" si="26"/>
        <v>0</v>
      </c>
      <c r="AS21" s="1">
        <f t="shared" si="27"/>
        <v>0</v>
      </c>
      <c r="AT21" s="21">
        <f t="shared" si="28"/>
        <v>0</v>
      </c>
      <c r="AU21" s="28">
        <f t="shared" si="29"/>
        <v>0</v>
      </c>
      <c r="AV21" s="19">
        <f t="shared" si="30"/>
        <v>0</v>
      </c>
      <c r="AW21" s="19">
        <f t="shared" si="31"/>
        <v>0</v>
      </c>
      <c r="AX21" s="27">
        <f t="shared" si="32"/>
        <v>0</v>
      </c>
      <c r="AY21" s="1" t="e">
        <f t="shared" si="33"/>
        <v>#DIV/0!</v>
      </c>
      <c r="AZ21" s="1" t="e">
        <f t="shared" si="34"/>
        <v>#DIV/0!</v>
      </c>
    </row>
    <row r="22" spans="1:52" hidden="1" x14ac:dyDescent="0.35">
      <c r="A22" s="29" t="s">
        <v>423</v>
      </c>
      <c r="B22" s="6">
        <v>5000</v>
      </c>
      <c r="C22" s="2" t="e">
        <f>+VLOOKUP(E22,inventario!#REF!,2,0)</f>
        <v>#REF!</v>
      </c>
      <c r="D22" t="str">
        <f t="shared" si="3"/>
        <v>0111-ME</v>
      </c>
      <c r="E22" t="s">
        <v>125</v>
      </c>
      <c r="F22" s="6" t="str">
        <f>+IFERROR(VLOOKUP(E22,#REF!,29,0),"C")</f>
        <v>C</v>
      </c>
      <c r="G22" s="6" t="str">
        <f>+IFERROR(VLOOKUP(E22,#REF!,34,0),"C")</f>
        <v>C</v>
      </c>
      <c r="H22" s="64">
        <f>+IFERROR(VLOOKUP(E22,#REF!,31,0),0)</f>
        <v>0</v>
      </c>
      <c r="I22" s="44">
        <f>+IFERROR(VLOOKUP(E22,#REF!,26,0),0)</f>
        <v>0</v>
      </c>
      <c r="J22" s="44">
        <f>+IFERROR(VLOOKUP(E22,#REF!,30,0),0)</f>
        <v>0</v>
      </c>
      <c r="K22" s="3"/>
      <c r="L22" s="25">
        <f t="shared" si="4"/>
        <v>0.7</v>
      </c>
      <c r="M22" s="26">
        <f t="shared" si="5"/>
        <v>0.52440051270804078</v>
      </c>
      <c r="O22">
        <f>+IFERROR(VLOOKUP(D22,lt!A:J,10,0),15)</f>
        <v>15</v>
      </c>
      <c r="P22">
        <v>2</v>
      </c>
      <c r="Q22">
        <v>1</v>
      </c>
      <c r="R22">
        <v>2</v>
      </c>
      <c r="S22" s="22">
        <f t="shared" si="6"/>
        <v>20</v>
      </c>
      <c r="T22" s="9">
        <v>3</v>
      </c>
      <c r="U22" s="23">
        <f t="shared" si="7"/>
        <v>0.76666666666666672</v>
      </c>
      <c r="V22" s="11">
        <f t="shared" si="8"/>
        <v>0</v>
      </c>
      <c r="W22" s="11">
        <f t="shared" si="9"/>
        <v>0</v>
      </c>
      <c r="X22" s="11">
        <f t="shared" si="10"/>
        <v>0</v>
      </c>
      <c r="Y22" s="11">
        <f t="shared" si="11"/>
        <v>0</v>
      </c>
      <c r="Z22" s="65">
        <f t="shared" si="12"/>
        <v>0</v>
      </c>
      <c r="AA22" s="24">
        <f t="shared" si="13"/>
        <v>0</v>
      </c>
      <c r="AB22">
        <f t="shared" si="14"/>
        <v>0</v>
      </c>
      <c r="AC22" s="46">
        <f>+IFERROR(VLOOKUP(E22,#REF!,24,0),0.2)</f>
        <v>0.2</v>
      </c>
      <c r="AD22" s="42">
        <f>+IFERROR(VLOOKUP(E22,h!$C:$D,2,0),0.3866)</f>
        <v>4.6333000000000005E-5</v>
      </c>
      <c r="AE22" s="42">
        <f>+VLOOKUP(A22,k!$A$1:$G$4,5,0)</f>
        <v>0.35799365240740744</v>
      </c>
      <c r="AF22" s="47">
        <f t="shared" si="15"/>
        <v>0.5580399854074074</v>
      </c>
      <c r="AG22" s="48">
        <f t="shared" si="16"/>
        <v>6.6964798248888888E-2</v>
      </c>
      <c r="AH22" s="20">
        <f>+IFERROR(VLOOKUP(C22,k!$A$7:$L$13,7,0),0)</f>
        <v>0</v>
      </c>
      <c r="AI22" s="20">
        <f t="shared" si="17"/>
        <v>0</v>
      </c>
      <c r="AJ22" s="5">
        <f t="shared" si="18"/>
        <v>0</v>
      </c>
      <c r="AK22" s="57">
        <f t="shared" si="19"/>
        <v>0</v>
      </c>
      <c r="AL22" s="19">
        <f t="shared" si="20"/>
        <v>0</v>
      </c>
      <c r="AM22" s="20">
        <f t="shared" si="21"/>
        <v>0</v>
      </c>
      <c r="AN22" s="27">
        <f t="shared" si="22"/>
        <v>0</v>
      </c>
      <c r="AO22" s="57">
        <f t="shared" si="23"/>
        <v>0</v>
      </c>
      <c r="AP22" s="19">
        <f t="shared" si="24"/>
        <v>0</v>
      </c>
      <c r="AQ22" s="20">
        <f t="shared" si="25"/>
        <v>0</v>
      </c>
      <c r="AR22" s="58">
        <f t="shared" si="26"/>
        <v>0</v>
      </c>
      <c r="AS22" s="1">
        <f t="shared" si="27"/>
        <v>0</v>
      </c>
      <c r="AT22" s="21">
        <f t="shared" si="28"/>
        <v>0</v>
      </c>
      <c r="AU22" s="28">
        <f t="shared" si="29"/>
        <v>0</v>
      </c>
      <c r="AV22" s="19">
        <f t="shared" si="30"/>
        <v>0</v>
      </c>
      <c r="AW22" s="19">
        <f t="shared" si="31"/>
        <v>0</v>
      </c>
      <c r="AX22" s="27">
        <f t="shared" si="32"/>
        <v>0</v>
      </c>
      <c r="AY22" s="1" t="e">
        <f t="shared" si="33"/>
        <v>#DIV/0!</v>
      </c>
      <c r="AZ22" s="1" t="e">
        <f t="shared" si="34"/>
        <v>#DIV/0!</v>
      </c>
    </row>
    <row r="23" spans="1:52" hidden="1" x14ac:dyDescent="0.35">
      <c r="A23" s="29" t="s">
        <v>423</v>
      </c>
      <c r="B23" s="6">
        <v>5000</v>
      </c>
      <c r="C23" s="2" t="e">
        <f>+VLOOKUP(E23,inventario!#REF!,2,0)</f>
        <v>#REF!</v>
      </c>
      <c r="D23" t="str">
        <f t="shared" si="3"/>
        <v>0986-ME</v>
      </c>
      <c r="E23" t="s">
        <v>120</v>
      </c>
      <c r="F23" s="6" t="str">
        <f>+IFERROR(VLOOKUP(E23,#REF!,29,0),"C")</f>
        <v>C</v>
      </c>
      <c r="G23" s="6" t="str">
        <f>+IFERROR(VLOOKUP(E23,#REF!,34,0),"C")</f>
        <v>C</v>
      </c>
      <c r="H23" s="64">
        <f>+IFERROR(VLOOKUP(E23,#REF!,31,0),0)</f>
        <v>0</v>
      </c>
      <c r="I23" s="44">
        <f>+IFERROR(VLOOKUP(E23,#REF!,26,0),0)</f>
        <v>0</v>
      </c>
      <c r="J23" s="44">
        <f>+IFERROR(VLOOKUP(E23,#REF!,30,0),0)</f>
        <v>0</v>
      </c>
      <c r="K23" s="3"/>
      <c r="L23" s="25">
        <f t="shared" si="4"/>
        <v>0.7</v>
      </c>
      <c r="M23" s="26">
        <f t="shared" si="5"/>
        <v>0.52440051270804078</v>
      </c>
      <c r="O23">
        <f>+IFERROR(VLOOKUP(D23,lt!A:J,10,0),15)</f>
        <v>15</v>
      </c>
      <c r="P23">
        <v>2</v>
      </c>
      <c r="Q23">
        <v>1</v>
      </c>
      <c r="R23">
        <v>2</v>
      </c>
      <c r="S23" s="22">
        <f t="shared" si="6"/>
        <v>20</v>
      </c>
      <c r="T23" s="9">
        <v>3</v>
      </c>
      <c r="U23" s="23">
        <f t="shared" si="7"/>
        <v>0.76666666666666672</v>
      </c>
      <c r="V23" s="11">
        <f t="shared" si="8"/>
        <v>0</v>
      </c>
      <c r="W23" s="11">
        <f t="shared" si="9"/>
        <v>0</v>
      </c>
      <c r="X23" s="11">
        <f t="shared" si="10"/>
        <v>0</v>
      </c>
      <c r="Y23" s="11">
        <f t="shared" si="11"/>
        <v>0</v>
      </c>
      <c r="Z23" s="65">
        <f t="shared" si="12"/>
        <v>0</v>
      </c>
      <c r="AA23" s="24">
        <f t="shared" si="13"/>
        <v>0</v>
      </c>
      <c r="AB23">
        <f t="shared" si="14"/>
        <v>0</v>
      </c>
      <c r="AC23" s="46">
        <f>+IFERROR(VLOOKUP(E23,#REF!,24,0),0.2)</f>
        <v>0.2</v>
      </c>
      <c r="AD23" s="42">
        <f>+IFERROR(VLOOKUP(E23,h!$C:$D,2,0),0.3866)</f>
        <v>4.6333000000000005E-5</v>
      </c>
      <c r="AE23" s="42">
        <f>+VLOOKUP(A23,k!$A$1:$G$4,5,0)</f>
        <v>0.35799365240740744</v>
      </c>
      <c r="AF23" s="47">
        <f t="shared" si="15"/>
        <v>0.5580399854074074</v>
      </c>
      <c r="AG23" s="48">
        <f t="shared" si="16"/>
        <v>6.6964798248888888E-2</v>
      </c>
      <c r="AH23" s="20">
        <f>+IFERROR(VLOOKUP(C23,k!$A$7:$L$13,7,0),0)</f>
        <v>0</v>
      </c>
      <c r="AI23" s="20">
        <f t="shared" si="17"/>
        <v>0</v>
      </c>
      <c r="AJ23" s="5">
        <f t="shared" si="18"/>
        <v>0</v>
      </c>
      <c r="AK23" s="57">
        <f t="shared" si="19"/>
        <v>0</v>
      </c>
      <c r="AL23" s="19">
        <f t="shared" si="20"/>
        <v>0</v>
      </c>
      <c r="AM23" s="20">
        <f t="shared" si="21"/>
        <v>0</v>
      </c>
      <c r="AN23" s="27">
        <f t="shared" si="22"/>
        <v>0</v>
      </c>
      <c r="AO23" s="57">
        <f t="shared" si="23"/>
        <v>0</v>
      </c>
      <c r="AP23" s="19">
        <f t="shared" si="24"/>
        <v>0</v>
      </c>
      <c r="AQ23" s="20">
        <f t="shared" si="25"/>
        <v>0</v>
      </c>
      <c r="AR23" s="58">
        <f t="shared" si="26"/>
        <v>0</v>
      </c>
      <c r="AS23" s="1">
        <f t="shared" si="27"/>
        <v>0</v>
      </c>
      <c r="AT23" s="21">
        <f t="shared" si="28"/>
        <v>0</v>
      </c>
      <c r="AU23" s="28">
        <f t="shared" si="29"/>
        <v>0</v>
      </c>
      <c r="AV23" s="19">
        <f t="shared" si="30"/>
        <v>0</v>
      </c>
      <c r="AW23" s="19">
        <f t="shared" si="31"/>
        <v>0</v>
      </c>
      <c r="AX23" s="27">
        <f t="shared" si="32"/>
        <v>0</v>
      </c>
      <c r="AY23" s="1" t="e">
        <f t="shared" si="33"/>
        <v>#DIV/0!</v>
      </c>
      <c r="AZ23" s="1" t="e">
        <f t="shared" si="34"/>
        <v>#DIV/0!</v>
      </c>
    </row>
    <row r="24" spans="1:52" hidden="1" x14ac:dyDescent="0.35">
      <c r="A24" s="29" t="s">
        <v>423</v>
      </c>
      <c r="B24" s="6">
        <v>5000</v>
      </c>
      <c r="C24" s="2" t="e">
        <f>+VLOOKUP(E24,inventario!#REF!,2,0)</f>
        <v>#REF!</v>
      </c>
      <c r="D24" t="str">
        <f t="shared" si="3"/>
        <v>0988-ME</v>
      </c>
      <c r="E24" t="s">
        <v>119</v>
      </c>
      <c r="F24" s="6" t="str">
        <f>+IFERROR(VLOOKUP(E24,#REF!,29,0),"C")</f>
        <v>C</v>
      </c>
      <c r="G24" s="6" t="str">
        <f>+IFERROR(VLOOKUP(E24,#REF!,34,0),"C")</f>
        <v>C</v>
      </c>
      <c r="H24" s="64">
        <f>+IFERROR(VLOOKUP(E24,#REF!,31,0),0)</f>
        <v>0</v>
      </c>
      <c r="I24" s="44">
        <f>+IFERROR(VLOOKUP(E24,#REF!,26,0),0)</f>
        <v>0</v>
      </c>
      <c r="J24" s="44">
        <f>+IFERROR(VLOOKUP(E24,#REF!,30,0),0)</f>
        <v>0</v>
      </c>
      <c r="K24" s="3"/>
      <c r="L24" s="25">
        <f t="shared" si="4"/>
        <v>0.7</v>
      </c>
      <c r="M24" s="26">
        <f t="shared" si="5"/>
        <v>0.52440051270804078</v>
      </c>
      <c r="O24">
        <f>+IFERROR(VLOOKUP(D24,lt!A:J,10,0),15)</f>
        <v>15</v>
      </c>
      <c r="P24">
        <v>2</v>
      </c>
      <c r="Q24">
        <v>1</v>
      </c>
      <c r="R24">
        <v>2</v>
      </c>
      <c r="S24" s="22">
        <f t="shared" si="6"/>
        <v>20</v>
      </c>
      <c r="T24" s="9">
        <v>3</v>
      </c>
      <c r="U24" s="23">
        <f t="shared" si="7"/>
        <v>0.76666666666666672</v>
      </c>
      <c r="V24" s="11">
        <f t="shared" si="8"/>
        <v>0</v>
      </c>
      <c r="W24" s="11">
        <f t="shared" si="9"/>
        <v>0</v>
      </c>
      <c r="X24" s="11">
        <f t="shared" si="10"/>
        <v>0</v>
      </c>
      <c r="Y24" s="11">
        <f t="shared" si="11"/>
        <v>0</v>
      </c>
      <c r="Z24" s="65">
        <f t="shared" si="12"/>
        <v>0</v>
      </c>
      <c r="AA24" s="24">
        <f t="shared" si="13"/>
        <v>0</v>
      </c>
      <c r="AB24">
        <f t="shared" si="14"/>
        <v>0</v>
      </c>
      <c r="AC24" s="46">
        <f>+IFERROR(VLOOKUP(E24,#REF!,24,0),0.2)</f>
        <v>0.2</v>
      </c>
      <c r="AD24" s="42">
        <f>+IFERROR(VLOOKUP(E24,h!$C:$D,2,0),0.3866)</f>
        <v>4.6333000000000005E-5</v>
      </c>
      <c r="AE24" s="42">
        <f>+VLOOKUP(A24,k!$A$1:$G$4,5,0)</f>
        <v>0.35799365240740744</v>
      </c>
      <c r="AF24" s="47">
        <f t="shared" si="15"/>
        <v>0.5580399854074074</v>
      </c>
      <c r="AG24" s="48">
        <f t="shared" si="16"/>
        <v>6.6964798248888888E-2</v>
      </c>
      <c r="AH24" s="20">
        <f>+IFERROR(VLOOKUP(C24,k!$A$7:$L$13,7,0),0)</f>
        <v>0</v>
      </c>
      <c r="AI24" s="20">
        <f t="shared" si="17"/>
        <v>0</v>
      </c>
      <c r="AJ24" s="5">
        <f t="shared" si="18"/>
        <v>0</v>
      </c>
      <c r="AK24" s="57">
        <f t="shared" si="19"/>
        <v>0</v>
      </c>
      <c r="AL24" s="19">
        <f t="shared" si="20"/>
        <v>0</v>
      </c>
      <c r="AM24" s="20">
        <f t="shared" si="21"/>
        <v>0</v>
      </c>
      <c r="AN24" s="27">
        <f t="shared" si="22"/>
        <v>0</v>
      </c>
      <c r="AO24" s="57">
        <f t="shared" si="23"/>
        <v>0</v>
      </c>
      <c r="AP24" s="19">
        <f t="shared" si="24"/>
        <v>0</v>
      </c>
      <c r="AQ24" s="20">
        <f t="shared" si="25"/>
        <v>0</v>
      </c>
      <c r="AR24" s="58">
        <f t="shared" si="26"/>
        <v>0</v>
      </c>
      <c r="AS24" s="1">
        <f t="shared" si="27"/>
        <v>0</v>
      </c>
      <c r="AT24" s="21">
        <f t="shared" si="28"/>
        <v>0</v>
      </c>
      <c r="AU24" s="28">
        <f t="shared" si="29"/>
        <v>0</v>
      </c>
      <c r="AV24" s="19">
        <f t="shared" si="30"/>
        <v>0</v>
      </c>
      <c r="AW24" s="19">
        <f t="shared" si="31"/>
        <v>0</v>
      </c>
      <c r="AX24" s="27">
        <f t="shared" si="32"/>
        <v>0</v>
      </c>
      <c r="AY24" s="1" t="e">
        <f t="shared" si="33"/>
        <v>#DIV/0!</v>
      </c>
      <c r="AZ24" s="1" t="e">
        <f t="shared" si="34"/>
        <v>#DIV/0!</v>
      </c>
    </row>
    <row r="25" spans="1:52" hidden="1" x14ac:dyDescent="0.35">
      <c r="A25" s="29" t="s">
        <v>423</v>
      </c>
      <c r="B25" s="6">
        <v>5000</v>
      </c>
      <c r="C25" s="2" t="e">
        <f>+VLOOKUP(E25,inventario!#REF!,2,0)</f>
        <v>#REF!</v>
      </c>
      <c r="D25" t="str">
        <f t="shared" si="3"/>
        <v>0982-ME</v>
      </c>
      <c r="E25" t="s">
        <v>114</v>
      </c>
      <c r="F25" s="6" t="str">
        <f>+IFERROR(VLOOKUP(E25,#REF!,29,0),"C")</f>
        <v>C</v>
      </c>
      <c r="G25" s="6" t="str">
        <f>+IFERROR(VLOOKUP(E25,#REF!,34,0),"C")</f>
        <v>C</v>
      </c>
      <c r="H25" s="64">
        <f>+IFERROR(VLOOKUP(E25,#REF!,31,0),0)</f>
        <v>0</v>
      </c>
      <c r="I25" s="44">
        <f>+IFERROR(VLOOKUP(E25,#REF!,26,0),0)</f>
        <v>0</v>
      </c>
      <c r="J25" s="44">
        <f>+IFERROR(VLOOKUP(E25,#REF!,30,0),0)</f>
        <v>0</v>
      </c>
      <c r="K25" s="3"/>
      <c r="L25" s="25">
        <f t="shared" si="4"/>
        <v>0.7</v>
      </c>
      <c r="M25" s="26">
        <f t="shared" si="5"/>
        <v>0.52440051270804078</v>
      </c>
      <c r="O25">
        <f>+IFERROR(VLOOKUP(D25,lt!A:J,10,0),15)</f>
        <v>15</v>
      </c>
      <c r="P25">
        <v>2</v>
      </c>
      <c r="Q25">
        <v>1</v>
      </c>
      <c r="R25">
        <v>2</v>
      </c>
      <c r="S25" s="22">
        <f t="shared" si="6"/>
        <v>20</v>
      </c>
      <c r="T25" s="9">
        <v>3</v>
      </c>
      <c r="U25" s="23">
        <f t="shared" si="7"/>
        <v>0.76666666666666672</v>
      </c>
      <c r="V25" s="11">
        <f t="shared" si="8"/>
        <v>0</v>
      </c>
      <c r="W25" s="11">
        <f t="shared" si="9"/>
        <v>0</v>
      </c>
      <c r="X25" s="11">
        <f t="shared" si="10"/>
        <v>0</v>
      </c>
      <c r="Y25" s="11">
        <f t="shared" si="11"/>
        <v>0</v>
      </c>
      <c r="Z25" s="65">
        <f t="shared" si="12"/>
        <v>0</v>
      </c>
      <c r="AA25" s="24">
        <f t="shared" si="13"/>
        <v>0</v>
      </c>
      <c r="AB25">
        <f t="shared" si="14"/>
        <v>0</v>
      </c>
      <c r="AC25" s="46">
        <f>+IFERROR(VLOOKUP(E25,#REF!,24,0),0.2)</f>
        <v>0.2</v>
      </c>
      <c r="AD25" s="42">
        <f>+IFERROR(VLOOKUP(E25,h!$C:$D,2,0),0.3866)</f>
        <v>4.6333000000000005E-5</v>
      </c>
      <c r="AE25" s="42">
        <f>+VLOOKUP(A25,k!$A$1:$G$4,5,0)</f>
        <v>0.35799365240740744</v>
      </c>
      <c r="AF25" s="47">
        <f t="shared" si="15"/>
        <v>0.5580399854074074</v>
      </c>
      <c r="AG25" s="48">
        <f t="shared" si="16"/>
        <v>6.6964798248888888E-2</v>
      </c>
      <c r="AH25" s="20">
        <f>+IFERROR(VLOOKUP(C25,k!$A$7:$L$13,7,0),0)</f>
        <v>0</v>
      </c>
      <c r="AI25" s="20">
        <f t="shared" si="17"/>
        <v>0</v>
      </c>
      <c r="AJ25" s="5">
        <f t="shared" si="18"/>
        <v>0</v>
      </c>
      <c r="AK25" s="57">
        <f t="shared" si="19"/>
        <v>0</v>
      </c>
      <c r="AL25" s="19">
        <f t="shared" si="20"/>
        <v>0</v>
      </c>
      <c r="AM25" s="20">
        <f t="shared" si="21"/>
        <v>0</v>
      </c>
      <c r="AN25" s="27">
        <f t="shared" si="22"/>
        <v>0</v>
      </c>
      <c r="AO25" s="57">
        <f t="shared" si="23"/>
        <v>0</v>
      </c>
      <c r="AP25" s="19">
        <f t="shared" si="24"/>
        <v>0</v>
      </c>
      <c r="AQ25" s="20">
        <f t="shared" si="25"/>
        <v>0</v>
      </c>
      <c r="AR25" s="58">
        <f t="shared" si="26"/>
        <v>0</v>
      </c>
      <c r="AS25" s="1">
        <f t="shared" si="27"/>
        <v>0</v>
      </c>
      <c r="AT25" s="21">
        <f t="shared" si="28"/>
        <v>0</v>
      </c>
      <c r="AU25" s="28">
        <f t="shared" si="29"/>
        <v>0</v>
      </c>
      <c r="AV25" s="19">
        <f t="shared" si="30"/>
        <v>0</v>
      </c>
      <c r="AW25" s="19">
        <f t="shared" si="31"/>
        <v>0</v>
      </c>
      <c r="AX25" s="27">
        <f t="shared" si="32"/>
        <v>0</v>
      </c>
      <c r="AY25" s="1" t="e">
        <f t="shared" si="33"/>
        <v>#DIV/0!</v>
      </c>
      <c r="AZ25" s="1" t="e">
        <f t="shared" si="34"/>
        <v>#DIV/0!</v>
      </c>
    </row>
    <row r="26" spans="1:52" hidden="1" x14ac:dyDescent="0.35">
      <c r="A26" s="29" t="s">
        <v>423</v>
      </c>
      <c r="B26" s="6">
        <v>5000</v>
      </c>
      <c r="C26" s="2" t="e">
        <f>+VLOOKUP(E26,inventario!#REF!,2,0)</f>
        <v>#REF!</v>
      </c>
      <c r="D26" t="str">
        <f t="shared" si="3"/>
        <v>0752-ME</v>
      </c>
      <c r="E26" t="s">
        <v>116</v>
      </c>
      <c r="F26" s="6" t="str">
        <f>+IFERROR(VLOOKUP(E26,#REF!,29,0),"C")</f>
        <v>C</v>
      </c>
      <c r="G26" s="6" t="str">
        <f>+IFERROR(VLOOKUP(E26,#REF!,34,0),"C")</f>
        <v>C</v>
      </c>
      <c r="H26" s="64">
        <f>+IFERROR(VLOOKUP(E26,#REF!,31,0),0)</f>
        <v>0</v>
      </c>
      <c r="I26" s="44">
        <f>+IFERROR(VLOOKUP(E26,#REF!,26,0),0)</f>
        <v>0</v>
      </c>
      <c r="J26" s="44">
        <f>+IFERROR(VLOOKUP(E26,#REF!,30,0),0)</f>
        <v>0</v>
      </c>
      <c r="K26" s="3"/>
      <c r="L26" s="25">
        <f t="shared" si="4"/>
        <v>0.7</v>
      </c>
      <c r="M26" s="26">
        <f t="shared" si="5"/>
        <v>0.52440051270804078</v>
      </c>
      <c r="O26">
        <f>+IFERROR(VLOOKUP(D26,lt!A:J,10,0),15)</f>
        <v>15</v>
      </c>
      <c r="P26">
        <v>2</v>
      </c>
      <c r="Q26">
        <v>1</v>
      </c>
      <c r="R26">
        <v>2</v>
      </c>
      <c r="S26" s="22">
        <f t="shared" si="6"/>
        <v>20</v>
      </c>
      <c r="T26" s="9">
        <v>3</v>
      </c>
      <c r="U26" s="23">
        <f t="shared" si="7"/>
        <v>0.76666666666666672</v>
      </c>
      <c r="V26" s="11">
        <f t="shared" si="8"/>
        <v>0</v>
      </c>
      <c r="W26" s="11">
        <f t="shared" si="9"/>
        <v>0</v>
      </c>
      <c r="X26" s="11">
        <f t="shared" si="10"/>
        <v>0</v>
      </c>
      <c r="Y26" s="11">
        <f t="shared" si="11"/>
        <v>0</v>
      </c>
      <c r="Z26" s="65">
        <f t="shared" si="12"/>
        <v>0</v>
      </c>
      <c r="AA26" s="24">
        <f t="shared" si="13"/>
        <v>0</v>
      </c>
      <c r="AB26">
        <f t="shared" si="14"/>
        <v>0</v>
      </c>
      <c r="AC26" s="46">
        <f>+IFERROR(VLOOKUP(E26,#REF!,24,0),0.2)</f>
        <v>0.2</v>
      </c>
      <c r="AD26" s="42">
        <f>+IFERROR(VLOOKUP(E26,h!$C:$D,2,0),0.3866)</f>
        <v>4.6333000000000005E-5</v>
      </c>
      <c r="AE26" s="42">
        <f>+VLOOKUP(A26,k!$A$1:$G$4,5,0)</f>
        <v>0.35799365240740744</v>
      </c>
      <c r="AF26" s="47">
        <f t="shared" si="15"/>
        <v>0.5580399854074074</v>
      </c>
      <c r="AG26" s="48">
        <f t="shared" si="16"/>
        <v>6.6964798248888888E-2</v>
      </c>
      <c r="AH26" s="20">
        <f>+IFERROR(VLOOKUP(C26,k!$A$7:$L$13,7,0),0)</f>
        <v>0</v>
      </c>
      <c r="AI26" s="20">
        <f t="shared" si="17"/>
        <v>0</v>
      </c>
      <c r="AJ26" s="5">
        <f t="shared" si="18"/>
        <v>0</v>
      </c>
      <c r="AK26" s="57">
        <f t="shared" si="19"/>
        <v>0</v>
      </c>
      <c r="AL26" s="19">
        <f t="shared" si="20"/>
        <v>0</v>
      </c>
      <c r="AM26" s="20">
        <f t="shared" si="21"/>
        <v>0</v>
      </c>
      <c r="AN26" s="27">
        <f t="shared" si="22"/>
        <v>0</v>
      </c>
      <c r="AO26" s="57">
        <f t="shared" si="23"/>
        <v>0</v>
      </c>
      <c r="AP26" s="19">
        <f t="shared" si="24"/>
        <v>0</v>
      </c>
      <c r="AQ26" s="20">
        <f t="shared" si="25"/>
        <v>0</v>
      </c>
      <c r="AR26" s="58">
        <f t="shared" si="26"/>
        <v>0</v>
      </c>
      <c r="AS26" s="1">
        <f t="shared" si="27"/>
        <v>0</v>
      </c>
      <c r="AT26" s="21">
        <f t="shared" si="28"/>
        <v>0</v>
      </c>
      <c r="AU26" s="28">
        <f t="shared" si="29"/>
        <v>0</v>
      </c>
      <c r="AV26" s="19">
        <f t="shared" si="30"/>
        <v>0</v>
      </c>
      <c r="AW26" s="19">
        <f t="shared" si="31"/>
        <v>0</v>
      </c>
      <c r="AX26" s="27">
        <f t="shared" si="32"/>
        <v>0</v>
      </c>
      <c r="AY26" s="1" t="e">
        <f t="shared" si="33"/>
        <v>#DIV/0!</v>
      </c>
      <c r="AZ26" s="1" t="e">
        <f t="shared" si="34"/>
        <v>#DIV/0!</v>
      </c>
    </row>
    <row r="27" spans="1:52" hidden="1" x14ac:dyDescent="0.35">
      <c r="A27" s="29" t="s">
        <v>423</v>
      </c>
      <c r="B27" s="6">
        <v>5000</v>
      </c>
      <c r="C27" s="2" t="e">
        <f>+VLOOKUP(E27,inventario!#REF!,2,0)</f>
        <v>#REF!</v>
      </c>
      <c r="D27" t="str">
        <f t="shared" si="3"/>
        <v>0994-ME</v>
      </c>
      <c r="E27" t="s">
        <v>118</v>
      </c>
      <c r="F27" s="6" t="str">
        <f>+IFERROR(VLOOKUP(E27,#REF!,29,0),"C")</f>
        <v>C</v>
      </c>
      <c r="G27" s="6" t="str">
        <f>+IFERROR(VLOOKUP(E27,#REF!,34,0),"C")</f>
        <v>C</v>
      </c>
      <c r="H27" s="64">
        <f>+IFERROR(VLOOKUP(E27,#REF!,31,0),0)</f>
        <v>0</v>
      </c>
      <c r="I27" s="44">
        <f>+IFERROR(VLOOKUP(E27,#REF!,26,0),0)</f>
        <v>0</v>
      </c>
      <c r="J27" s="44">
        <f>+IFERROR(VLOOKUP(E27,#REF!,30,0),0)</f>
        <v>0</v>
      </c>
      <c r="K27" s="3"/>
      <c r="L27" s="25">
        <f t="shared" si="4"/>
        <v>0.7</v>
      </c>
      <c r="M27" s="26">
        <f t="shared" si="5"/>
        <v>0.52440051270804078</v>
      </c>
      <c r="O27">
        <f>+IFERROR(VLOOKUP(D27,lt!A:J,10,0),15)</f>
        <v>15</v>
      </c>
      <c r="P27">
        <v>2</v>
      </c>
      <c r="Q27">
        <v>1</v>
      </c>
      <c r="R27">
        <v>2</v>
      </c>
      <c r="S27" s="22">
        <f t="shared" si="6"/>
        <v>20</v>
      </c>
      <c r="T27" s="9">
        <v>3</v>
      </c>
      <c r="U27" s="23">
        <f t="shared" si="7"/>
        <v>0.76666666666666672</v>
      </c>
      <c r="V27" s="11">
        <f t="shared" si="8"/>
        <v>0</v>
      </c>
      <c r="W27" s="11">
        <f t="shared" si="9"/>
        <v>0</v>
      </c>
      <c r="X27" s="11">
        <f t="shared" si="10"/>
        <v>0</v>
      </c>
      <c r="Y27" s="11">
        <f t="shared" si="11"/>
        <v>0</v>
      </c>
      <c r="Z27" s="65">
        <f t="shared" si="12"/>
        <v>0</v>
      </c>
      <c r="AA27" s="24">
        <f t="shared" si="13"/>
        <v>0</v>
      </c>
      <c r="AB27">
        <f t="shared" si="14"/>
        <v>0</v>
      </c>
      <c r="AC27" s="46">
        <f>+IFERROR(VLOOKUP(E27,#REF!,24,0),0.2)</f>
        <v>0.2</v>
      </c>
      <c r="AD27" s="42">
        <f>+IFERROR(VLOOKUP(E27,h!$C:$D,2,0),0.3866)</f>
        <v>4.6333000000000005E-5</v>
      </c>
      <c r="AE27" s="42">
        <f>+VLOOKUP(A27,k!$A$1:$G$4,5,0)</f>
        <v>0.35799365240740744</v>
      </c>
      <c r="AF27" s="47">
        <f t="shared" si="15"/>
        <v>0.5580399854074074</v>
      </c>
      <c r="AG27" s="48">
        <f t="shared" si="16"/>
        <v>6.6964798248888888E-2</v>
      </c>
      <c r="AH27" s="20">
        <f>+IFERROR(VLOOKUP(C27,k!$A$7:$L$13,7,0),0)</f>
        <v>0</v>
      </c>
      <c r="AI27" s="20">
        <f t="shared" si="17"/>
        <v>0</v>
      </c>
      <c r="AJ27" s="5">
        <f t="shared" si="18"/>
        <v>0</v>
      </c>
      <c r="AK27" s="57">
        <f t="shared" si="19"/>
        <v>0</v>
      </c>
      <c r="AL27" s="19">
        <f t="shared" si="20"/>
        <v>0</v>
      </c>
      <c r="AM27" s="20">
        <f t="shared" si="21"/>
        <v>0</v>
      </c>
      <c r="AN27" s="27">
        <f t="shared" si="22"/>
        <v>0</v>
      </c>
      <c r="AO27" s="57">
        <f t="shared" si="23"/>
        <v>0</v>
      </c>
      <c r="AP27" s="19">
        <f t="shared" si="24"/>
        <v>0</v>
      </c>
      <c r="AQ27" s="20">
        <f t="shared" si="25"/>
        <v>0</v>
      </c>
      <c r="AR27" s="58">
        <f t="shared" si="26"/>
        <v>0</v>
      </c>
      <c r="AS27" s="1">
        <f t="shared" si="27"/>
        <v>0</v>
      </c>
      <c r="AT27" s="21">
        <f t="shared" si="28"/>
        <v>0</v>
      </c>
      <c r="AU27" s="28">
        <f t="shared" si="29"/>
        <v>0</v>
      </c>
      <c r="AV27" s="19">
        <f t="shared" si="30"/>
        <v>0</v>
      </c>
      <c r="AW27" s="19">
        <f t="shared" si="31"/>
        <v>0</v>
      </c>
      <c r="AX27" s="27">
        <f t="shared" si="32"/>
        <v>0</v>
      </c>
      <c r="AY27" s="1" t="e">
        <f t="shared" si="33"/>
        <v>#DIV/0!</v>
      </c>
      <c r="AZ27" s="1" t="e">
        <f t="shared" si="34"/>
        <v>#DIV/0!</v>
      </c>
    </row>
    <row r="28" spans="1:52" hidden="1" x14ac:dyDescent="0.35">
      <c r="A28" s="29" t="s">
        <v>423</v>
      </c>
      <c r="B28" s="6">
        <v>5000</v>
      </c>
      <c r="C28" s="2" t="e">
        <f>+VLOOKUP(E28,inventario!#REF!,2,0)</f>
        <v>#REF!</v>
      </c>
      <c r="D28" t="str">
        <f t="shared" si="3"/>
        <v>1028-ME</v>
      </c>
      <c r="E28" t="s">
        <v>48</v>
      </c>
      <c r="F28" s="6" t="str">
        <f>+IFERROR(VLOOKUP(E28,#REF!,29,0),"C")</f>
        <v>C</v>
      </c>
      <c r="G28" s="6" t="str">
        <f>+IFERROR(VLOOKUP(E28,#REF!,34,0),"C")</f>
        <v>C</v>
      </c>
      <c r="H28" s="64">
        <f>+IFERROR(VLOOKUP(E28,#REF!,31,0),0)</f>
        <v>0</v>
      </c>
      <c r="I28" s="44">
        <f>+IFERROR(VLOOKUP(E28,#REF!,26,0),0)</f>
        <v>0</v>
      </c>
      <c r="J28" s="44">
        <f>+IFERROR(VLOOKUP(E28,#REF!,30,0),0)</f>
        <v>0</v>
      </c>
      <c r="K28" s="3"/>
      <c r="L28" s="25">
        <f t="shared" si="4"/>
        <v>0.7</v>
      </c>
      <c r="M28" s="26">
        <f t="shared" si="5"/>
        <v>0.52440051270804078</v>
      </c>
      <c r="O28">
        <f>+IFERROR(VLOOKUP(D28,lt!A:J,10,0),15)</f>
        <v>15</v>
      </c>
      <c r="P28">
        <v>2</v>
      </c>
      <c r="Q28">
        <v>1</v>
      </c>
      <c r="R28">
        <v>2</v>
      </c>
      <c r="S28" s="22">
        <f t="shared" si="6"/>
        <v>20</v>
      </c>
      <c r="T28" s="9">
        <v>3</v>
      </c>
      <c r="U28" s="23">
        <f t="shared" si="7"/>
        <v>0.76666666666666672</v>
      </c>
      <c r="V28" s="11">
        <f t="shared" si="8"/>
        <v>0</v>
      </c>
      <c r="W28" s="11">
        <f t="shared" si="9"/>
        <v>0</v>
      </c>
      <c r="X28" s="11">
        <f t="shared" si="10"/>
        <v>0</v>
      </c>
      <c r="Y28" s="11">
        <f t="shared" si="11"/>
        <v>0</v>
      </c>
      <c r="Z28" s="65">
        <f t="shared" si="12"/>
        <v>0</v>
      </c>
      <c r="AA28" s="24">
        <f t="shared" si="13"/>
        <v>0</v>
      </c>
      <c r="AB28">
        <f t="shared" si="14"/>
        <v>0</v>
      </c>
      <c r="AC28" s="46">
        <f>+IFERROR(VLOOKUP(E28,#REF!,24,0),0.2)</f>
        <v>0.2</v>
      </c>
      <c r="AD28" s="105">
        <f>+IFERROR(VLOOKUP(E28,h!$C:$D,2,0),0.3866)</f>
        <v>4.6333000000000005E-5</v>
      </c>
      <c r="AE28" s="42">
        <f>+VLOOKUP(A28,k!$A$1:$G$4,5,0)</f>
        <v>0.35799365240740744</v>
      </c>
      <c r="AF28" s="47">
        <f t="shared" si="15"/>
        <v>0.5580399854074074</v>
      </c>
      <c r="AG28" s="48">
        <f t="shared" si="16"/>
        <v>6.6964798248888888E-2</v>
      </c>
      <c r="AH28" s="20">
        <f>+IFERROR(VLOOKUP(C28,k!$A$7:$L$13,7,0),0)</f>
        <v>0</v>
      </c>
      <c r="AI28" s="20">
        <f t="shared" si="17"/>
        <v>0</v>
      </c>
      <c r="AJ28" s="5">
        <f t="shared" si="18"/>
        <v>0</v>
      </c>
      <c r="AK28" s="57">
        <f t="shared" si="19"/>
        <v>0</v>
      </c>
      <c r="AL28" s="19">
        <f t="shared" si="20"/>
        <v>0</v>
      </c>
      <c r="AM28" s="20">
        <f t="shared" si="21"/>
        <v>0</v>
      </c>
      <c r="AN28" s="27">
        <f t="shared" si="22"/>
        <v>0</v>
      </c>
      <c r="AO28" s="57">
        <f t="shared" si="23"/>
        <v>0</v>
      </c>
      <c r="AP28" s="19">
        <f t="shared" si="24"/>
        <v>0</v>
      </c>
      <c r="AQ28" s="20">
        <f t="shared" si="25"/>
        <v>0</v>
      </c>
      <c r="AR28" s="58">
        <f t="shared" si="26"/>
        <v>0</v>
      </c>
      <c r="AS28" s="1">
        <f t="shared" si="27"/>
        <v>0</v>
      </c>
      <c r="AT28" s="21">
        <f t="shared" si="28"/>
        <v>0</v>
      </c>
      <c r="AU28" s="28">
        <f t="shared" si="29"/>
        <v>0</v>
      </c>
      <c r="AV28" s="19">
        <f t="shared" si="30"/>
        <v>0</v>
      </c>
      <c r="AW28" s="19">
        <f t="shared" si="31"/>
        <v>0</v>
      </c>
      <c r="AX28" s="27">
        <f t="shared" si="32"/>
        <v>0</v>
      </c>
      <c r="AY28" s="1" t="e">
        <f t="shared" si="33"/>
        <v>#DIV/0!</v>
      </c>
      <c r="AZ28" s="1" t="e">
        <f t="shared" si="34"/>
        <v>#DIV/0!</v>
      </c>
    </row>
    <row r="29" spans="1:52" hidden="1" x14ac:dyDescent="0.35">
      <c r="A29" s="29" t="s">
        <v>423</v>
      </c>
      <c r="B29" s="6">
        <v>5000</v>
      </c>
      <c r="C29" s="2" t="e">
        <f>+VLOOKUP(E29,inventario!#REF!,2,0)</f>
        <v>#REF!</v>
      </c>
      <c r="D29" t="str">
        <f t="shared" si="3"/>
        <v>0983-ME</v>
      </c>
      <c r="E29" t="s">
        <v>113</v>
      </c>
      <c r="F29" s="6" t="str">
        <f>+IFERROR(VLOOKUP(E29,#REF!,29,0),"C")</f>
        <v>C</v>
      </c>
      <c r="G29" s="6" t="str">
        <f>+IFERROR(VLOOKUP(E29,#REF!,34,0),"C")</f>
        <v>C</v>
      </c>
      <c r="H29" s="64">
        <f>+IFERROR(VLOOKUP(E29,#REF!,31,0),0)</f>
        <v>0</v>
      </c>
      <c r="I29" s="44">
        <f>+IFERROR(VLOOKUP(E29,#REF!,26,0),0)</f>
        <v>0</v>
      </c>
      <c r="J29" s="44">
        <f>+IFERROR(VLOOKUP(E29,#REF!,30,0),0)</f>
        <v>0</v>
      </c>
      <c r="K29" s="3"/>
      <c r="L29" s="25">
        <f t="shared" si="4"/>
        <v>0.7</v>
      </c>
      <c r="M29" s="26">
        <f t="shared" si="5"/>
        <v>0.52440051270804078</v>
      </c>
      <c r="O29">
        <f>+IFERROR(VLOOKUP(D29,lt!A:J,10,0),15)</f>
        <v>15</v>
      </c>
      <c r="P29">
        <v>2</v>
      </c>
      <c r="Q29">
        <v>1</v>
      </c>
      <c r="R29">
        <v>2</v>
      </c>
      <c r="S29" s="22">
        <f t="shared" si="6"/>
        <v>20</v>
      </c>
      <c r="T29" s="9">
        <v>3</v>
      </c>
      <c r="U29" s="23">
        <f t="shared" si="7"/>
        <v>0.76666666666666672</v>
      </c>
      <c r="V29" s="11">
        <f t="shared" si="8"/>
        <v>0</v>
      </c>
      <c r="W29" s="11">
        <f t="shared" si="9"/>
        <v>0</v>
      </c>
      <c r="X29" s="11">
        <f t="shared" si="10"/>
        <v>0</v>
      </c>
      <c r="Y29" s="11">
        <f t="shared" si="11"/>
        <v>0</v>
      </c>
      <c r="Z29" s="65">
        <f t="shared" si="12"/>
        <v>0</v>
      </c>
      <c r="AA29" s="24">
        <f t="shared" si="13"/>
        <v>0</v>
      </c>
      <c r="AB29">
        <f t="shared" si="14"/>
        <v>0</v>
      </c>
      <c r="AC29" s="46">
        <f>+IFERROR(VLOOKUP(E29,#REF!,24,0),0.2)</f>
        <v>0.2</v>
      </c>
      <c r="AD29" s="42">
        <f>+IFERROR(VLOOKUP(E29,h!$C:$D,2,0),0.3866)</f>
        <v>4.6333000000000005E-5</v>
      </c>
      <c r="AE29" s="42">
        <f>+VLOOKUP(A29,k!$A$1:$G$4,5,0)</f>
        <v>0.35799365240740744</v>
      </c>
      <c r="AF29" s="47">
        <f t="shared" si="15"/>
        <v>0.5580399854074074</v>
      </c>
      <c r="AG29" s="48">
        <f t="shared" si="16"/>
        <v>6.6964798248888888E-2</v>
      </c>
      <c r="AH29" s="20">
        <f>+IFERROR(VLOOKUP(C29,k!$A$7:$L$13,7,0),0)</f>
        <v>0</v>
      </c>
      <c r="AI29" s="20">
        <f t="shared" si="17"/>
        <v>0</v>
      </c>
      <c r="AJ29" s="5">
        <f t="shared" si="18"/>
        <v>0</v>
      </c>
      <c r="AK29" s="57">
        <f t="shared" si="19"/>
        <v>0</v>
      </c>
      <c r="AL29" s="19">
        <f t="shared" si="20"/>
        <v>0</v>
      </c>
      <c r="AM29" s="20">
        <f t="shared" si="21"/>
        <v>0</v>
      </c>
      <c r="AN29" s="27">
        <f t="shared" si="22"/>
        <v>0</v>
      </c>
      <c r="AO29" s="57">
        <f t="shared" si="23"/>
        <v>0</v>
      </c>
      <c r="AP29" s="19">
        <f t="shared" si="24"/>
        <v>0</v>
      </c>
      <c r="AQ29" s="20">
        <f t="shared" si="25"/>
        <v>0</v>
      </c>
      <c r="AR29" s="58">
        <f t="shared" si="26"/>
        <v>0</v>
      </c>
      <c r="AS29" s="1">
        <f t="shared" si="27"/>
        <v>0</v>
      </c>
      <c r="AT29" s="21">
        <f t="shared" si="28"/>
        <v>0</v>
      </c>
      <c r="AU29" s="28">
        <f t="shared" si="29"/>
        <v>0</v>
      </c>
      <c r="AV29" s="19">
        <f t="shared" si="30"/>
        <v>0</v>
      </c>
      <c r="AW29" s="19">
        <f t="shared" si="31"/>
        <v>0</v>
      </c>
      <c r="AX29" s="27">
        <f t="shared" si="32"/>
        <v>0</v>
      </c>
      <c r="AY29" s="1" t="e">
        <f t="shared" si="33"/>
        <v>#DIV/0!</v>
      </c>
      <c r="AZ29" s="1" t="e">
        <f t="shared" si="34"/>
        <v>#DIV/0!</v>
      </c>
    </row>
    <row r="30" spans="1:52" hidden="1" x14ac:dyDescent="0.35">
      <c r="A30" s="29" t="s">
        <v>423</v>
      </c>
      <c r="B30" s="6">
        <v>5000</v>
      </c>
      <c r="C30" s="2" t="e">
        <f>+VLOOKUP(E30,inventario!#REF!,2,0)</f>
        <v>#REF!</v>
      </c>
      <c r="D30" t="str">
        <f t="shared" si="3"/>
        <v>1022-ME</v>
      </c>
      <c r="E30" t="s">
        <v>42</v>
      </c>
      <c r="F30" s="6" t="str">
        <f>+IFERROR(VLOOKUP(E30,#REF!,29,0),"C")</f>
        <v>C</v>
      </c>
      <c r="G30" s="6" t="str">
        <f>+IFERROR(VLOOKUP(E30,#REF!,34,0),"C")</f>
        <v>C</v>
      </c>
      <c r="H30" s="64">
        <f>+IFERROR(VLOOKUP(E30,#REF!,31,0),0)</f>
        <v>0</v>
      </c>
      <c r="I30" s="44">
        <f>+IFERROR(VLOOKUP(E30,#REF!,26,0),0)</f>
        <v>0</v>
      </c>
      <c r="J30" s="44">
        <f>+IFERROR(VLOOKUP(E30,#REF!,30,0),0)</f>
        <v>0</v>
      </c>
      <c r="K30" s="3"/>
      <c r="L30" s="25">
        <f t="shared" si="4"/>
        <v>0.7</v>
      </c>
      <c r="M30" s="26">
        <f t="shared" si="5"/>
        <v>0.52440051270804078</v>
      </c>
      <c r="O30">
        <f>+IFERROR(VLOOKUP(D30,lt!A:J,10,0),15)</f>
        <v>15</v>
      </c>
      <c r="P30">
        <v>2</v>
      </c>
      <c r="Q30">
        <v>1</v>
      </c>
      <c r="R30">
        <v>2</v>
      </c>
      <c r="S30" s="22">
        <f t="shared" si="6"/>
        <v>20</v>
      </c>
      <c r="T30" s="9">
        <v>3</v>
      </c>
      <c r="U30" s="23">
        <f t="shared" si="7"/>
        <v>0.76666666666666672</v>
      </c>
      <c r="V30" s="11">
        <f t="shared" si="8"/>
        <v>0</v>
      </c>
      <c r="W30" s="11">
        <f t="shared" si="9"/>
        <v>0</v>
      </c>
      <c r="X30" s="11">
        <f t="shared" si="10"/>
        <v>0</v>
      </c>
      <c r="Y30" s="11">
        <f t="shared" si="11"/>
        <v>0</v>
      </c>
      <c r="Z30" s="65">
        <f t="shared" si="12"/>
        <v>0</v>
      </c>
      <c r="AA30" s="24">
        <f t="shared" si="13"/>
        <v>0</v>
      </c>
      <c r="AB30">
        <f t="shared" si="14"/>
        <v>0</v>
      </c>
      <c r="AC30" s="46">
        <f>+IFERROR(VLOOKUP(E30,#REF!,24,0),0.2)</f>
        <v>0.2</v>
      </c>
      <c r="AD30" s="42">
        <f>+IFERROR(VLOOKUP(E30,h!$C:$D,2,0),0.3866)</f>
        <v>4.6333000000000005E-5</v>
      </c>
      <c r="AE30" s="42">
        <f>+VLOOKUP(A30,k!$A$1:$G$4,5,0)</f>
        <v>0.35799365240740744</v>
      </c>
      <c r="AF30" s="47">
        <f t="shared" si="15"/>
        <v>0.5580399854074074</v>
      </c>
      <c r="AG30" s="48">
        <f t="shared" si="16"/>
        <v>6.6964798248888888E-2</v>
      </c>
      <c r="AH30" s="20">
        <f>+IFERROR(VLOOKUP(C30,k!$A$7:$L$13,7,0),0)</f>
        <v>0</v>
      </c>
      <c r="AI30" s="20">
        <f t="shared" si="17"/>
        <v>0</v>
      </c>
      <c r="AJ30" s="5">
        <f t="shared" si="18"/>
        <v>0</v>
      </c>
      <c r="AK30" s="57">
        <f t="shared" si="19"/>
        <v>0</v>
      </c>
      <c r="AL30" s="19">
        <f t="shared" si="20"/>
        <v>0</v>
      </c>
      <c r="AM30" s="20">
        <f t="shared" si="21"/>
        <v>0</v>
      </c>
      <c r="AN30" s="27">
        <f t="shared" si="22"/>
        <v>0</v>
      </c>
      <c r="AO30" s="57">
        <f t="shared" si="23"/>
        <v>0</v>
      </c>
      <c r="AP30" s="19">
        <f t="shared" si="24"/>
        <v>0</v>
      </c>
      <c r="AQ30" s="20">
        <f t="shared" si="25"/>
        <v>0</v>
      </c>
      <c r="AR30" s="58">
        <f t="shared" si="26"/>
        <v>0</v>
      </c>
      <c r="AS30" s="1">
        <f t="shared" si="27"/>
        <v>0</v>
      </c>
      <c r="AT30" s="21">
        <f t="shared" si="28"/>
        <v>0</v>
      </c>
      <c r="AU30" s="28">
        <f t="shared" si="29"/>
        <v>0</v>
      </c>
      <c r="AV30" s="19">
        <f t="shared" si="30"/>
        <v>0</v>
      </c>
      <c r="AW30" s="19">
        <f t="shared" si="31"/>
        <v>0</v>
      </c>
      <c r="AX30" s="27">
        <f t="shared" si="32"/>
        <v>0</v>
      </c>
      <c r="AY30" s="1" t="e">
        <f t="shared" si="33"/>
        <v>#DIV/0!</v>
      </c>
      <c r="AZ30" s="1" t="e">
        <f t="shared" si="34"/>
        <v>#DIV/0!</v>
      </c>
    </row>
    <row r="31" spans="1:52" hidden="1" x14ac:dyDescent="0.35">
      <c r="A31" s="29" t="s">
        <v>423</v>
      </c>
      <c r="B31" s="6">
        <v>5000</v>
      </c>
      <c r="C31" s="2" t="e">
        <f>+VLOOKUP(E31,inventario!#REF!,2,0)</f>
        <v>#REF!</v>
      </c>
      <c r="D31" t="str">
        <f t="shared" si="3"/>
        <v>0112-ME</v>
      </c>
      <c r="E31" t="s">
        <v>124</v>
      </c>
      <c r="F31" s="6" t="str">
        <f>+IFERROR(VLOOKUP(E31,#REF!,29,0),"C")</f>
        <v>C</v>
      </c>
      <c r="G31" s="6" t="str">
        <f>+IFERROR(VLOOKUP(E31,#REF!,34,0),"C")</f>
        <v>C</v>
      </c>
      <c r="H31" s="64">
        <f>+IFERROR(VLOOKUP(E31,#REF!,31,0),0)</f>
        <v>0</v>
      </c>
      <c r="I31" s="44">
        <f>+IFERROR(VLOOKUP(E31,#REF!,26,0),0)</f>
        <v>0</v>
      </c>
      <c r="J31" s="44">
        <f>+IFERROR(VLOOKUP(E31,#REF!,30,0),0)</f>
        <v>0</v>
      </c>
      <c r="K31" s="3"/>
      <c r="L31" s="25">
        <f t="shared" si="4"/>
        <v>0.7</v>
      </c>
      <c r="M31" s="26">
        <f t="shared" si="5"/>
        <v>0.52440051270804078</v>
      </c>
      <c r="O31">
        <f>+IFERROR(VLOOKUP(D31,lt!A:J,10,0),15)</f>
        <v>15</v>
      </c>
      <c r="P31">
        <v>2</v>
      </c>
      <c r="Q31">
        <v>1</v>
      </c>
      <c r="R31">
        <v>2</v>
      </c>
      <c r="S31" s="22">
        <f t="shared" si="6"/>
        <v>20</v>
      </c>
      <c r="T31" s="9">
        <v>3</v>
      </c>
      <c r="U31" s="23">
        <f t="shared" si="7"/>
        <v>0.76666666666666672</v>
      </c>
      <c r="V31" s="11">
        <f t="shared" si="8"/>
        <v>0</v>
      </c>
      <c r="W31" s="11">
        <f t="shared" si="9"/>
        <v>0</v>
      </c>
      <c r="X31" s="11">
        <f t="shared" si="10"/>
        <v>0</v>
      </c>
      <c r="Y31" s="11">
        <f t="shared" si="11"/>
        <v>0</v>
      </c>
      <c r="Z31" s="65">
        <f t="shared" si="12"/>
        <v>0</v>
      </c>
      <c r="AA31" s="24">
        <f t="shared" si="13"/>
        <v>0</v>
      </c>
      <c r="AB31">
        <f t="shared" si="14"/>
        <v>0</v>
      </c>
      <c r="AC31" s="46">
        <f>+IFERROR(VLOOKUP(E31,#REF!,24,0),0.2)</f>
        <v>0.2</v>
      </c>
      <c r="AD31" s="42">
        <f>+IFERROR(VLOOKUP(E31,h!$C:$D,2,0),0.3866)</f>
        <v>4.6333000000000005E-5</v>
      </c>
      <c r="AE31" s="42">
        <f>+VLOOKUP(A31,k!$A$1:$G$4,5,0)</f>
        <v>0.35799365240740744</v>
      </c>
      <c r="AF31" s="47">
        <f t="shared" si="15"/>
        <v>0.5580399854074074</v>
      </c>
      <c r="AG31" s="48">
        <f t="shared" si="16"/>
        <v>6.6964798248888888E-2</v>
      </c>
      <c r="AH31" s="20">
        <f>+IFERROR(VLOOKUP(C31,k!$A$7:$L$13,7,0),0)</f>
        <v>0</v>
      </c>
      <c r="AI31" s="20">
        <f t="shared" si="17"/>
        <v>0</v>
      </c>
      <c r="AJ31" s="5">
        <f t="shared" si="18"/>
        <v>0</v>
      </c>
      <c r="AK31" s="57">
        <f t="shared" si="19"/>
        <v>0</v>
      </c>
      <c r="AL31" s="19">
        <f t="shared" si="20"/>
        <v>0</v>
      </c>
      <c r="AM31" s="20">
        <f t="shared" si="21"/>
        <v>0</v>
      </c>
      <c r="AN31" s="27">
        <f t="shared" si="22"/>
        <v>0</v>
      </c>
      <c r="AO31" s="57">
        <f t="shared" si="23"/>
        <v>0</v>
      </c>
      <c r="AP31" s="19">
        <f t="shared" si="24"/>
        <v>0</v>
      </c>
      <c r="AQ31" s="20">
        <f t="shared" si="25"/>
        <v>0</v>
      </c>
      <c r="AR31" s="58">
        <f t="shared" si="26"/>
        <v>0</v>
      </c>
      <c r="AS31" s="1">
        <f t="shared" si="27"/>
        <v>0</v>
      </c>
      <c r="AT31" s="21">
        <f t="shared" si="28"/>
        <v>0</v>
      </c>
      <c r="AU31" s="28">
        <f t="shared" si="29"/>
        <v>0</v>
      </c>
      <c r="AV31" s="19">
        <f t="shared" si="30"/>
        <v>0</v>
      </c>
      <c r="AW31" s="19">
        <f t="shared" si="31"/>
        <v>0</v>
      </c>
      <c r="AX31" s="27">
        <f t="shared" si="32"/>
        <v>0</v>
      </c>
      <c r="AY31" s="1" t="e">
        <f t="shared" si="33"/>
        <v>#DIV/0!</v>
      </c>
      <c r="AZ31" s="1" t="e">
        <f t="shared" si="34"/>
        <v>#DIV/0!</v>
      </c>
    </row>
    <row r="32" spans="1:52" hidden="1" x14ac:dyDescent="0.35">
      <c r="A32" s="29" t="s">
        <v>423</v>
      </c>
      <c r="B32" s="6">
        <v>5000</v>
      </c>
      <c r="C32" s="2" t="e">
        <f>+VLOOKUP(E32,inventario!#REF!,2,0)</f>
        <v>#REF!</v>
      </c>
      <c r="D32" t="str">
        <f t="shared" si="3"/>
        <v>0984-ME</v>
      </c>
      <c r="E32" t="s">
        <v>123</v>
      </c>
      <c r="F32" s="6" t="str">
        <f>+IFERROR(VLOOKUP(E32,#REF!,29,0),"C")</f>
        <v>C</v>
      </c>
      <c r="G32" s="6" t="str">
        <f>+IFERROR(VLOOKUP(E32,#REF!,34,0),"C")</f>
        <v>C</v>
      </c>
      <c r="H32" s="64">
        <f>+IFERROR(VLOOKUP(E32,#REF!,31,0),0)</f>
        <v>0</v>
      </c>
      <c r="I32" s="44">
        <f>+IFERROR(VLOOKUP(E32,#REF!,26,0),0)</f>
        <v>0</v>
      </c>
      <c r="J32" s="44">
        <f>+IFERROR(VLOOKUP(E32,#REF!,30,0),0)</f>
        <v>0</v>
      </c>
      <c r="K32" s="3"/>
      <c r="L32" s="25">
        <f t="shared" si="4"/>
        <v>0.7</v>
      </c>
      <c r="M32" s="26">
        <f t="shared" si="5"/>
        <v>0.52440051270804078</v>
      </c>
      <c r="O32">
        <f>+IFERROR(VLOOKUP(D32,lt!A:J,10,0),15)</f>
        <v>15</v>
      </c>
      <c r="P32">
        <v>2</v>
      </c>
      <c r="Q32">
        <v>1</v>
      </c>
      <c r="R32">
        <v>2</v>
      </c>
      <c r="S32" s="22">
        <f t="shared" si="6"/>
        <v>20</v>
      </c>
      <c r="T32" s="9">
        <v>3</v>
      </c>
      <c r="U32" s="23">
        <f t="shared" si="7"/>
        <v>0.76666666666666672</v>
      </c>
      <c r="V32" s="11">
        <f t="shared" si="8"/>
        <v>0</v>
      </c>
      <c r="W32" s="11">
        <f t="shared" si="9"/>
        <v>0</v>
      </c>
      <c r="X32" s="11">
        <f t="shared" si="10"/>
        <v>0</v>
      </c>
      <c r="Y32" s="11">
        <f t="shared" si="11"/>
        <v>0</v>
      </c>
      <c r="Z32" s="65">
        <f t="shared" si="12"/>
        <v>0</v>
      </c>
      <c r="AA32" s="24">
        <f t="shared" si="13"/>
        <v>0</v>
      </c>
      <c r="AB32">
        <f t="shared" si="14"/>
        <v>0</v>
      </c>
      <c r="AC32" s="46">
        <f>+IFERROR(VLOOKUP(E32,#REF!,24,0),0.2)</f>
        <v>0.2</v>
      </c>
      <c r="AD32" s="42">
        <f>+IFERROR(VLOOKUP(E32,h!$C:$D,2,0),0.3866)</f>
        <v>4.6333000000000005E-5</v>
      </c>
      <c r="AE32" s="42">
        <f>+VLOOKUP(A32,k!$A$1:$G$4,5,0)</f>
        <v>0.35799365240740744</v>
      </c>
      <c r="AF32" s="47">
        <f t="shared" si="15"/>
        <v>0.5580399854074074</v>
      </c>
      <c r="AG32" s="48">
        <f t="shared" si="16"/>
        <v>6.6964798248888888E-2</v>
      </c>
      <c r="AH32" s="20">
        <f>+IFERROR(VLOOKUP(C32,k!$A$7:$L$13,7,0),0)</f>
        <v>0</v>
      </c>
      <c r="AI32" s="20">
        <f t="shared" si="17"/>
        <v>0</v>
      </c>
      <c r="AJ32" s="5">
        <f t="shared" si="18"/>
        <v>0</v>
      </c>
      <c r="AK32" s="57">
        <f t="shared" si="19"/>
        <v>0</v>
      </c>
      <c r="AL32" s="19">
        <f t="shared" si="20"/>
        <v>0</v>
      </c>
      <c r="AM32" s="20">
        <f t="shared" si="21"/>
        <v>0</v>
      </c>
      <c r="AN32" s="27">
        <f t="shared" si="22"/>
        <v>0</v>
      </c>
      <c r="AO32" s="57">
        <f t="shared" si="23"/>
        <v>0</v>
      </c>
      <c r="AP32" s="19">
        <f t="shared" si="24"/>
        <v>0</v>
      </c>
      <c r="AQ32" s="20">
        <f t="shared" si="25"/>
        <v>0</v>
      </c>
      <c r="AR32" s="58">
        <f t="shared" si="26"/>
        <v>0</v>
      </c>
      <c r="AS32" s="1">
        <f t="shared" si="27"/>
        <v>0</v>
      </c>
      <c r="AT32" s="21">
        <f t="shared" si="28"/>
        <v>0</v>
      </c>
      <c r="AU32" s="28">
        <f t="shared" si="29"/>
        <v>0</v>
      </c>
      <c r="AV32" s="19">
        <f t="shared" si="30"/>
        <v>0</v>
      </c>
      <c r="AW32" s="19">
        <f t="shared" si="31"/>
        <v>0</v>
      </c>
      <c r="AX32" s="27">
        <f t="shared" si="32"/>
        <v>0</v>
      </c>
      <c r="AY32" s="1" t="e">
        <f t="shared" si="33"/>
        <v>#DIV/0!</v>
      </c>
      <c r="AZ32" s="1" t="e">
        <f t="shared" si="34"/>
        <v>#DIV/0!</v>
      </c>
    </row>
    <row r="33" spans="1:52" hidden="1" x14ac:dyDescent="0.35">
      <c r="A33" s="29" t="s">
        <v>423</v>
      </c>
      <c r="B33" s="6">
        <v>5000</v>
      </c>
      <c r="C33" s="2" t="e">
        <f>+VLOOKUP(E33,inventario!#REF!,2,0)</f>
        <v>#REF!</v>
      </c>
      <c r="D33" t="str">
        <f t="shared" si="3"/>
        <v>0996-ME</v>
      </c>
      <c r="E33" t="s">
        <v>121</v>
      </c>
      <c r="F33" s="6" t="str">
        <f>+IFERROR(VLOOKUP(E33,#REF!,29,0),"C")</f>
        <v>C</v>
      </c>
      <c r="G33" s="6" t="str">
        <f>+IFERROR(VLOOKUP(E33,#REF!,34,0),"C")</f>
        <v>C</v>
      </c>
      <c r="H33" s="64">
        <f>+IFERROR(VLOOKUP(E33,#REF!,31,0),0)</f>
        <v>0</v>
      </c>
      <c r="I33" s="44">
        <f>+IFERROR(VLOOKUP(E33,#REF!,26,0),0)</f>
        <v>0</v>
      </c>
      <c r="J33" s="44">
        <f>+IFERROR(VLOOKUP(E33,#REF!,30,0),0)</f>
        <v>0</v>
      </c>
      <c r="K33" s="3"/>
      <c r="L33" s="25">
        <f t="shared" si="4"/>
        <v>0.7</v>
      </c>
      <c r="M33" s="26">
        <f t="shared" si="5"/>
        <v>0.52440051270804078</v>
      </c>
      <c r="O33">
        <f>+IFERROR(VLOOKUP(D33,lt!A:J,10,0),15)</f>
        <v>15</v>
      </c>
      <c r="P33">
        <v>2</v>
      </c>
      <c r="Q33">
        <v>1</v>
      </c>
      <c r="R33">
        <v>2</v>
      </c>
      <c r="S33" s="22">
        <f t="shared" si="6"/>
        <v>20</v>
      </c>
      <c r="T33" s="9">
        <v>3</v>
      </c>
      <c r="U33" s="23">
        <f t="shared" si="7"/>
        <v>0.76666666666666672</v>
      </c>
      <c r="V33" s="11">
        <f t="shared" si="8"/>
        <v>0</v>
      </c>
      <c r="W33" s="11">
        <f t="shared" si="9"/>
        <v>0</v>
      </c>
      <c r="X33" s="11">
        <f t="shared" si="10"/>
        <v>0</v>
      </c>
      <c r="Y33" s="11">
        <f t="shared" si="11"/>
        <v>0</v>
      </c>
      <c r="Z33" s="65">
        <f t="shared" si="12"/>
        <v>0</v>
      </c>
      <c r="AA33" s="24">
        <f t="shared" si="13"/>
        <v>0</v>
      </c>
      <c r="AB33">
        <f t="shared" si="14"/>
        <v>0</v>
      </c>
      <c r="AC33" s="46">
        <f>+IFERROR(VLOOKUP(E33,#REF!,24,0),0.2)</f>
        <v>0.2</v>
      </c>
      <c r="AD33" s="42">
        <f>+IFERROR(VLOOKUP(E33,h!$C:$D,2,0),0.3866)</f>
        <v>4.6333000000000005E-5</v>
      </c>
      <c r="AE33" s="42">
        <f>+VLOOKUP(A33,k!$A$1:$G$4,5,0)</f>
        <v>0.35799365240740744</v>
      </c>
      <c r="AF33" s="47">
        <f t="shared" si="15"/>
        <v>0.5580399854074074</v>
      </c>
      <c r="AG33" s="48">
        <f t="shared" si="16"/>
        <v>6.6964798248888888E-2</v>
      </c>
      <c r="AH33" s="20">
        <f>+IFERROR(VLOOKUP(C33,k!$A$7:$L$13,7,0),0)</f>
        <v>0</v>
      </c>
      <c r="AI33" s="20">
        <f t="shared" si="17"/>
        <v>0</v>
      </c>
      <c r="AJ33" s="5">
        <f t="shared" si="18"/>
        <v>0</v>
      </c>
      <c r="AK33" s="57">
        <f t="shared" si="19"/>
        <v>0</v>
      </c>
      <c r="AL33" s="19">
        <f t="shared" si="20"/>
        <v>0</v>
      </c>
      <c r="AM33" s="20">
        <f t="shared" si="21"/>
        <v>0</v>
      </c>
      <c r="AN33" s="27">
        <f t="shared" si="22"/>
        <v>0</v>
      </c>
      <c r="AO33" s="57">
        <f t="shared" si="23"/>
        <v>0</v>
      </c>
      <c r="AP33" s="19">
        <f t="shared" si="24"/>
        <v>0</v>
      </c>
      <c r="AQ33" s="20">
        <f t="shared" si="25"/>
        <v>0</v>
      </c>
      <c r="AR33" s="58">
        <f t="shared" si="26"/>
        <v>0</v>
      </c>
      <c r="AS33" s="1">
        <f t="shared" si="27"/>
        <v>0</v>
      </c>
      <c r="AT33" s="21">
        <f t="shared" si="28"/>
        <v>0</v>
      </c>
      <c r="AU33" s="28">
        <f t="shared" si="29"/>
        <v>0</v>
      </c>
      <c r="AV33" s="19">
        <f t="shared" si="30"/>
        <v>0</v>
      </c>
      <c r="AW33" s="19">
        <f t="shared" si="31"/>
        <v>0</v>
      </c>
      <c r="AX33" s="27">
        <f t="shared" si="32"/>
        <v>0</v>
      </c>
      <c r="AY33" s="1" t="e">
        <f t="shared" si="33"/>
        <v>#DIV/0!</v>
      </c>
      <c r="AZ33" s="1" t="e">
        <f t="shared" si="34"/>
        <v>#DIV/0!</v>
      </c>
    </row>
    <row r="34" spans="1:52" hidden="1" x14ac:dyDescent="0.35">
      <c r="A34" s="29" t="s">
        <v>423</v>
      </c>
      <c r="B34" s="6">
        <v>5000</v>
      </c>
      <c r="C34" s="2" t="e">
        <f>+VLOOKUP(E34,inventario!#REF!,2,0)</f>
        <v>#REF!</v>
      </c>
      <c r="D34" t="str">
        <f t="shared" si="3"/>
        <v>0174-ME</v>
      </c>
      <c r="E34" t="s">
        <v>122</v>
      </c>
      <c r="F34" s="6" t="str">
        <f>+IFERROR(VLOOKUP(E34,#REF!,29,0),"C")</f>
        <v>C</v>
      </c>
      <c r="G34" s="6" t="str">
        <f>+IFERROR(VLOOKUP(E34,#REF!,34,0),"C")</f>
        <v>C</v>
      </c>
      <c r="H34" s="64">
        <f>+IFERROR(VLOOKUP(E34,#REF!,31,0),0)</f>
        <v>0</v>
      </c>
      <c r="I34" s="44">
        <f>+IFERROR(VLOOKUP(E34,#REF!,26,0),0)</f>
        <v>0</v>
      </c>
      <c r="J34" s="44">
        <f>+IFERROR(VLOOKUP(E34,#REF!,30,0),0)</f>
        <v>0</v>
      </c>
      <c r="K34" s="3"/>
      <c r="L34" s="25">
        <f t="shared" si="4"/>
        <v>0.7</v>
      </c>
      <c r="M34" s="26">
        <f t="shared" si="5"/>
        <v>0.52440051270804078</v>
      </c>
      <c r="O34">
        <f>+IFERROR(VLOOKUP(D34,lt!A:J,10,0),15)</f>
        <v>15</v>
      </c>
      <c r="P34">
        <v>2</v>
      </c>
      <c r="Q34">
        <v>1</v>
      </c>
      <c r="R34">
        <v>2</v>
      </c>
      <c r="S34" s="22">
        <f t="shared" si="6"/>
        <v>20</v>
      </c>
      <c r="T34" s="9">
        <v>3</v>
      </c>
      <c r="U34" s="23">
        <f t="shared" si="7"/>
        <v>0.76666666666666672</v>
      </c>
      <c r="V34" s="11">
        <f t="shared" si="8"/>
        <v>0</v>
      </c>
      <c r="W34" s="11">
        <f t="shared" si="9"/>
        <v>0</v>
      </c>
      <c r="X34" s="11">
        <f t="shared" si="10"/>
        <v>0</v>
      </c>
      <c r="Y34" s="11">
        <f t="shared" si="11"/>
        <v>0</v>
      </c>
      <c r="Z34" s="65">
        <f t="shared" si="12"/>
        <v>0</v>
      </c>
      <c r="AA34" s="24">
        <f t="shared" si="13"/>
        <v>0</v>
      </c>
      <c r="AB34">
        <f t="shared" si="14"/>
        <v>0</v>
      </c>
      <c r="AC34" s="46">
        <f>+IFERROR(VLOOKUP(E34,#REF!,24,0),0.2)</f>
        <v>0.2</v>
      </c>
      <c r="AD34" s="42">
        <f>+IFERROR(VLOOKUP(E34,h!$C:$D,2,0),0.3866)</f>
        <v>4.6333000000000005E-5</v>
      </c>
      <c r="AE34" s="42">
        <f>+VLOOKUP(A34,k!$A$1:$G$4,5,0)</f>
        <v>0.35799365240740744</v>
      </c>
      <c r="AF34" s="47">
        <f t="shared" si="15"/>
        <v>0.5580399854074074</v>
      </c>
      <c r="AG34" s="48">
        <f t="shared" si="16"/>
        <v>6.6964798248888888E-2</v>
      </c>
      <c r="AH34" s="20">
        <f>+IFERROR(VLOOKUP(C34,k!$A$7:$L$13,7,0),0)</f>
        <v>0</v>
      </c>
      <c r="AI34" s="20">
        <f t="shared" si="17"/>
        <v>0</v>
      </c>
      <c r="AJ34" s="5">
        <f t="shared" si="18"/>
        <v>0</v>
      </c>
      <c r="AK34" s="57">
        <f t="shared" si="19"/>
        <v>0</v>
      </c>
      <c r="AL34" s="19">
        <f t="shared" si="20"/>
        <v>0</v>
      </c>
      <c r="AM34" s="20">
        <f t="shared" si="21"/>
        <v>0</v>
      </c>
      <c r="AN34" s="27">
        <f t="shared" si="22"/>
        <v>0</v>
      </c>
      <c r="AO34" s="57">
        <f t="shared" si="23"/>
        <v>0</v>
      </c>
      <c r="AP34" s="19">
        <f t="shared" si="24"/>
        <v>0</v>
      </c>
      <c r="AQ34" s="20">
        <f t="shared" si="25"/>
        <v>0</v>
      </c>
      <c r="AR34" s="58">
        <f t="shared" si="26"/>
        <v>0</v>
      </c>
      <c r="AS34" s="1">
        <f t="shared" si="27"/>
        <v>0</v>
      </c>
      <c r="AT34" s="21">
        <f t="shared" si="28"/>
        <v>0</v>
      </c>
      <c r="AU34" s="28">
        <f t="shared" si="29"/>
        <v>0</v>
      </c>
      <c r="AV34" s="19">
        <f t="shared" si="30"/>
        <v>0</v>
      </c>
      <c r="AW34" s="19">
        <f t="shared" si="31"/>
        <v>0</v>
      </c>
      <c r="AX34" s="27">
        <f t="shared" si="32"/>
        <v>0</v>
      </c>
      <c r="AY34" s="1" t="e">
        <f t="shared" si="33"/>
        <v>#DIV/0!</v>
      </c>
      <c r="AZ34" s="1" t="e">
        <f t="shared" si="34"/>
        <v>#DIV/0!</v>
      </c>
    </row>
    <row r="35" spans="1:52" hidden="1" x14ac:dyDescent="0.35">
      <c r="A35" s="29" t="s">
        <v>423</v>
      </c>
      <c r="B35" s="6">
        <v>1000</v>
      </c>
      <c r="C35" s="2" t="e">
        <f>+VLOOKUP(E35,inventario!#REF!,2,0)</f>
        <v>#REF!</v>
      </c>
      <c r="D35" t="str">
        <f t="shared" si="3"/>
        <v>9517</v>
      </c>
      <c r="E35" t="s">
        <v>129</v>
      </c>
      <c r="F35" s="6" t="str">
        <f>+IFERROR(VLOOKUP(E35,#REF!,29,0),"C")</f>
        <v>C</v>
      </c>
      <c r="G35" s="6" t="str">
        <f>+IFERROR(VLOOKUP(E35,#REF!,34,0),"C")</f>
        <v>C</v>
      </c>
      <c r="H35" s="64">
        <f>+IFERROR(VLOOKUP(E35,#REF!,31,0),0)</f>
        <v>0</v>
      </c>
      <c r="I35" s="44">
        <f>+IFERROR(VLOOKUP(E35,#REF!,26,0),0)</f>
        <v>0</v>
      </c>
      <c r="J35" s="44">
        <f>+IFERROR(VLOOKUP(E35,#REF!,30,0),0)</f>
        <v>0</v>
      </c>
      <c r="K35" s="3"/>
      <c r="L35" s="25">
        <f t="shared" si="4"/>
        <v>0.7</v>
      </c>
      <c r="M35" s="26">
        <f t="shared" si="5"/>
        <v>0.52440051270804078</v>
      </c>
      <c r="O35">
        <f>+IFERROR(VLOOKUP(D35,lt!A:J,10,0),15)</f>
        <v>15</v>
      </c>
      <c r="P35">
        <v>2</v>
      </c>
      <c r="Q35">
        <v>1</v>
      </c>
      <c r="R35">
        <v>2</v>
      </c>
      <c r="S35" s="22">
        <f t="shared" si="6"/>
        <v>20</v>
      </c>
      <c r="T35" s="9">
        <v>3</v>
      </c>
      <c r="U35" s="23">
        <f t="shared" si="7"/>
        <v>0.76666666666666672</v>
      </c>
      <c r="V35" s="11">
        <f t="shared" si="8"/>
        <v>0</v>
      </c>
      <c r="W35" s="11">
        <f t="shared" si="9"/>
        <v>0</v>
      </c>
      <c r="X35" s="11">
        <f t="shared" si="10"/>
        <v>0</v>
      </c>
      <c r="Y35" s="11">
        <f t="shared" si="11"/>
        <v>0</v>
      </c>
      <c r="Z35" s="65">
        <f t="shared" si="12"/>
        <v>0</v>
      </c>
      <c r="AA35" s="24">
        <f t="shared" si="13"/>
        <v>0</v>
      </c>
      <c r="AB35">
        <f t="shared" si="14"/>
        <v>0</v>
      </c>
      <c r="AC35" s="46">
        <f>+IFERROR(VLOOKUP(E35,#REF!,24,0),0.2)</f>
        <v>0.2</v>
      </c>
      <c r="AD35" s="42">
        <f>+IFERROR(VLOOKUP(E35,h!$C:$D,2,0),0.3866)</f>
        <v>4.6333000000000005E-5</v>
      </c>
      <c r="AE35" s="42">
        <f>+VLOOKUP(A35,k!$A$1:$G$4,5,0)</f>
        <v>0.35799365240740744</v>
      </c>
      <c r="AF35" s="47">
        <f t="shared" si="15"/>
        <v>0.5580399854074074</v>
      </c>
      <c r="AG35" s="48">
        <f t="shared" si="16"/>
        <v>6.6964798248888888E-2</v>
      </c>
      <c r="AH35" s="20">
        <f>+IFERROR(VLOOKUP(C35,k!$A$7:$L$13,7,0),0)</f>
        <v>0</v>
      </c>
      <c r="AI35" s="20">
        <f t="shared" si="17"/>
        <v>0</v>
      </c>
      <c r="AJ35" s="5">
        <f t="shared" si="18"/>
        <v>0</v>
      </c>
      <c r="AK35" s="57">
        <f t="shared" si="19"/>
        <v>0</v>
      </c>
      <c r="AL35" s="19">
        <f t="shared" si="20"/>
        <v>0</v>
      </c>
      <c r="AM35" s="20">
        <f t="shared" si="21"/>
        <v>0</v>
      </c>
      <c r="AN35" s="27">
        <f t="shared" si="22"/>
        <v>0</v>
      </c>
      <c r="AO35" s="57">
        <f t="shared" si="23"/>
        <v>0</v>
      </c>
      <c r="AP35" s="19">
        <f t="shared" si="24"/>
        <v>0</v>
      </c>
      <c r="AQ35" s="20">
        <f t="shared" si="25"/>
        <v>0</v>
      </c>
      <c r="AR35" s="58">
        <f t="shared" si="26"/>
        <v>0</v>
      </c>
      <c r="AS35" s="1">
        <f t="shared" si="27"/>
        <v>0</v>
      </c>
      <c r="AT35" s="21">
        <f t="shared" si="28"/>
        <v>0</v>
      </c>
      <c r="AU35" s="28">
        <f t="shared" si="29"/>
        <v>0</v>
      </c>
      <c r="AV35" s="19">
        <f t="shared" si="30"/>
        <v>0</v>
      </c>
      <c r="AW35" s="19">
        <f t="shared" si="31"/>
        <v>0</v>
      </c>
      <c r="AX35" s="27">
        <f t="shared" si="32"/>
        <v>0</v>
      </c>
      <c r="AY35" s="1" t="e">
        <f t="shared" si="33"/>
        <v>#DIV/0!</v>
      </c>
      <c r="AZ35" s="1" t="e">
        <f t="shared" si="34"/>
        <v>#DIV/0!</v>
      </c>
    </row>
    <row r="36" spans="1:52" hidden="1" x14ac:dyDescent="0.35">
      <c r="A36" s="29" t="s">
        <v>423</v>
      </c>
      <c r="B36" s="6">
        <v>5000</v>
      </c>
      <c r="C36" s="2" t="e">
        <f>+VLOOKUP(E36,inventario!#REF!,2,0)</f>
        <v>#REF!</v>
      </c>
      <c r="D36" t="str">
        <f t="shared" si="3"/>
        <v>9534</v>
      </c>
      <c r="E36" t="s">
        <v>41</v>
      </c>
      <c r="F36" s="6" t="str">
        <f>+IFERROR(VLOOKUP(E36,#REF!,29,0),"C")</f>
        <v>C</v>
      </c>
      <c r="G36" s="6" t="str">
        <f>+IFERROR(VLOOKUP(E36,#REF!,34,0),"C")</f>
        <v>C</v>
      </c>
      <c r="H36" s="64">
        <f>+IFERROR(VLOOKUP(E36,#REF!,31,0),0)</f>
        <v>0</v>
      </c>
      <c r="I36" s="44">
        <f>+IFERROR(VLOOKUP(E36,#REF!,26,0),0)</f>
        <v>0</v>
      </c>
      <c r="J36" s="44">
        <f>+IFERROR(VLOOKUP(E36,#REF!,30,0),0)</f>
        <v>0</v>
      </c>
      <c r="K36" s="3"/>
      <c r="L36" s="25">
        <f t="shared" si="4"/>
        <v>0.7</v>
      </c>
      <c r="M36" s="26">
        <f t="shared" si="5"/>
        <v>0.52440051270804078</v>
      </c>
      <c r="O36">
        <f>+IFERROR(VLOOKUP(D36,lt!A:J,10,0),15)</f>
        <v>15</v>
      </c>
      <c r="P36">
        <v>2</v>
      </c>
      <c r="Q36">
        <v>1</v>
      </c>
      <c r="R36">
        <v>2</v>
      </c>
      <c r="S36" s="22">
        <f t="shared" si="6"/>
        <v>20</v>
      </c>
      <c r="T36" s="9">
        <v>3</v>
      </c>
      <c r="U36" s="23">
        <f t="shared" si="7"/>
        <v>0.76666666666666672</v>
      </c>
      <c r="V36" s="11">
        <f t="shared" si="8"/>
        <v>0</v>
      </c>
      <c r="W36" s="11">
        <f t="shared" si="9"/>
        <v>0</v>
      </c>
      <c r="X36" s="11">
        <f t="shared" si="10"/>
        <v>0</v>
      </c>
      <c r="Y36" s="11">
        <f t="shared" si="11"/>
        <v>0</v>
      </c>
      <c r="Z36" s="65">
        <f t="shared" si="12"/>
        <v>0</v>
      </c>
      <c r="AA36" s="24">
        <f t="shared" si="13"/>
        <v>0</v>
      </c>
      <c r="AB36">
        <f t="shared" si="14"/>
        <v>0</v>
      </c>
      <c r="AC36" s="46">
        <f>+IFERROR(VLOOKUP(E36,#REF!,24,0),0.2)</f>
        <v>0.2</v>
      </c>
      <c r="AD36" s="42">
        <f>+IFERROR(VLOOKUP(E36,h!$C:$D,2,0),0.3866)</f>
        <v>4.6333000000000005E-5</v>
      </c>
      <c r="AE36" s="42">
        <f>+VLOOKUP(A36,k!$A$1:$G$4,5,0)</f>
        <v>0.35799365240740744</v>
      </c>
      <c r="AF36" s="47">
        <f t="shared" si="15"/>
        <v>0.5580399854074074</v>
      </c>
      <c r="AG36" s="48">
        <f t="shared" si="16"/>
        <v>6.6964798248888888E-2</v>
      </c>
      <c r="AH36" s="20">
        <f>+IFERROR(VLOOKUP(C36,k!$A$7:$L$13,7,0),0)</f>
        <v>0</v>
      </c>
      <c r="AI36" s="20">
        <f t="shared" si="17"/>
        <v>0</v>
      </c>
      <c r="AJ36" s="5">
        <f t="shared" si="18"/>
        <v>0</v>
      </c>
      <c r="AK36" s="57">
        <f t="shared" si="19"/>
        <v>0</v>
      </c>
      <c r="AL36" s="19">
        <f t="shared" si="20"/>
        <v>0</v>
      </c>
      <c r="AM36" s="20">
        <f t="shared" si="21"/>
        <v>0</v>
      </c>
      <c r="AN36" s="27">
        <f t="shared" si="22"/>
        <v>0</v>
      </c>
      <c r="AO36" s="57">
        <f t="shared" si="23"/>
        <v>0</v>
      </c>
      <c r="AP36" s="19">
        <f t="shared" si="24"/>
        <v>0</v>
      </c>
      <c r="AQ36" s="20">
        <f t="shared" si="25"/>
        <v>0</v>
      </c>
      <c r="AR36" s="58">
        <f t="shared" si="26"/>
        <v>0</v>
      </c>
      <c r="AS36" s="1">
        <f t="shared" si="27"/>
        <v>0</v>
      </c>
      <c r="AT36" s="21">
        <f t="shared" si="28"/>
        <v>0</v>
      </c>
      <c r="AU36" s="28">
        <f t="shared" si="29"/>
        <v>0</v>
      </c>
      <c r="AV36" s="19">
        <f t="shared" si="30"/>
        <v>0</v>
      </c>
      <c r="AW36" s="19">
        <f t="shared" si="31"/>
        <v>0</v>
      </c>
      <c r="AX36" s="27">
        <f t="shared" si="32"/>
        <v>0</v>
      </c>
      <c r="AY36" s="1" t="e">
        <f t="shared" si="33"/>
        <v>#DIV/0!</v>
      </c>
      <c r="AZ36" s="1" t="e">
        <f t="shared" si="34"/>
        <v>#DIV/0!</v>
      </c>
    </row>
    <row r="37" spans="1:52" hidden="1" x14ac:dyDescent="0.35">
      <c r="A37" s="29" t="s">
        <v>423</v>
      </c>
      <c r="B37" s="6">
        <v>5000</v>
      </c>
      <c r="C37" s="2" t="e">
        <f>+VLOOKUP(E37,inventario!#REF!,2,0)</f>
        <v>#REF!</v>
      </c>
      <c r="D37" t="str">
        <f t="shared" si="3"/>
        <v>0077-ME</v>
      </c>
      <c r="E37" t="s">
        <v>63</v>
      </c>
      <c r="F37" s="6" t="str">
        <f>+IFERROR(VLOOKUP(E37,#REF!,29,0),"C")</f>
        <v>C</v>
      </c>
      <c r="G37" s="6" t="str">
        <f>+IFERROR(VLOOKUP(E37,#REF!,34,0),"C")</f>
        <v>C</v>
      </c>
      <c r="H37" s="64">
        <f>+IFERROR(VLOOKUP(E37,#REF!,31,0),0)</f>
        <v>0</v>
      </c>
      <c r="I37" s="44">
        <f>+IFERROR(VLOOKUP(E37,#REF!,26,0),0)</f>
        <v>0</v>
      </c>
      <c r="J37" s="44">
        <f>+IFERROR(VLOOKUP(E37,#REF!,30,0),0)</f>
        <v>0</v>
      </c>
      <c r="K37" s="3"/>
      <c r="L37" s="25">
        <f t="shared" si="4"/>
        <v>0.7</v>
      </c>
      <c r="M37" s="26">
        <f t="shared" si="5"/>
        <v>0.52440051270804078</v>
      </c>
      <c r="O37">
        <f>+IFERROR(VLOOKUP(D37,lt!A:J,10,0),15)</f>
        <v>15</v>
      </c>
      <c r="P37">
        <v>2</v>
      </c>
      <c r="Q37">
        <v>1</v>
      </c>
      <c r="R37">
        <v>2</v>
      </c>
      <c r="S37" s="22">
        <f t="shared" si="6"/>
        <v>20</v>
      </c>
      <c r="T37" s="9">
        <v>3</v>
      </c>
      <c r="U37" s="23">
        <f t="shared" si="7"/>
        <v>0.76666666666666672</v>
      </c>
      <c r="V37" s="11">
        <f t="shared" si="8"/>
        <v>0</v>
      </c>
      <c r="W37" s="11">
        <f t="shared" si="9"/>
        <v>0</v>
      </c>
      <c r="X37" s="11">
        <f t="shared" si="10"/>
        <v>0</v>
      </c>
      <c r="Y37" s="11">
        <f t="shared" si="11"/>
        <v>0</v>
      </c>
      <c r="Z37" s="65">
        <f t="shared" si="12"/>
        <v>0</v>
      </c>
      <c r="AA37" s="24">
        <f t="shared" si="13"/>
        <v>0</v>
      </c>
      <c r="AB37">
        <f t="shared" si="14"/>
        <v>0</v>
      </c>
      <c r="AC37" s="46">
        <f>+IFERROR(VLOOKUP(E37,#REF!,24,0),0.2)</f>
        <v>0.2</v>
      </c>
      <c r="AD37" s="42">
        <f>+IFERROR(VLOOKUP(E37,h!$C:$D,2,0),0.3866)</f>
        <v>4.6333000000000005E-5</v>
      </c>
      <c r="AE37" s="42">
        <f>+VLOOKUP(A37,k!$A$1:$G$4,5,0)</f>
        <v>0.35799365240740744</v>
      </c>
      <c r="AF37" s="47">
        <f t="shared" si="15"/>
        <v>0.5580399854074074</v>
      </c>
      <c r="AG37" s="48">
        <f t="shared" si="16"/>
        <v>6.6964798248888888E-2</v>
      </c>
      <c r="AH37" s="20">
        <f>+IFERROR(VLOOKUP(C37,k!$A$7:$L$13,7,0),0)</f>
        <v>0</v>
      </c>
      <c r="AI37" s="20">
        <f t="shared" si="17"/>
        <v>0</v>
      </c>
      <c r="AJ37" s="5">
        <f t="shared" si="18"/>
        <v>0</v>
      </c>
      <c r="AK37" s="57">
        <f t="shared" si="19"/>
        <v>0</v>
      </c>
      <c r="AL37" s="19">
        <f t="shared" si="20"/>
        <v>0</v>
      </c>
      <c r="AM37" s="20">
        <f t="shared" si="21"/>
        <v>0</v>
      </c>
      <c r="AN37" s="27">
        <f t="shared" si="22"/>
        <v>0</v>
      </c>
      <c r="AO37" s="57">
        <f t="shared" ref="AO37:AO68" si="37">+CEILING(IFERROR(SQRT(2*AI37*I37/AG37),0),B37)</f>
        <v>0</v>
      </c>
      <c r="AP37" s="19">
        <f t="shared" si="24"/>
        <v>0</v>
      </c>
      <c r="AQ37" s="20">
        <f t="shared" si="25"/>
        <v>0</v>
      </c>
      <c r="AR37" s="58">
        <f t="shared" si="26"/>
        <v>0</v>
      </c>
      <c r="AS37" s="1">
        <f t="shared" si="27"/>
        <v>0</v>
      </c>
      <c r="AT37" s="21">
        <f t="shared" si="28"/>
        <v>0</v>
      </c>
      <c r="AU37" s="28">
        <f t="shared" si="29"/>
        <v>0</v>
      </c>
      <c r="AV37" s="19">
        <f t="shared" si="30"/>
        <v>0</v>
      </c>
      <c r="AW37" s="19">
        <f t="shared" si="31"/>
        <v>0</v>
      </c>
      <c r="AX37" s="27">
        <f t="shared" si="32"/>
        <v>0</v>
      </c>
      <c r="AY37" s="1" t="e">
        <f t="shared" si="33"/>
        <v>#DIV/0!</v>
      </c>
      <c r="AZ37" s="1" t="e">
        <f t="shared" si="34"/>
        <v>#DIV/0!</v>
      </c>
    </row>
    <row r="38" spans="1:52" hidden="1" x14ac:dyDescent="0.35">
      <c r="A38" s="29" t="s">
        <v>423</v>
      </c>
      <c r="B38" s="6">
        <v>1000</v>
      </c>
      <c r="C38" s="2" t="e">
        <f>+VLOOKUP(E38,inventario!#REF!,2,0)</f>
        <v>#REF!</v>
      </c>
      <c r="D38" t="str">
        <f t="shared" si="3"/>
        <v>0084-ME</v>
      </c>
      <c r="E38" t="s">
        <v>65</v>
      </c>
      <c r="F38" s="6" t="str">
        <f>+IFERROR(VLOOKUP(E38,#REF!,29,0),"C")</f>
        <v>C</v>
      </c>
      <c r="G38" s="6" t="str">
        <f>+IFERROR(VLOOKUP(E38,#REF!,34,0),"C")</f>
        <v>C</v>
      </c>
      <c r="H38" s="64">
        <f>+IFERROR(VLOOKUP(E38,#REF!,31,0),0)</f>
        <v>0</v>
      </c>
      <c r="I38" s="44">
        <f>+IFERROR(VLOOKUP(E38,#REF!,26,0),0)</f>
        <v>0</v>
      </c>
      <c r="J38" s="44">
        <f>+IFERROR(VLOOKUP(E38,#REF!,30,0),0)</f>
        <v>0</v>
      </c>
      <c r="K38" s="3"/>
      <c r="L38" s="25">
        <f t="shared" si="4"/>
        <v>0.7</v>
      </c>
      <c r="M38" s="26">
        <f t="shared" si="5"/>
        <v>0.52440051270804078</v>
      </c>
      <c r="O38">
        <f>+IFERROR(VLOOKUP(D38,lt!A:J,10,0),15)</f>
        <v>15</v>
      </c>
      <c r="P38">
        <v>2</v>
      </c>
      <c r="Q38">
        <v>1</v>
      </c>
      <c r="R38">
        <v>2</v>
      </c>
      <c r="S38" s="22">
        <f t="shared" si="6"/>
        <v>20</v>
      </c>
      <c r="T38" s="9">
        <v>3</v>
      </c>
      <c r="U38" s="23">
        <f t="shared" si="7"/>
        <v>0.76666666666666672</v>
      </c>
      <c r="V38" s="11">
        <f t="shared" si="8"/>
        <v>0</v>
      </c>
      <c r="W38" s="11">
        <f t="shared" si="9"/>
        <v>0</v>
      </c>
      <c r="X38" s="11">
        <f t="shared" si="10"/>
        <v>0</v>
      </c>
      <c r="Y38" s="11">
        <f t="shared" si="11"/>
        <v>0</v>
      </c>
      <c r="Z38" s="65">
        <f t="shared" si="12"/>
        <v>0</v>
      </c>
      <c r="AA38" s="24">
        <f t="shared" si="13"/>
        <v>0</v>
      </c>
      <c r="AB38">
        <f t="shared" si="14"/>
        <v>0</v>
      </c>
      <c r="AC38" s="46">
        <f>+IFERROR(VLOOKUP(E38,#REF!,24,0),0.2)</f>
        <v>0.2</v>
      </c>
      <c r="AD38" s="42">
        <f>+IFERROR(VLOOKUP(E38,h!$C:$D,2,0),0.3866)</f>
        <v>4.6333000000000005E-5</v>
      </c>
      <c r="AE38" s="42">
        <f>+VLOOKUP(A38,k!$A$1:$G$4,5,0)</f>
        <v>0.35799365240740744</v>
      </c>
      <c r="AF38" s="47">
        <f t="shared" si="15"/>
        <v>0.5580399854074074</v>
      </c>
      <c r="AG38" s="48">
        <f t="shared" si="16"/>
        <v>6.6964798248888888E-2</v>
      </c>
      <c r="AH38" s="20">
        <f>+IFERROR(VLOOKUP(C38,k!$A$7:$L$13,7,0),0)</f>
        <v>0</v>
      </c>
      <c r="AI38" s="20">
        <f t="shared" si="17"/>
        <v>0</v>
      </c>
      <c r="AJ38" s="5">
        <f t="shared" si="18"/>
        <v>0</v>
      </c>
      <c r="AK38" s="57">
        <f t="shared" si="19"/>
        <v>0</v>
      </c>
      <c r="AL38" s="19">
        <f t="shared" si="20"/>
        <v>0</v>
      </c>
      <c r="AM38" s="20">
        <f t="shared" si="21"/>
        <v>0</v>
      </c>
      <c r="AN38" s="27">
        <f t="shared" si="22"/>
        <v>0</v>
      </c>
      <c r="AO38" s="57">
        <f t="shared" si="37"/>
        <v>0</v>
      </c>
      <c r="AP38" s="19">
        <f t="shared" si="24"/>
        <v>0</v>
      </c>
      <c r="AQ38" s="20">
        <f t="shared" si="25"/>
        <v>0</v>
      </c>
      <c r="AR38" s="58">
        <f t="shared" si="26"/>
        <v>0</v>
      </c>
      <c r="AS38" s="1">
        <f t="shared" si="27"/>
        <v>0</v>
      </c>
      <c r="AT38" s="21">
        <f t="shared" si="28"/>
        <v>0</v>
      </c>
      <c r="AU38" s="28">
        <f t="shared" si="29"/>
        <v>0</v>
      </c>
      <c r="AV38" s="19">
        <f t="shared" si="30"/>
        <v>0</v>
      </c>
      <c r="AW38" s="19">
        <f t="shared" si="31"/>
        <v>0</v>
      </c>
      <c r="AX38" s="27">
        <f t="shared" si="32"/>
        <v>0</v>
      </c>
      <c r="AY38" s="1" t="e">
        <f t="shared" si="33"/>
        <v>#DIV/0!</v>
      </c>
      <c r="AZ38" s="1" t="e">
        <f t="shared" si="34"/>
        <v>#DIV/0!</v>
      </c>
    </row>
    <row r="39" spans="1:52" hidden="1" x14ac:dyDescent="0.35">
      <c r="A39" s="29" t="s">
        <v>423</v>
      </c>
      <c r="B39" s="6">
        <v>1000</v>
      </c>
      <c r="C39" s="2" t="e">
        <f>+VLOOKUP(E39,inventario!#REF!,2,0)</f>
        <v>#REF!</v>
      </c>
      <c r="D39" t="str">
        <f t="shared" si="3"/>
        <v>0083-ME</v>
      </c>
      <c r="E39" t="s">
        <v>62</v>
      </c>
      <c r="F39" s="6" t="str">
        <f>+IFERROR(VLOOKUP(E39,#REF!,29,0),"C")</f>
        <v>C</v>
      </c>
      <c r="G39" s="6" t="str">
        <f>+IFERROR(VLOOKUP(E39,#REF!,34,0),"C")</f>
        <v>C</v>
      </c>
      <c r="H39" s="64">
        <f>+IFERROR(VLOOKUP(E39,#REF!,31,0),0)</f>
        <v>0</v>
      </c>
      <c r="I39" s="44">
        <f>+IFERROR(VLOOKUP(E39,#REF!,26,0),0)</f>
        <v>0</v>
      </c>
      <c r="J39" s="44">
        <f>+IFERROR(VLOOKUP(E39,#REF!,30,0),0)</f>
        <v>0</v>
      </c>
      <c r="K39" s="3"/>
      <c r="L39" s="25">
        <f t="shared" si="4"/>
        <v>0.7</v>
      </c>
      <c r="M39" s="26">
        <f t="shared" si="5"/>
        <v>0.52440051270804078</v>
      </c>
      <c r="O39">
        <f>+IFERROR(VLOOKUP(D39,lt!A:J,10,0),15)</f>
        <v>15</v>
      </c>
      <c r="P39">
        <v>2</v>
      </c>
      <c r="Q39">
        <v>1</v>
      </c>
      <c r="R39">
        <v>2</v>
      </c>
      <c r="S39" s="22">
        <f t="shared" si="6"/>
        <v>20</v>
      </c>
      <c r="T39" s="9">
        <v>3</v>
      </c>
      <c r="U39" s="23">
        <f t="shared" si="7"/>
        <v>0.76666666666666672</v>
      </c>
      <c r="V39" s="11">
        <f t="shared" si="8"/>
        <v>0</v>
      </c>
      <c r="W39" s="11">
        <f t="shared" si="9"/>
        <v>0</v>
      </c>
      <c r="X39" s="11">
        <f t="shared" si="10"/>
        <v>0</v>
      </c>
      <c r="Y39" s="11">
        <f t="shared" si="11"/>
        <v>0</v>
      </c>
      <c r="Z39" s="65">
        <f t="shared" si="12"/>
        <v>0</v>
      </c>
      <c r="AA39" s="24">
        <f t="shared" si="13"/>
        <v>0</v>
      </c>
      <c r="AB39">
        <f t="shared" si="14"/>
        <v>0</v>
      </c>
      <c r="AC39" s="46">
        <f>+IFERROR(VLOOKUP(E39,#REF!,24,0),0.2)</f>
        <v>0.2</v>
      </c>
      <c r="AD39" s="42">
        <f>+IFERROR(VLOOKUP(E39,h!$C:$D,2,0),0.3866)</f>
        <v>4.6333000000000005E-5</v>
      </c>
      <c r="AE39" s="42">
        <f>+VLOOKUP(A39,k!$A$1:$G$4,5,0)</f>
        <v>0.35799365240740744</v>
      </c>
      <c r="AF39" s="47">
        <f t="shared" si="15"/>
        <v>0.5580399854074074</v>
      </c>
      <c r="AG39" s="48">
        <f t="shared" si="16"/>
        <v>6.6964798248888888E-2</v>
      </c>
      <c r="AH39" s="20">
        <f>+IFERROR(VLOOKUP(C39,k!$A$7:$L$13,7,0),0)</f>
        <v>0</v>
      </c>
      <c r="AI39" s="20">
        <f t="shared" si="17"/>
        <v>0</v>
      </c>
      <c r="AJ39" s="5">
        <f t="shared" si="18"/>
        <v>0</v>
      </c>
      <c r="AK39" s="57">
        <f t="shared" si="19"/>
        <v>0</v>
      </c>
      <c r="AL39" s="19">
        <f t="shared" si="20"/>
        <v>0</v>
      </c>
      <c r="AM39" s="20">
        <f t="shared" si="21"/>
        <v>0</v>
      </c>
      <c r="AN39" s="27">
        <f t="shared" si="22"/>
        <v>0</v>
      </c>
      <c r="AO39" s="57">
        <f t="shared" si="37"/>
        <v>0</v>
      </c>
      <c r="AP39" s="19">
        <f t="shared" si="24"/>
        <v>0</v>
      </c>
      <c r="AQ39" s="20">
        <f t="shared" si="25"/>
        <v>0</v>
      </c>
      <c r="AR39" s="58">
        <f t="shared" si="26"/>
        <v>0</v>
      </c>
      <c r="AS39" s="1">
        <f t="shared" si="27"/>
        <v>0</v>
      </c>
      <c r="AT39" s="21">
        <f t="shared" si="28"/>
        <v>0</v>
      </c>
      <c r="AU39" s="28">
        <f t="shared" si="29"/>
        <v>0</v>
      </c>
      <c r="AV39" s="19">
        <f t="shared" si="30"/>
        <v>0</v>
      </c>
      <c r="AW39" s="19">
        <f t="shared" si="31"/>
        <v>0</v>
      </c>
      <c r="AX39" s="27">
        <f t="shared" si="32"/>
        <v>0</v>
      </c>
      <c r="AY39" s="1" t="e">
        <f t="shared" si="33"/>
        <v>#DIV/0!</v>
      </c>
      <c r="AZ39" s="1" t="e">
        <f t="shared" si="34"/>
        <v>#DIV/0!</v>
      </c>
    </row>
    <row r="40" spans="1:52" hidden="1" x14ac:dyDescent="0.35">
      <c r="A40" s="29" t="s">
        <v>423</v>
      </c>
      <c r="B40" s="6">
        <v>5000</v>
      </c>
      <c r="C40" s="2" t="e">
        <f>+VLOOKUP(E40,inventario!#REF!,2,0)</f>
        <v>#REF!</v>
      </c>
      <c r="D40" t="str">
        <f t="shared" si="3"/>
        <v>9513</v>
      </c>
      <c r="E40" t="s">
        <v>60</v>
      </c>
      <c r="F40" s="6" t="str">
        <f>+IFERROR(VLOOKUP(E40,#REF!,29,0),"C")</f>
        <v>C</v>
      </c>
      <c r="G40" s="6" t="str">
        <f>+IFERROR(VLOOKUP(E40,#REF!,34,0),"C")</f>
        <v>C</v>
      </c>
      <c r="H40" s="64">
        <f>+IFERROR(VLOOKUP(E40,#REF!,31,0),0)</f>
        <v>0</v>
      </c>
      <c r="I40" s="44">
        <f>+IFERROR(VLOOKUP(E40,#REF!,26,0),0)</f>
        <v>0</v>
      </c>
      <c r="J40" s="44">
        <f>+IFERROR(VLOOKUP(E40,#REF!,30,0),0)</f>
        <v>0</v>
      </c>
      <c r="K40" s="3"/>
      <c r="L40" s="25">
        <f t="shared" si="4"/>
        <v>0.7</v>
      </c>
      <c r="M40" s="26">
        <f t="shared" si="5"/>
        <v>0.52440051270804078</v>
      </c>
      <c r="O40">
        <f>+IFERROR(VLOOKUP(D40,lt!A:J,10,0),15)</f>
        <v>15</v>
      </c>
      <c r="P40">
        <v>2</v>
      </c>
      <c r="Q40">
        <v>1</v>
      </c>
      <c r="R40">
        <v>2</v>
      </c>
      <c r="S40" s="22">
        <f t="shared" si="6"/>
        <v>20</v>
      </c>
      <c r="T40" s="9">
        <v>3</v>
      </c>
      <c r="U40" s="23">
        <f t="shared" si="7"/>
        <v>0.76666666666666672</v>
      </c>
      <c r="V40" s="11">
        <f t="shared" si="8"/>
        <v>0</v>
      </c>
      <c r="W40" s="11">
        <f t="shared" si="9"/>
        <v>0</v>
      </c>
      <c r="X40" s="11">
        <f t="shared" si="10"/>
        <v>0</v>
      </c>
      <c r="Y40" s="11">
        <f t="shared" si="11"/>
        <v>0</v>
      </c>
      <c r="Z40" s="65">
        <f t="shared" si="12"/>
        <v>0</v>
      </c>
      <c r="AA40" s="24">
        <f t="shared" si="13"/>
        <v>0</v>
      </c>
      <c r="AB40">
        <f t="shared" si="14"/>
        <v>0</v>
      </c>
      <c r="AC40" s="46">
        <f>+IFERROR(VLOOKUP(E40,#REF!,24,0),0.2)</f>
        <v>0.2</v>
      </c>
      <c r="AD40" s="42">
        <f>+IFERROR(VLOOKUP(E40,h!$C:$D,2,0),0.3866)</f>
        <v>4.6333000000000005E-5</v>
      </c>
      <c r="AE40" s="42">
        <f>+VLOOKUP(A40,k!$A$1:$G$4,5,0)</f>
        <v>0.35799365240740744</v>
      </c>
      <c r="AF40" s="47">
        <f t="shared" si="15"/>
        <v>0.5580399854074074</v>
      </c>
      <c r="AG40" s="48">
        <f t="shared" si="16"/>
        <v>6.6964798248888888E-2</v>
      </c>
      <c r="AH40" s="20">
        <f>+IFERROR(VLOOKUP(C40,k!$A$7:$L$13,7,0),0)</f>
        <v>0</v>
      </c>
      <c r="AI40" s="20">
        <f t="shared" si="17"/>
        <v>0</v>
      </c>
      <c r="AJ40" s="5">
        <f t="shared" si="18"/>
        <v>0</v>
      </c>
      <c r="AK40" s="57">
        <f t="shared" si="19"/>
        <v>0</v>
      </c>
      <c r="AL40" s="19">
        <f t="shared" si="20"/>
        <v>0</v>
      </c>
      <c r="AM40" s="20">
        <f t="shared" si="21"/>
        <v>0</v>
      </c>
      <c r="AN40" s="27">
        <f t="shared" si="22"/>
        <v>0</v>
      </c>
      <c r="AO40" s="57">
        <f t="shared" si="37"/>
        <v>0</v>
      </c>
      <c r="AP40" s="19">
        <f t="shared" si="24"/>
        <v>0</v>
      </c>
      <c r="AQ40" s="20">
        <f t="shared" si="25"/>
        <v>0</v>
      </c>
      <c r="AR40" s="58">
        <f t="shared" si="26"/>
        <v>0</v>
      </c>
      <c r="AS40" s="1">
        <f t="shared" si="27"/>
        <v>0</v>
      </c>
      <c r="AT40" s="21">
        <f t="shared" si="28"/>
        <v>0</v>
      </c>
      <c r="AU40" s="28">
        <f t="shared" si="29"/>
        <v>0</v>
      </c>
      <c r="AV40" s="19">
        <f t="shared" si="30"/>
        <v>0</v>
      </c>
      <c r="AW40" s="19">
        <f t="shared" si="31"/>
        <v>0</v>
      </c>
      <c r="AX40" s="27">
        <f t="shared" si="32"/>
        <v>0</v>
      </c>
      <c r="AY40" s="1" t="e">
        <f t="shared" si="33"/>
        <v>#DIV/0!</v>
      </c>
      <c r="AZ40" s="1" t="e">
        <f t="shared" si="34"/>
        <v>#DIV/0!</v>
      </c>
    </row>
    <row r="41" spans="1:52" hidden="1" x14ac:dyDescent="0.35">
      <c r="A41" s="29" t="s">
        <v>423</v>
      </c>
      <c r="B41" s="6">
        <v>1000</v>
      </c>
      <c r="C41" s="2" t="e">
        <f>+VLOOKUP(E41,inventario!#REF!,2,0)</f>
        <v>#REF!</v>
      </c>
      <c r="D41" t="str">
        <f t="shared" si="3"/>
        <v>9511</v>
      </c>
      <c r="E41" t="s">
        <v>56</v>
      </c>
      <c r="F41" s="6" t="str">
        <f>+IFERROR(VLOOKUP(E41,#REF!,29,0),"C")</f>
        <v>C</v>
      </c>
      <c r="G41" s="6" t="str">
        <f>+IFERROR(VLOOKUP(E41,#REF!,34,0),"C")</f>
        <v>C</v>
      </c>
      <c r="H41" s="64">
        <f>+IFERROR(VLOOKUP(E41,#REF!,31,0),0)</f>
        <v>0</v>
      </c>
      <c r="I41" s="44">
        <f>+IFERROR(VLOOKUP(E41,#REF!,26,0),0)</f>
        <v>0</v>
      </c>
      <c r="J41" s="44">
        <f>+IFERROR(VLOOKUP(E41,#REF!,30,0),0)</f>
        <v>0</v>
      </c>
      <c r="K41" s="3"/>
      <c r="L41" s="25">
        <f t="shared" si="4"/>
        <v>0.7</v>
      </c>
      <c r="M41" s="26">
        <f t="shared" si="5"/>
        <v>0.52440051270804078</v>
      </c>
      <c r="O41">
        <f>+IFERROR(VLOOKUP(D41,lt!A:J,10,0),15)</f>
        <v>15</v>
      </c>
      <c r="P41">
        <v>2</v>
      </c>
      <c r="Q41">
        <v>1</v>
      </c>
      <c r="R41">
        <v>2</v>
      </c>
      <c r="S41" s="22">
        <f t="shared" si="6"/>
        <v>20</v>
      </c>
      <c r="T41" s="9">
        <v>3</v>
      </c>
      <c r="U41" s="23">
        <f t="shared" si="7"/>
        <v>0.76666666666666672</v>
      </c>
      <c r="V41" s="11">
        <f t="shared" si="8"/>
        <v>0</v>
      </c>
      <c r="W41" s="11">
        <f t="shared" si="9"/>
        <v>0</v>
      </c>
      <c r="X41" s="11">
        <f t="shared" si="10"/>
        <v>0</v>
      </c>
      <c r="Y41" s="11">
        <f t="shared" si="11"/>
        <v>0</v>
      </c>
      <c r="Z41" s="65">
        <f t="shared" si="12"/>
        <v>0</v>
      </c>
      <c r="AA41" s="24">
        <f t="shared" si="13"/>
        <v>0</v>
      </c>
      <c r="AB41">
        <f t="shared" si="14"/>
        <v>0</v>
      </c>
      <c r="AC41" s="46">
        <f>+IFERROR(VLOOKUP(E41,#REF!,24,0),0.2)</f>
        <v>0.2</v>
      </c>
      <c r="AD41" s="42">
        <f>+IFERROR(VLOOKUP(E41,h!$C:$D,2,0),0.3866)</f>
        <v>4.6333000000000005E-5</v>
      </c>
      <c r="AE41" s="42">
        <f>+VLOOKUP(A41,k!$A$1:$G$4,5,0)</f>
        <v>0.35799365240740744</v>
      </c>
      <c r="AF41" s="47">
        <f t="shared" si="15"/>
        <v>0.5580399854074074</v>
      </c>
      <c r="AG41" s="48">
        <f t="shared" si="16"/>
        <v>6.6964798248888888E-2</v>
      </c>
      <c r="AH41" s="20">
        <f>+IFERROR(VLOOKUP(C41,k!$A$7:$L$13,7,0),0)</f>
        <v>0</v>
      </c>
      <c r="AI41" s="20">
        <f t="shared" si="17"/>
        <v>0</v>
      </c>
      <c r="AJ41" s="5">
        <f t="shared" si="18"/>
        <v>0</v>
      </c>
      <c r="AK41" s="57">
        <f t="shared" si="19"/>
        <v>0</v>
      </c>
      <c r="AL41" s="19">
        <f t="shared" si="20"/>
        <v>0</v>
      </c>
      <c r="AM41" s="20">
        <f t="shared" si="21"/>
        <v>0</v>
      </c>
      <c r="AN41" s="27">
        <f t="shared" si="22"/>
        <v>0</v>
      </c>
      <c r="AO41" s="57">
        <f t="shared" si="37"/>
        <v>0</v>
      </c>
      <c r="AP41" s="19">
        <f t="shared" si="24"/>
        <v>0</v>
      </c>
      <c r="AQ41" s="20">
        <f t="shared" si="25"/>
        <v>0</v>
      </c>
      <c r="AR41" s="58">
        <f t="shared" si="26"/>
        <v>0</v>
      </c>
      <c r="AS41" s="1">
        <f t="shared" si="27"/>
        <v>0</v>
      </c>
      <c r="AT41" s="21">
        <f t="shared" si="28"/>
        <v>0</v>
      </c>
      <c r="AU41" s="28">
        <f t="shared" si="29"/>
        <v>0</v>
      </c>
      <c r="AV41" s="19">
        <f t="shared" si="30"/>
        <v>0</v>
      </c>
      <c r="AW41" s="19">
        <f t="shared" si="31"/>
        <v>0</v>
      </c>
      <c r="AX41" s="27">
        <f t="shared" si="32"/>
        <v>0</v>
      </c>
      <c r="AY41" s="1" t="e">
        <f t="shared" si="33"/>
        <v>#DIV/0!</v>
      </c>
      <c r="AZ41" s="1" t="e">
        <f t="shared" si="34"/>
        <v>#DIV/0!</v>
      </c>
    </row>
    <row r="42" spans="1:52" hidden="1" x14ac:dyDescent="0.35">
      <c r="A42" s="29" t="s">
        <v>423</v>
      </c>
      <c r="B42" s="6">
        <v>5000</v>
      </c>
      <c r="C42" s="2" t="e">
        <f>+VLOOKUP(E42,inventario!#REF!,2,0)</f>
        <v>#REF!</v>
      </c>
      <c r="D42" t="str">
        <f t="shared" si="3"/>
        <v>9505</v>
      </c>
      <c r="E42" t="s">
        <v>57</v>
      </c>
      <c r="F42" s="6" t="str">
        <f>+IFERROR(VLOOKUP(E42,#REF!,29,0),"C")</f>
        <v>C</v>
      </c>
      <c r="G42" s="6" t="str">
        <f>+IFERROR(VLOOKUP(E42,#REF!,34,0),"C")</f>
        <v>C</v>
      </c>
      <c r="H42" s="64">
        <f>+IFERROR(VLOOKUP(E42,#REF!,31,0),0)</f>
        <v>0</v>
      </c>
      <c r="I42" s="44">
        <f>+IFERROR(VLOOKUP(E42,#REF!,26,0),0)</f>
        <v>0</v>
      </c>
      <c r="J42" s="44">
        <f>+IFERROR(VLOOKUP(E42,#REF!,30,0),0)</f>
        <v>0</v>
      </c>
      <c r="K42" s="3"/>
      <c r="L42" s="25">
        <f t="shared" si="4"/>
        <v>0.7</v>
      </c>
      <c r="M42" s="26">
        <f t="shared" si="5"/>
        <v>0.52440051270804078</v>
      </c>
      <c r="O42">
        <f>+IFERROR(VLOOKUP(D42,lt!A:J,10,0),15)</f>
        <v>15</v>
      </c>
      <c r="P42">
        <v>2</v>
      </c>
      <c r="Q42">
        <v>1</v>
      </c>
      <c r="R42">
        <v>2</v>
      </c>
      <c r="S42" s="22">
        <f t="shared" si="6"/>
        <v>20</v>
      </c>
      <c r="T42" s="9">
        <v>3</v>
      </c>
      <c r="U42" s="23">
        <f t="shared" si="7"/>
        <v>0.76666666666666672</v>
      </c>
      <c r="V42" s="11">
        <f t="shared" si="8"/>
        <v>0</v>
      </c>
      <c r="W42" s="11">
        <f t="shared" si="9"/>
        <v>0</v>
      </c>
      <c r="X42" s="11">
        <f t="shared" si="10"/>
        <v>0</v>
      </c>
      <c r="Y42" s="11">
        <f t="shared" si="11"/>
        <v>0</v>
      </c>
      <c r="Z42" s="65">
        <f t="shared" si="12"/>
        <v>0</v>
      </c>
      <c r="AA42" s="24">
        <f t="shared" si="13"/>
        <v>0</v>
      </c>
      <c r="AB42">
        <f t="shared" si="14"/>
        <v>0</v>
      </c>
      <c r="AC42" s="46">
        <f>+IFERROR(VLOOKUP(E42,#REF!,24,0),0.2)</f>
        <v>0.2</v>
      </c>
      <c r="AD42" s="42">
        <f>+IFERROR(VLOOKUP(E42,h!$C:$D,2,0),0.3866)</f>
        <v>4.6333000000000005E-5</v>
      </c>
      <c r="AE42" s="42">
        <f>+VLOOKUP(A42,k!$A$1:$G$4,5,0)</f>
        <v>0.35799365240740744</v>
      </c>
      <c r="AF42" s="47">
        <f t="shared" si="15"/>
        <v>0.5580399854074074</v>
      </c>
      <c r="AG42" s="48">
        <f t="shared" si="16"/>
        <v>6.6964798248888888E-2</v>
      </c>
      <c r="AH42" s="20">
        <f>+IFERROR(VLOOKUP(C42,k!$A$7:$L$13,7,0),0)</f>
        <v>0</v>
      </c>
      <c r="AI42" s="20">
        <f t="shared" si="17"/>
        <v>0</v>
      </c>
      <c r="AJ42" s="5">
        <f t="shared" si="18"/>
        <v>0</v>
      </c>
      <c r="AK42" s="57">
        <f t="shared" si="19"/>
        <v>0</v>
      </c>
      <c r="AL42" s="19">
        <f t="shared" si="20"/>
        <v>0</v>
      </c>
      <c r="AM42" s="20">
        <f t="shared" si="21"/>
        <v>0</v>
      </c>
      <c r="AN42" s="27">
        <f t="shared" si="22"/>
        <v>0</v>
      </c>
      <c r="AO42" s="57">
        <f t="shared" si="37"/>
        <v>0</v>
      </c>
      <c r="AP42" s="19">
        <f t="shared" si="24"/>
        <v>0</v>
      </c>
      <c r="AQ42" s="20">
        <f t="shared" si="25"/>
        <v>0</v>
      </c>
      <c r="AR42" s="58">
        <f t="shared" si="26"/>
        <v>0</v>
      </c>
      <c r="AS42" s="1">
        <f t="shared" si="27"/>
        <v>0</v>
      </c>
      <c r="AT42" s="21">
        <f t="shared" si="28"/>
        <v>0</v>
      </c>
      <c r="AU42" s="28">
        <f t="shared" si="29"/>
        <v>0</v>
      </c>
      <c r="AV42" s="19">
        <f t="shared" si="30"/>
        <v>0</v>
      </c>
      <c r="AW42" s="19">
        <f t="shared" si="31"/>
        <v>0</v>
      </c>
      <c r="AX42" s="27">
        <f t="shared" si="32"/>
        <v>0</v>
      </c>
      <c r="AY42" s="1" t="e">
        <f t="shared" si="33"/>
        <v>#DIV/0!</v>
      </c>
      <c r="AZ42" s="1" t="e">
        <f t="shared" si="34"/>
        <v>#DIV/0!</v>
      </c>
    </row>
    <row r="43" spans="1:52" hidden="1" x14ac:dyDescent="0.35">
      <c r="A43" s="29" t="s">
        <v>423</v>
      </c>
      <c r="B43" s="6">
        <v>5000</v>
      </c>
      <c r="C43" s="2" t="e">
        <f>+VLOOKUP(E43,inventario!#REF!,2,0)</f>
        <v>#REF!</v>
      </c>
      <c r="D43" t="str">
        <f t="shared" si="3"/>
        <v>0985-ME</v>
      </c>
      <c r="E43" t="s">
        <v>126</v>
      </c>
      <c r="F43" s="6" t="str">
        <f>+IFERROR(VLOOKUP(E43,#REF!,29,0),"C")</f>
        <v>C</v>
      </c>
      <c r="G43" s="6" t="str">
        <f>+IFERROR(VLOOKUP(E43,#REF!,34,0),"C")</f>
        <v>C</v>
      </c>
      <c r="H43" s="64">
        <f>+IFERROR(VLOOKUP(E43,#REF!,31,0),0)</f>
        <v>0</v>
      </c>
      <c r="I43" s="44">
        <f>+IFERROR(VLOOKUP(E43,#REF!,26,0),0)</f>
        <v>0</v>
      </c>
      <c r="J43" s="44">
        <f>+IFERROR(VLOOKUP(E43,#REF!,30,0),0)</f>
        <v>0</v>
      </c>
      <c r="K43" s="3"/>
      <c r="L43" s="25">
        <f t="shared" si="4"/>
        <v>0.7</v>
      </c>
      <c r="M43" s="26">
        <f t="shared" si="5"/>
        <v>0.52440051270804078</v>
      </c>
      <c r="O43">
        <f>+IFERROR(VLOOKUP(D43,lt!A:J,10,0),15)</f>
        <v>15</v>
      </c>
      <c r="P43">
        <v>2</v>
      </c>
      <c r="Q43">
        <v>1</v>
      </c>
      <c r="R43">
        <v>2</v>
      </c>
      <c r="S43" s="22">
        <f t="shared" si="6"/>
        <v>20</v>
      </c>
      <c r="T43" s="9">
        <v>3</v>
      </c>
      <c r="U43" s="23">
        <f t="shared" si="7"/>
        <v>0.76666666666666672</v>
      </c>
      <c r="V43" s="11">
        <f t="shared" si="8"/>
        <v>0</v>
      </c>
      <c r="W43" s="11">
        <f t="shared" si="9"/>
        <v>0</v>
      </c>
      <c r="X43" s="11">
        <f t="shared" si="10"/>
        <v>0</v>
      </c>
      <c r="Y43" s="11">
        <f t="shared" si="11"/>
        <v>0</v>
      </c>
      <c r="Z43" s="65">
        <f t="shared" si="12"/>
        <v>0</v>
      </c>
      <c r="AA43" s="24">
        <f t="shared" si="13"/>
        <v>0</v>
      </c>
      <c r="AB43">
        <f t="shared" si="14"/>
        <v>0</v>
      </c>
      <c r="AC43" s="46">
        <f>+IFERROR(VLOOKUP(E43,#REF!,24,0),0.2)</f>
        <v>0.2</v>
      </c>
      <c r="AD43" s="42">
        <f>+IFERROR(VLOOKUP(E43,h!$C:$D,2,0),0.3866)</f>
        <v>4.6333000000000005E-5</v>
      </c>
      <c r="AE43" s="42">
        <f>+VLOOKUP(A43,k!$A$1:$G$4,5,0)</f>
        <v>0.35799365240740744</v>
      </c>
      <c r="AF43" s="47">
        <f t="shared" si="15"/>
        <v>0.5580399854074074</v>
      </c>
      <c r="AG43" s="48">
        <f t="shared" si="16"/>
        <v>6.6964798248888888E-2</v>
      </c>
      <c r="AH43" s="20">
        <f>+IFERROR(VLOOKUP(C43,k!$A$7:$L$13,7,0),0)</f>
        <v>0</v>
      </c>
      <c r="AI43" s="20">
        <f t="shared" si="17"/>
        <v>0</v>
      </c>
      <c r="AJ43" s="5">
        <f t="shared" si="18"/>
        <v>0</v>
      </c>
      <c r="AK43" s="57">
        <f t="shared" si="19"/>
        <v>0</v>
      </c>
      <c r="AL43" s="19">
        <f t="shared" si="20"/>
        <v>0</v>
      </c>
      <c r="AM43" s="20">
        <f t="shared" si="21"/>
        <v>0</v>
      </c>
      <c r="AN43" s="27">
        <f t="shared" si="22"/>
        <v>0</v>
      </c>
      <c r="AO43" s="57">
        <f t="shared" si="37"/>
        <v>0</v>
      </c>
      <c r="AP43" s="19">
        <f t="shared" si="24"/>
        <v>0</v>
      </c>
      <c r="AQ43" s="20">
        <f t="shared" si="25"/>
        <v>0</v>
      </c>
      <c r="AR43" s="58">
        <f t="shared" si="26"/>
        <v>0</v>
      </c>
      <c r="AS43" s="1">
        <f t="shared" si="27"/>
        <v>0</v>
      </c>
      <c r="AT43" s="21">
        <f t="shared" si="28"/>
        <v>0</v>
      </c>
      <c r="AU43" s="28">
        <f t="shared" si="29"/>
        <v>0</v>
      </c>
      <c r="AV43" s="19">
        <f t="shared" si="30"/>
        <v>0</v>
      </c>
      <c r="AW43" s="19">
        <f t="shared" si="31"/>
        <v>0</v>
      </c>
      <c r="AX43" s="27">
        <f t="shared" si="32"/>
        <v>0</v>
      </c>
      <c r="AY43" s="1" t="e">
        <f t="shared" si="33"/>
        <v>#DIV/0!</v>
      </c>
      <c r="AZ43" s="1" t="e">
        <f t="shared" si="34"/>
        <v>#DIV/0!</v>
      </c>
    </row>
    <row r="44" spans="1:52" hidden="1" x14ac:dyDescent="0.35">
      <c r="A44" s="29" t="s">
        <v>423</v>
      </c>
      <c r="B44" s="6">
        <v>1</v>
      </c>
      <c r="C44" s="2" t="e">
        <f>+VLOOKUP(E44,inventario!#REF!,2,0)</f>
        <v>#REF!</v>
      </c>
      <c r="D44" t="str">
        <f t="shared" si="3"/>
        <v>PIOLA (UNID)</v>
      </c>
      <c r="E44" t="s">
        <v>127</v>
      </c>
      <c r="F44" s="6" t="str">
        <f>+IFERROR(VLOOKUP(E44,#REF!,29,0),"C")</f>
        <v>C</v>
      </c>
      <c r="G44" s="6" t="str">
        <f>+IFERROR(VLOOKUP(E44,#REF!,34,0),"C")</f>
        <v>C</v>
      </c>
      <c r="H44" s="64">
        <f>+IFERROR(VLOOKUP(E44,#REF!,31,0),0)</f>
        <v>0</v>
      </c>
      <c r="I44" s="44">
        <f>+IFERROR(VLOOKUP(E44,#REF!,26,0),0)</f>
        <v>0</v>
      </c>
      <c r="J44" s="44">
        <f>+IFERROR(VLOOKUP(E44,#REF!,30,0),0)</f>
        <v>0</v>
      </c>
      <c r="K44" s="3"/>
      <c r="L44" s="25">
        <f t="shared" si="4"/>
        <v>0.7</v>
      </c>
      <c r="M44" s="26">
        <f t="shared" si="5"/>
        <v>0.52440051270804078</v>
      </c>
      <c r="O44">
        <f>+IFERROR(VLOOKUP(D44,lt!A:J,10,0),15)</f>
        <v>15</v>
      </c>
      <c r="P44">
        <v>2</v>
      </c>
      <c r="Q44">
        <v>1</v>
      </c>
      <c r="R44">
        <v>2</v>
      </c>
      <c r="S44" s="22">
        <f t="shared" si="6"/>
        <v>20</v>
      </c>
      <c r="T44" s="9">
        <v>3</v>
      </c>
      <c r="U44" s="23">
        <f t="shared" si="7"/>
        <v>0.76666666666666672</v>
      </c>
      <c r="V44" s="11">
        <f t="shared" si="8"/>
        <v>0</v>
      </c>
      <c r="W44" s="11">
        <f t="shared" si="9"/>
        <v>0</v>
      </c>
      <c r="X44" s="11">
        <f t="shared" si="10"/>
        <v>0</v>
      </c>
      <c r="Y44" s="11">
        <f t="shared" si="11"/>
        <v>0</v>
      </c>
      <c r="Z44" s="65">
        <f t="shared" si="12"/>
        <v>0</v>
      </c>
      <c r="AA44" s="24">
        <f t="shared" si="13"/>
        <v>0</v>
      </c>
      <c r="AB44">
        <f t="shared" si="14"/>
        <v>0</v>
      </c>
      <c r="AC44" s="46">
        <f>+IFERROR(VLOOKUP(E44,#REF!,24,0),0.2)</f>
        <v>0.2</v>
      </c>
      <c r="AD44" s="42">
        <f>+IFERROR(VLOOKUP(E44,h!$C:$D,2,0),0.3866)</f>
        <v>4.6333000000000005E-5</v>
      </c>
      <c r="AE44" s="42">
        <f>+VLOOKUP(A44,k!$A$1:$G$4,5,0)</f>
        <v>0.35799365240740744</v>
      </c>
      <c r="AF44" s="47">
        <f t="shared" si="15"/>
        <v>0.5580399854074074</v>
      </c>
      <c r="AG44" s="48">
        <f t="shared" si="16"/>
        <v>6.6964798248888888E-2</v>
      </c>
      <c r="AH44" s="20">
        <f>+IFERROR(VLOOKUP(C44,k!$A$7:$L$13,7,0),0)</f>
        <v>0</v>
      </c>
      <c r="AI44" s="20">
        <f t="shared" si="17"/>
        <v>0</v>
      </c>
      <c r="AJ44" s="5">
        <f t="shared" si="18"/>
        <v>0</v>
      </c>
      <c r="AK44" s="57">
        <f t="shared" si="19"/>
        <v>0</v>
      </c>
      <c r="AL44" s="19">
        <f t="shared" si="20"/>
        <v>0</v>
      </c>
      <c r="AM44" s="20">
        <f t="shared" si="21"/>
        <v>0</v>
      </c>
      <c r="AN44" s="27">
        <f t="shared" si="22"/>
        <v>0</v>
      </c>
      <c r="AO44" s="57">
        <f t="shared" si="37"/>
        <v>0</v>
      </c>
      <c r="AP44" s="19">
        <f t="shared" si="24"/>
        <v>0</v>
      </c>
      <c r="AQ44" s="20">
        <f t="shared" si="25"/>
        <v>0</v>
      </c>
      <c r="AR44" s="58">
        <f t="shared" si="26"/>
        <v>0</v>
      </c>
      <c r="AS44" s="1">
        <f t="shared" si="27"/>
        <v>0</v>
      </c>
      <c r="AT44" s="21">
        <f t="shared" si="28"/>
        <v>0</v>
      </c>
      <c r="AU44" s="28">
        <f t="shared" si="29"/>
        <v>0</v>
      </c>
      <c r="AV44" s="19">
        <f t="shared" si="30"/>
        <v>0</v>
      </c>
      <c r="AW44" s="19">
        <f t="shared" si="31"/>
        <v>0</v>
      </c>
      <c r="AX44" s="27">
        <f t="shared" si="32"/>
        <v>0</v>
      </c>
      <c r="AY44" s="1" t="e">
        <f t="shared" si="33"/>
        <v>#DIV/0!</v>
      </c>
      <c r="AZ44" s="1" t="e">
        <f t="shared" si="34"/>
        <v>#DIV/0!</v>
      </c>
    </row>
    <row r="45" spans="1:52" hidden="1" x14ac:dyDescent="0.35">
      <c r="A45" s="29" t="s">
        <v>423</v>
      </c>
      <c r="B45" s="6">
        <v>5000</v>
      </c>
      <c r="C45" s="2" t="e">
        <f>+VLOOKUP(E45,inventario!#REF!,2,0)</f>
        <v>#REF!</v>
      </c>
      <c r="D45" t="str">
        <f t="shared" si="3"/>
        <v>0118-ME</v>
      </c>
      <c r="E45" t="s">
        <v>61</v>
      </c>
      <c r="F45" s="6" t="str">
        <f>+IFERROR(VLOOKUP(E45,#REF!,29,0),"C")</f>
        <v>C</v>
      </c>
      <c r="G45" s="6" t="str">
        <f>+IFERROR(VLOOKUP(E45,#REF!,34,0),"C")</f>
        <v>C</v>
      </c>
      <c r="H45" s="64">
        <f>+IFERROR(VLOOKUP(E45,#REF!,31,0),0)</f>
        <v>0</v>
      </c>
      <c r="I45" s="44">
        <f>+IFERROR(VLOOKUP(E45,#REF!,26,0),0)</f>
        <v>0</v>
      </c>
      <c r="J45" s="44">
        <f>+IFERROR(VLOOKUP(E45,#REF!,30,0),0)</f>
        <v>0</v>
      </c>
      <c r="K45" s="3"/>
      <c r="L45" s="25">
        <f t="shared" si="4"/>
        <v>0.7</v>
      </c>
      <c r="M45" s="26">
        <f t="shared" si="5"/>
        <v>0.52440051270804078</v>
      </c>
      <c r="O45">
        <f>+IFERROR(VLOOKUP(D45,lt!A:J,10,0),15)</f>
        <v>15</v>
      </c>
      <c r="P45">
        <v>2</v>
      </c>
      <c r="Q45">
        <v>1</v>
      </c>
      <c r="R45">
        <v>2</v>
      </c>
      <c r="S45" s="22">
        <f t="shared" si="6"/>
        <v>20</v>
      </c>
      <c r="T45" s="9">
        <v>3</v>
      </c>
      <c r="U45" s="23">
        <f t="shared" si="7"/>
        <v>0.76666666666666672</v>
      </c>
      <c r="V45" s="11">
        <f t="shared" si="8"/>
        <v>0</v>
      </c>
      <c r="W45" s="11">
        <f t="shared" si="9"/>
        <v>0</v>
      </c>
      <c r="X45" s="11">
        <f t="shared" si="10"/>
        <v>0</v>
      </c>
      <c r="Y45" s="11">
        <f t="shared" si="11"/>
        <v>0</v>
      </c>
      <c r="Z45" s="65">
        <f t="shared" si="12"/>
        <v>0</v>
      </c>
      <c r="AA45" s="24">
        <f t="shared" si="13"/>
        <v>0</v>
      </c>
      <c r="AB45">
        <f t="shared" si="14"/>
        <v>0</v>
      </c>
      <c r="AC45" s="46">
        <f>+IFERROR(VLOOKUP(E45,#REF!,24,0),0.2)</f>
        <v>0.2</v>
      </c>
      <c r="AD45" s="42">
        <f>+IFERROR(VLOOKUP(E45,h!$C:$D,2,0),0.3866)</f>
        <v>4.6333000000000005E-5</v>
      </c>
      <c r="AE45" s="42">
        <f>+VLOOKUP(A45,k!$A$1:$G$4,5,0)</f>
        <v>0.35799365240740744</v>
      </c>
      <c r="AF45" s="47">
        <f t="shared" si="15"/>
        <v>0.5580399854074074</v>
      </c>
      <c r="AG45" s="48">
        <f t="shared" si="16"/>
        <v>6.6964798248888888E-2</v>
      </c>
      <c r="AH45" s="20">
        <f>+IFERROR(VLOOKUP(C45,k!$A$7:$L$13,7,0),0)</f>
        <v>0</v>
      </c>
      <c r="AI45" s="20">
        <f t="shared" si="17"/>
        <v>0</v>
      </c>
      <c r="AJ45" s="5">
        <f t="shared" si="18"/>
        <v>0</v>
      </c>
      <c r="AK45" s="57">
        <f t="shared" si="19"/>
        <v>0</v>
      </c>
      <c r="AL45" s="19">
        <f t="shared" si="20"/>
        <v>0</v>
      </c>
      <c r="AM45" s="20">
        <f t="shared" si="21"/>
        <v>0</v>
      </c>
      <c r="AN45" s="27">
        <f t="shared" si="22"/>
        <v>0</v>
      </c>
      <c r="AO45" s="57">
        <f t="shared" si="37"/>
        <v>0</v>
      </c>
      <c r="AP45" s="19">
        <f t="shared" si="24"/>
        <v>0</v>
      </c>
      <c r="AQ45" s="20">
        <f t="shared" si="25"/>
        <v>0</v>
      </c>
      <c r="AR45" s="58">
        <f t="shared" si="26"/>
        <v>0</v>
      </c>
      <c r="AS45" s="1">
        <f t="shared" si="27"/>
        <v>0</v>
      </c>
      <c r="AT45" s="21">
        <f t="shared" si="28"/>
        <v>0</v>
      </c>
      <c r="AU45" s="28">
        <f t="shared" si="29"/>
        <v>0</v>
      </c>
      <c r="AV45" s="19">
        <f t="shared" si="30"/>
        <v>0</v>
      </c>
      <c r="AW45" s="19">
        <f t="shared" si="31"/>
        <v>0</v>
      </c>
      <c r="AX45" s="27">
        <f t="shared" si="32"/>
        <v>0</v>
      </c>
      <c r="AY45" s="1" t="e">
        <f t="shared" si="33"/>
        <v>#DIV/0!</v>
      </c>
      <c r="AZ45" s="1" t="e">
        <f t="shared" si="34"/>
        <v>#DIV/0!</v>
      </c>
    </row>
    <row r="46" spans="1:52" hidden="1" x14ac:dyDescent="0.35">
      <c r="A46" s="29" t="s">
        <v>423</v>
      </c>
      <c r="B46" s="6">
        <v>1000</v>
      </c>
      <c r="C46" s="2" t="s">
        <v>100</v>
      </c>
      <c r="D46" t="str">
        <f t="shared" si="3"/>
        <v>0073-ME</v>
      </c>
      <c r="E46" t="s">
        <v>64</v>
      </c>
      <c r="F46" s="6" t="str">
        <f>+IFERROR(VLOOKUP(E46,#REF!,29,0),"C")</f>
        <v>C</v>
      </c>
      <c r="G46" s="6" t="str">
        <f>+IFERROR(VLOOKUP(E46,#REF!,34,0),"C")</f>
        <v>C</v>
      </c>
      <c r="H46" s="64">
        <f>+IFERROR(VLOOKUP(E46,#REF!,31,0),0)</f>
        <v>0</v>
      </c>
      <c r="I46" s="44">
        <f>+IFERROR(VLOOKUP(E46,#REF!,26,0),0)</f>
        <v>0</v>
      </c>
      <c r="J46" s="44">
        <f>+IFERROR(VLOOKUP(E46,#REF!,30,0),0)</f>
        <v>0</v>
      </c>
      <c r="K46" s="3"/>
      <c r="L46" s="25">
        <f t="shared" si="4"/>
        <v>0.7</v>
      </c>
      <c r="M46" s="26">
        <f t="shared" si="5"/>
        <v>0.52440051270804078</v>
      </c>
      <c r="O46">
        <f>+IFERROR(VLOOKUP(D46,lt!A:J,10,0),15)</f>
        <v>15</v>
      </c>
      <c r="P46">
        <v>2</v>
      </c>
      <c r="Q46">
        <v>1</v>
      </c>
      <c r="R46">
        <v>2</v>
      </c>
      <c r="S46" s="22">
        <f t="shared" si="6"/>
        <v>20</v>
      </c>
      <c r="T46" s="9">
        <v>3</v>
      </c>
      <c r="U46" s="23">
        <f t="shared" si="7"/>
        <v>0.76666666666666672</v>
      </c>
      <c r="V46" s="11">
        <f t="shared" si="8"/>
        <v>0</v>
      </c>
      <c r="W46" s="11">
        <f t="shared" si="9"/>
        <v>0</v>
      </c>
      <c r="X46" s="11">
        <f t="shared" si="10"/>
        <v>0</v>
      </c>
      <c r="Y46" s="11">
        <f t="shared" si="11"/>
        <v>0</v>
      </c>
      <c r="Z46" s="65">
        <f t="shared" si="12"/>
        <v>0</v>
      </c>
      <c r="AA46" s="24">
        <f t="shared" si="13"/>
        <v>0</v>
      </c>
      <c r="AB46">
        <f t="shared" si="14"/>
        <v>0</v>
      </c>
      <c r="AC46" s="46">
        <f>+IFERROR(VLOOKUP(E46,#REF!,24,0),0.2)</f>
        <v>0.2</v>
      </c>
      <c r="AD46" s="42">
        <f>+IFERROR(VLOOKUP(E46,h!$C:$D,2,0),0.3866)</f>
        <v>4.6333000000000005E-5</v>
      </c>
      <c r="AE46" s="42">
        <f>+VLOOKUP(A46,k!$A$1:$G$4,5,0)</f>
        <v>0.35799365240740744</v>
      </c>
      <c r="AF46" s="47">
        <f t="shared" si="15"/>
        <v>0.5580399854074074</v>
      </c>
      <c r="AG46" s="48">
        <f t="shared" si="16"/>
        <v>6.6964798248888888E-2</v>
      </c>
      <c r="AH46" s="20">
        <f>+IFERROR(VLOOKUP(C46,k!$A$7:$L$13,7,0),0)</f>
        <v>7.4001689814814817</v>
      </c>
      <c r="AI46" s="20">
        <f t="shared" si="17"/>
        <v>0</v>
      </c>
      <c r="AJ46" s="5">
        <f t="shared" si="18"/>
        <v>7.4001689814814817</v>
      </c>
      <c r="AK46" s="57">
        <f t="shared" si="19"/>
        <v>0</v>
      </c>
      <c r="AL46" s="19">
        <f t="shared" si="20"/>
        <v>0</v>
      </c>
      <c r="AM46" s="20">
        <f t="shared" si="21"/>
        <v>0</v>
      </c>
      <c r="AN46" s="27">
        <f t="shared" si="22"/>
        <v>0</v>
      </c>
      <c r="AO46" s="57">
        <f t="shared" si="37"/>
        <v>0</v>
      </c>
      <c r="AP46" s="19">
        <f t="shared" si="24"/>
        <v>0</v>
      </c>
      <c r="AQ46" s="20">
        <f t="shared" si="25"/>
        <v>0</v>
      </c>
      <c r="AR46" s="58">
        <f t="shared" si="26"/>
        <v>0</v>
      </c>
      <c r="AS46" s="1">
        <f t="shared" si="27"/>
        <v>0</v>
      </c>
      <c r="AT46" s="21">
        <f t="shared" si="28"/>
        <v>0</v>
      </c>
      <c r="AU46" s="28">
        <f t="shared" si="29"/>
        <v>0</v>
      </c>
      <c r="AV46" s="19">
        <f t="shared" si="30"/>
        <v>0</v>
      </c>
      <c r="AW46" s="19">
        <f t="shared" si="31"/>
        <v>0</v>
      </c>
      <c r="AX46" s="27">
        <f t="shared" si="32"/>
        <v>0</v>
      </c>
      <c r="AY46" s="1" t="e">
        <f t="shared" si="33"/>
        <v>#DIV/0!</v>
      </c>
      <c r="AZ46" s="1" t="e">
        <f t="shared" si="34"/>
        <v>#DIV/0!</v>
      </c>
    </row>
    <row r="47" spans="1:52" hidden="1" x14ac:dyDescent="0.35">
      <c r="A47" s="29" t="s">
        <v>423</v>
      </c>
      <c r="B47" s="6">
        <v>5000</v>
      </c>
      <c r="C47" s="2" t="e">
        <f>+VLOOKUP(E47,inventario!#REF!,2,0)</f>
        <v>#REF!</v>
      </c>
      <c r="D47" t="str">
        <f t="shared" si="3"/>
        <v>9506</v>
      </c>
      <c r="E47" t="s">
        <v>59</v>
      </c>
      <c r="F47" s="6" t="str">
        <f>+IFERROR(VLOOKUP(E47,#REF!,29,0),"C")</f>
        <v>C</v>
      </c>
      <c r="G47" s="6" t="str">
        <f>+IFERROR(VLOOKUP(E47,#REF!,34,0),"C")</f>
        <v>C</v>
      </c>
      <c r="H47" s="64">
        <f>+IFERROR(VLOOKUP(E47,#REF!,31,0),0)</f>
        <v>0</v>
      </c>
      <c r="I47" s="44">
        <f>+IFERROR(VLOOKUP(E47,#REF!,26,0),0)</f>
        <v>0</v>
      </c>
      <c r="J47" s="44">
        <f>+IFERROR(VLOOKUP(E47,#REF!,30,0),0)</f>
        <v>0</v>
      </c>
      <c r="K47" s="3"/>
      <c r="L47" s="25">
        <f t="shared" si="4"/>
        <v>0.7</v>
      </c>
      <c r="M47" s="26">
        <f t="shared" si="5"/>
        <v>0.52440051270804078</v>
      </c>
      <c r="O47">
        <f>+IFERROR(VLOOKUP(D47,lt!A:J,10,0),15)</f>
        <v>15</v>
      </c>
      <c r="P47">
        <v>2</v>
      </c>
      <c r="Q47">
        <v>1</v>
      </c>
      <c r="R47">
        <v>2</v>
      </c>
      <c r="S47" s="22">
        <f t="shared" si="6"/>
        <v>20</v>
      </c>
      <c r="T47" s="9">
        <v>3</v>
      </c>
      <c r="U47" s="23">
        <f t="shared" si="7"/>
        <v>0.76666666666666672</v>
      </c>
      <c r="V47" s="11">
        <f t="shared" si="8"/>
        <v>0</v>
      </c>
      <c r="W47" s="11">
        <f t="shared" si="9"/>
        <v>0</v>
      </c>
      <c r="X47" s="11">
        <f t="shared" si="10"/>
        <v>0</v>
      </c>
      <c r="Y47" s="11">
        <f t="shared" si="11"/>
        <v>0</v>
      </c>
      <c r="Z47" s="65">
        <f t="shared" si="12"/>
        <v>0</v>
      </c>
      <c r="AA47" s="24">
        <f t="shared" si="13"/>
        <v>0</v>
      </c>
      <c r="AB47">
        <f t="shared" si="14"/>
        <v>0</v>
      </c>
      <c r="AC47" s="46">
        <f>+IFERROR(VLOOKUP(E47,#REF!,24,0),0.2)</f>
        <v>0.2</v>
      </c>
      <c r="AD47" s="42">
        <f>+IFERROR(VLOOKUP(E47,h!$C:$D,2,0),0.3866)</f>
        <v>4.6333000000000005E-5</v>
      </c>
      <c r="AE47" s="42">
        <f>+VLOOKUP(A47,k!$A$1:$G$4,5,0)</f>
        <v>0.35799365240740744</v>
      </c>
      <c r="AF47" s="47">
        <f t="shared" si="15"/>
        <v>0.5580399854074074</v>
      </c>
      <c r="AG47" s="48">
        <f t="shared" si="16"/>
        <v>6.6964798248888888E-2</v>
      </c>
      <c r="AH47" s="20">
        <f>+IFERROR(VLOOKUP(C47,k!$A$7:$L$13,7,0),0)</f>
        <v>0</v>
      </c>
      <c r="AI47" s="20">
        <f t="shared" si="17"/>
        <v>0</v>
      </c>
      <c r="AJ47" s="5">
        <f t="shared" si="18"/>
        <v>0</v>
      </c>
      <c r="AK47" s="57">
        <f t="shared" si="19"/>
        <v>0</v>
      </c>
      <c r="AL47" s="19">
        <f t="shared" si="20"/>
        <v>0</v>
      </c>
      <c r="AM47" s="20">
        <f t="shared" si="21"/>
        <v>0</v>
      </c>
      <c r="AN47" s="27">
        <f t="shared" si="22"/>
        <v>0</v>
      </c>
      <c r="AO47" s="57">
        <f t="shared" si="37"/>
        <v>0</v>
      </c>
      <c r="AP47" s="19">
        <f t="shared" si="24"/>
        <v>0</v>
      </c>
      <c r="AQ47" s="20">
        <f t="shared" si="25"/>
        <v>0</v>
      </c>
      <c r="AR47" s="58">
        <f t="shared" si="26"/>
        <v>0</v>
      </c>
      <c r="AS47" s="1">
        <f t="shared" si="27"/>
        <v>0</v>
      </c>
      <c r="AT47" s="21">
        <f t="shared" si="28"/>
        <v>0</v>
      </c>
      <c r="AU47" s="28">
        <f t="shared" si="29"/>
        <v>0</v>
      </c>
      <c r="AV47" s="19">
        <f t="shared" si="30"/>
        <v>0</v>
      </c>
      <c r="AW47" s="19">
        <f t="shared" si="31"/>
        <v>0</v>
      </c>
      <c r="AX47" s="27">
        <f t="shared" si="32"/>
        <v>0</v>
      </c>
      <c r="AY47" s="1" t="e">
        <f t="shared" si="33"/>
        <v>#DIV/0!</v>
      </c>
      <c r="AZ47" s="1" t="e">
        <f t="shared" si="34"/>
        <v>#DIV/0!</v>
      </c>
    </row>
    <row r="48" spans="1:52" hidden="1" x14ac:dyDescent="0.35">
      <c r="A48" s="29" t="s">
        <v>423</v>
      </c>
      <c r="B48" s="6">
        <v>1000</v>
      </c>
      <c r="C48" s="2" t="e">
        <f>+VLOOKUP(E48,inventario!#REF!,2,0)</f>
        <v>#REF!</v>
      </c>
      <c r="D48" t="str">
        <f t="shared" si="3"/>
        <v>CINTA</v>
      </c>
      <c r="E48" t="s">
        <v>50</v>
      </c>
      <c r="F48" s="6" t="str">
        <f>+IFERROR(VLOOKUP(E48,#REF!,29,0),"C")</f>
        <v>C</v>
      </c>
      <c r="G48" s="6" t="str">
        <f>+IFERROR(VLOOKUP(E48,#REF!,34,0),"C")</f>
        <v>C</v>
      </c>
      <c r="H48" s="64">
        <f>+IFERROR(VLOOKUP(E48,#REF!,31,0),0)</f>
        <v>0</v>
      </c>
      <c r="I48" s="44">
        <f>+IFERROR(VLOOKUP(E48,#REF!,26,0),0)</f>
        <v>0</v>
      </c>
      <c r="J48" s="44">
        <f>+IFERROR(VLOOKUP(E48,#REF!,30,0),0)</f>
        <v>0</v>
      </c>
      <c r="K48" s="3"/>
      <c r="L48" s="25">
        <f t="shared" si="4"/>
        <v>0.7</v>
      </c>
      <c r="M48" s="26">
        <f t="shared" si="5"/>
        <v>0.52440051270804078</v>
      </c>
      <c r="O48">
        <f>+IFERROR(VLOOKUP(D48,lt!A:J,10,0),15)</f>
        <v>15</v>
      </c>
      <c r="P48">
        <v>2</v>
      </c>
      <c r="Q48">
        <v>1</v>
      </c>
      <c r="R48">
        <v>2</v>
      </c>
      <c r="S48" s="22">
        <f t="shared" si="6"/>
        <v>20</v>
      </c>
      <c r="T48" s="9">
        <v>3</v>
      </c>
      <c r="U48" s="23">
        <f t="shared" si="7"/>
        <v>0.76666666666666672</v>
      </c>
      <c r="V48" s="11">
        <f t="shared" si="8"/>
        <v>0</v>
      </c>
      <c r="W48" s="11">
        <f t="shared" si="9"/>
        <v>0</v>
      </c>
      <c r="X48" s="11">
        <f t="shared" si="10"/>
        <v>0</v>
      </c>
      <c r="Y48" s="11">
        <f t="shared" si="11"/>
        <v>0</v>
      </c>
      <c r="Z48" s="65">
        <f t="shared" si="12"/>
        <v>0</v>
      </c>
      <c r="AA48" s="24">
        <f t="shared" si="13"/>
        <v>0</v>
      </c>
      <c r="AB48">
        <f t="shared" si="14"/>
        <v>0</v>
      </c>
      <c r="AC48" s="46">
        <f>+IFERROR(VLOOKUP(E48,#REF!,24,0),0.2)</f>
        <v>0.2</v>
      </c>
      <c r="AD48" s="42">
        <f>+IFERROR(VLOOKUP(E48,h!$C:$D,2,0),0.3866)</f>
        <v>4.6333000000000005E-5</v>
      </c>
      <c r="AE48" s="42">
        <f>+VLOOKUP(A48,k!$A$1:$G$4,5,0)</f>
        <v>0.35799365240740744</v>
      </c>
      <c r="AF48" s="47">
        <f t="shared" si="15"/>
        <v>0.5580399854074074</v>
      </c>
      <c r="AG48" s="48">
        <f t="shared" si="16"/>
        <v>6.6964798248888888E-2</v>
      </c>
      <c r="AH48" s="20">
        <f>+IFERROR(VLOOKUP(C48,k!$A$7:$L$13,7,0),0)</f>
        <v>0</v>
      </c>
      <c r="AI48" s="20">
        <f t="shared" si="17"/>
        <v>0</v>
      </c>
      <c r="AJ48" s="5">
        <f t="shared" si="18"/>
        <v>0</v>
      </c>
      <c r="AK48" s="57">
        <f t="shared" si="19"/>
        <v>0</v>
      </c>
      <c r="AL48" s="19">
        <f t="shared" si="20"/>
        <v>0</v>
      </c>
      <c r="AM48" s="20">
        <f t="shared" si="21"/>
        <v>0</v>
      </c>
      <c r="AN48" s="27">
        <f t="shared" si="22"/>
        <v>0</v>
      </c>
      <c r="AO48" s="57">
        <f t="shared" si="37"/>
        <v>0</v>
      </c>
      <c r="AP48" s="19">
        <f t="shared" si="24"/>
        <v>0</v>
      </c>
      <c r="AQ48" s="20">
        <f t="shared" si="25"/>
        <v>0</v>
      </c>
      <c r="AR48" s="58">
        <f t="shared" si="26"/>
        <v>0</v>
      </c>
      <c r="AS48" s="1">
        <f t="shared" si="27"/>
        <v>0</v>
      </c>
      <c r="AT48" s="21">
        <f t="shared" si="28"/>
        <v>0</v>
      </c>
      <c r="AU48" s="28">
        <f t="shared" si="29"/>
        <v>0</v>
      </c>
      <c r="AV48" s="19">
        <f t="shared" si="30"/>
        <v>0</v>
      </c>
      <c r="AW48" s="19">
        <f t="shared" si="31"/>
        <v>0</v>
      </c>
      <c r="AX48" s="27">
        <f t="shared" si="32"/>
        <v>0</v>
      </c>
      <c r="AY48" s="1" t="e">
        <f t="shared" si="33"/>
        <v>#DIV/0!</v>
      </c>
      <c r="AZ48" s="1" t="e">
        <f t="shared" si="34"/>
        <v>#DIV/0!</v>
      </c>
    </row>
    <row r="49" spans="1:52" hidden="1" x14ac:dyDescent="0.35">
      <c r="A49" s="29" t="s">
        <v>423</v>
      </c>
      <c r="B49" s="6">
        <v>1000</v>
      </c>
      <c r="C49" s="2" t="e">
        <f>+VLOOKUP(E49,inventario!#REF!,2,0)</f>
        <v>#REF!</v>
      </c>
      <c r="D49" t="str">
        <f t="shared" si="3"/>
        <v>1021-ME</v>
      </c>
      <c r="E49" t="s">
        <v>49</v>
      </c>
      <c r="F49" s="6" t="str">
        <f>+IFERROR(VLOOKUP(E49,#REF!,29,0),"C")</f>
        <v>C</v>
      </c>
      <c r="G49" s="6" t="str">
        <f>+IFERROR(VLOOKUP(E49,#REF!,34,0),"C")</f>
        <v>C</v>
      </c>
      <c r="H49" s="64">
        <f>+IFERROR(VLOOKUP(E49,#REF!,31,0),0)</f>
        <v>0</v>
      </c>
      <c r="I49" s="44">
        <f>+IFERROR(VLOOKUP(E49,#REF!,26,0),0)</f>
        <v>0</v>
      </c>
      <c r="J49" s="44">
        <f>+IFERROR(VLOOKUP(E49,#REF!,30,0),0)</f>
        <v>0</v>
      </c>
      <c r="K49" s="3"/>
      <c r="L49" s="25">
        <f t="shared" si="4"/>
        <v>0.7</v>
      </c>
      <c r="M49" s="26">
        <f t="shared" si="5"/>
        <v>0.52440051270804078</v>
      </c>
      <c r="O49">
        <f>+IFERROR(VLOOKUP(D49,lt!A:J,10,0),15)</f>
        <v>15</v>
      </c>
      <c r="P49">
        <v>2</v>
      </c>
      <c r="Q49">
        <v>1</v>
      </c>
      <c r="R49">
        <v>2</v>
      </c>
      <c r="S49" s="22">
        <f t="shared" si="6"/>
        <v>20</v>
      </c>
      <c r="T49" s="9">
        <v>3</v>
      </c>
      <c r="U49" s="23">
        <f t="shared" si="7"/>
        <v>0.76666666666666672</v>
      </c>
      <c r="V49" s="11">
        <f t="shared" si="8"/>
        <v>0</v>
      </c>
      <c r="W49" s="11">
        <f t="shared" si="9"/>
        <v>0</v>
      </c>
      <c r="X49" s="11">
        <f t="shared" si="10"/>
        <v>0</v>
      </c>
      <c r="Y49" s="11">
        <f t="shared" si="11"/>
        <v>0</v>
      </c>
      <c r="Z49" s="65">
        <f t="shared" si="12"/>
        <v>0</v>
      </c>
      <c r="AA49" s="24">
        <f t="shared" si="13"/>
        <v>0</v>
      </c>
      <c r="AB49">
        <f t="shared" si="14"/>
        <v>0</v>
      </c>
      <c r="AC49" s="46">
        <f>+IFERROR(VLOOKUP(E49,#REF!,24,0),0.2)</f>
        <v>0.2</v>
      </c>
      <c r="AD49" s="42">
        <f>+IFERROR(VLOOKUP(E49,h!$C:$D,2,0),0.3866)</f>
        <v>4.6333000000000005E-5</v>
      </c>
      <c r="AE49" s="42">
        <f>+VLOOKUP(A49,k!$A$1:$G$4,5,0)</f>
        <v>0.35799365240740744</v>
      </c>
      <c r="AF49" s="47">
        <f t="shared" si="15"/>
        <v>0.5580399854074074</v>
      </c>
      <c r="AG49" s="48">
        <f t="shared" si="16"/>
        <v>6.6964798248888888E-2</v>
      </c>
      <c r="AH49" s="20">
        <f>+IFERROR(VLOOKUP(C49,k!$A$7:$L$13,7,0),0)</f>
        <v>0</v>
      </c>
      <c r="AI49" s="20">
        <f t="shared" si="17"/>
        <v>0</v>
      </c>
      <c r="AJ49" s="5">
        <f t="shared" si="18"/>
        <v>0</v>
      </c>
      <c r="AK49" s="57">
        <f t="shared" si="19"/>
        <v>0</v>
      </c>
      <c r="AL49" s="19">
        <f t="shared" si="20"/>
        <v>0</v>
      </c>
      <c r="AM49" s="20">
        <f t="shared" si="21"/>
        <v>0</v>
      </c>
      <c r="AN49" s="27">
        <f t="shared" si="22"/>
        <v>0</v>
      </c>
      <c r="AO49" s="57">
        <f t="shared" si="37"/>
        <v>0</v>
      </c>
      <c r="AP49" s="19">
        <f t="shared" si="24"/>
        <v>0</v>
      </c>
      <c r="AQ49" s="20">
        <f t="shared" si="25"/>
        <v>0</v>
      </c>
      <c r="AR49" s="58">
        <f t="shared" si="26"/>
        <v>0</v>
      </c>
      <c r="AS49" s="1">
        <f t="shared" si="27"/>
        <v>0</v>
      </c>
      <c r="AT49" s="21">
        <f t="shared" si="28"/>
        <v>0</v>
      </c>
      <c r="AU49" s="28">
        <f t="shared" si="29"/>
        <v>0</v>
      </c>
      <c r="AV49" s="19">
        <f t="shared" si="30"/>
        <v>0</v>
      </c>
      <c r="AW49" s="19">
        <f t="shared" si="31"/>
        <v>0</v>
      </c>
      <c r="AX49" s="27">
        <f t="shared" si="32"/>
        <v>0</v>
      </c>
      <c r="AY49" s="1" t="e">
        <f t="shared" si="33"/>
        <v>#DIV/0!</v>
      </c>
      <c r="AZ49" s="1" t="e">
        <f t="shared" si="34"/>
        <v>#DIV/0!</v>
      </c>
    </row>
    <row r="50" spans="1:52" hidden="1" x14ac:dyDescent="0.35">
      <c r="A50" s="29" t="s">
        <v>423</v>
      </c>
      <c r="B50" s="6">
        <v>1000</v>
      </c>
      <c r="C50" s="2" t="e">
        <f>+VLOOKUP(E50,inventario!#REF!,2,0)</f>
        <v>#REF!</v>
      </c>
      <c r="D50" t="str">
        <f t="shared" si="3"/>
        <v>9536</v>
      </c>
      <c r="E50" t="s">
        <v>968</v>
      </c>
      <c r="F50" s="6" t="str">
        <f>+IFERROR(VLOOKUP(E50,#REF!,29,0),"C")</f>
        <v>C</v>
      </c>
      <c r="G50" s="6" t="str">
        <f>+IFERROR(VLOOKUP(E50,#REF!,34,0),"C")</f>
        <v>C</v>
      </c>
      <c r="H50" s="64">
        <f>+IFERROR(VLOOKUP(E50,#REF!,31,0),0)</f>
        <v>0</v>
      </c>
      <c r="I50" s="44">
        <f>+IFERROR(VLOOKUP(E50,#REF!,26,0),0)</f>
        <v>0</v>
      </c>
      <c r="J50" s="44">
        <f>+IFERROR(VLOOKUP(E50,#REF!,30,0),0)</f>
        <v>0</v>
      </c>
      <c r="K50" s="3"/>
      <c r="L50" s="25">
        <f t="shared" si="4"/>
        <v>0.7</v>
      </c>
      <c r="M50" s="26">
        <f t="shared" si="5"/>
        <v>0.52440051270804078</v>
      </c>
      <c r="O50">
        <f>+IFERROR(VLOOKUP(D50,lt!A:J,10,0),15)</f>
        <v>15</v>
      </c>
      <c r="P50">
        <v>2</v>
      </c>
      <c r="Q50">
        <v>1</v>
      </c>
      <c r="R50">
        <v>2</v>
      </c>
      <c r="S50" s="22">
        <f t="shared" si="6"/>
        <v>20</v>
      </c>
      <c r="T50" s="9">
        <v>3</v>
      </c>
      <c r="U50" s="23">
        <f t="shared" si="7"/>
        <v>0.76666666666666672</v>
      </c>
      <c r="V50" s="11">
        <f t="shared" si="8"/>
        <v>0</v>
      </c>
      <c r="W50" s="11">
        <f t="shared" si="9"/>
        <v>0</v>
      </c>
      <c r="X50" s="11">
        <f t="shared" si="10"/>
        <v>0</v>
      </c>
      <c r="Y50" s="11">
        <f t="shared" si="11"/>
        <v>0</v>
      </c>
      <c r="Z50" s="65">
        <f t="shared" si="12"/>
        <v>0</v>
      </c>
      <c r="AA50" s="24">
        <f t="shared" si="13"/>
        <v>0</v>
      </c>
      <c r="AB50">
        <f t="shared" si="14"/>
        <v>0</v>
      </c>
      <c r="AC50" s="46">
        <f>+IFERROR(VLOOKUP(E50,#REF!,24,0),0.2)</f>
        <v>0.2</v>
      </c>
      <c r="AD50" s="42">
        <f>+IFERROR(VLOOKUP(E50,h!$C:$D,2,0),0.3866)</f>
        <v>4.6333000000000005E-5</v>
      </c>
      <c r="AE50" s="42">
        <f>+VLOOKUP(A50,k!$A$1:$G$4,5,0)</f>
        <v>0.35799365240740744</v>
      </c>
      <c r="AF50" s="47">
        <f t="shared" si="15"/>
        <v>0.5580399854074074</v>
      </c>
      <c r="AG50" s="48">
        <f t="shared" si="16"/>
        <v>6.6964798248888888E-2</v>
      </c>
      <c r="AH50" s="20">
        <f>+IFERROR(VLOOKUP(C50,k!$A$7:$L$13,7,0),0)</f>
        <v>0</v>
      </c>
      <c r="AI50" s="20">
        <f t="shared" si="17"/>
        <v>0</v>
      </c>
      <c r="AJ50" s="5">
        <f t="shared" si="18"/>
        <v>0</v>
      </c>
      <c r="AK50" s="57">
        <f t="shared" si="19"/>
        <v>0</v>
      </c>
      <c r="AL50" s="19">
        <f t="shared" si="20"/>
        <v>0</v>
      </c>
      <c r="AM50" s="20">
        <f t="shared" si="21"/>
        <v>0</v>
      </c>
      <c r="AN50" s="27">
        <f t="shared" si="22"/>
        <v>0</v>
      </c>
      <c r="AO50" s="57">
        <f t="shared" si="37"/>
        <v>0</v>
      </c>
      <c r="AP50" s="19">
        <f t="shared" si="24"/>
        <v>0</v>
      </c>
      <c r="AQ50" s="20">
        <f t="shared" si="25"/>
        <v>0</v>
      </c>
      <c r="AR50" s="58">
        <f t="shared" si="26"/>
        <v>0</v>
      </c>
      <c r="AS50" s="1">
        <f t="shared" si="27"/>
        <v>0</v>
      </c>
      <c r="AT50" s="21">
        <f t="shared" si="28"/>
        <v>0</v>
      </c>
      <c r="AU50" s="28">
        <f t="shared" si="29"/>
        <v>0</v>
      </c>
      <c r="AV50" s="19">
        <f t="shared" si="30"/>
        <v>0</v>
      </c>
      <c r="AW50" s="19">
        <f t="shared" si="31"/>
        <v>0</v>
      </c>
      <c r="AX50" s="27">
        <f t="shared" si="32"/>
        <v>0</v>
      </c>
      <c r="AY50" s="1" t="e">
        <f t="shared" si="33"/>
        <v>#DIV/0!</v>
      </c>
      <c r="AZ50" s="1" t="e">
        <f t="shared" si="34"/>
        <v>#DIV/0!</v>
      </c>
    </row>
    <row r="51" spans="1:52" hidden="1" x14ac:dyDescent="0.35">
      <c r="A51" s="29" t="s">
        <v>423</v>
      </c>
      <c r="B51" s="6">
        <v>1000</v>
      </c>
      <c r="C51" s="2" t="e">
        <f>+VLOOKUP(E51,inventario!#REF!,2,0)</f>
        <v>#REF!</v>
      </c>
      <c r="D51" t="str">
        <f t="shared" si="3"/>
        <v>9512</v>
      </c>
      <c r="E51" t="s">
        <v>58</v>
      </c>
      <c r="F51" s="6" t="str">
        <f>+IFERROR(VLOOKUP(E51,#REF!,29,0),"C")</f>
        <v>C</v>
      </c>
      <c r="G51" s="6" t="str">
        <f>+IFERROR(VLOOKUP(E51,#REF!,34,0),"C")</f>
        <v>C</v>
      </c>
      <c r="H51" s="64">
        <f>+IFERROR(VLOOKUP(E51,#REF!,31,0),0)</f>
        <v>0</v>
      </c>
      <c r="I51" s="44">
        <f>+IFERROR(VLOOKUP(E51,#REF!,26,0),0)</f>
        <v>0</v>
      </c>
      <c r="J51" s="44">
        <f>+IFERROR(VLOOKUP(E51,#REF!,30,0),0)</f>
        <v>0</v>
      </c>
      <c r="K51" s="3"/>
      <c r="L51" s="25">
        <f t="shared" si="4"/>
        <v>0.7</v>
      </c>
      <c r="M51" s="26">
        <f t="shared" si="5"/>
        <v>0.52440051270804078</v>
      </c>
      <c r="O51">
        <f>+IFERROR(VLOOKUP(D51,lt!A:J,10,0),15)</f>
        <v>15</v>
      </c>
      <c r="P51">
        <v>2</v>
      </c>
      <c r="Q51">
        <v>1</v>
      </c>
      <c r="R51">
        <v>2</v>
      </c>
      <c r="S51" s="22">
        <f t="shared" si="6"/>
        <v>20</v>
      </c>
      <c r="T51" s="9">
        <v>3</v>
      </c>
      <c r="U51" s="23">
        <f t="shared" si="7"/>
        <v>0.76666666666666672</v>
      </c>
      <c r="V51" s="11">
        <f t="shared" si="8"/>
        <v>0</v>
      </c>
      <c r="W51" s="11">
        <f t="shared" si="9"/>
        <v>0</v>
      </c>
      <c r="X51" s="11">
        <f t="shared" si="10"/>
        <v>0</v>
      </c>
      <c r="Y51" s="11">
        <f t="shared" si="11"/>
        <v>0</v>
      </c>
      <c r="Z51" s="65">
        <f t="shared" si="12"/>
        <v>0</v>
      </c>
      <c r="AA51" s="24">
        <f t="shared" si="13"/>
        <v>0</v>
      </c>
      <c r="AB51">
        <f t="shared" si="14"/>
        <v>0</v>
      </c>
      <c r="AC51" s="46">
        <f>+IFERROR(VLOOKUP(E51,#REF!,24,0),0.2)</f>
        <v>0.2</v>
      </c>
      <c r="AD51" s="42">
        <f>+IFERROR(VLOOKUP(E51,h!$C:$D,2,0),0.3866)</f>
        <v>4.6333000000000005E-5</v>
      </c>
      <c r="AE51" s="42">
        <f>+VLOOKUP(A51,k!$A$1:$G$4,5,0)</f>
        <v>0.35799365240740744</v>
      </c>
      <c r="AF51" s="47">
        <f t="shared" si="15"/>
        <v>0.5580399854074074</v>
      </c>
      <c r="AG51" s="48">
        <f t="shared" si="16"/>
        <v>6.6964798248888888E-2</v>
      </c>
      <c r="AH51" s="20">
        <f>+IFERROR(VLOOKUP(C51,k!$A$7:$L$13,7,0),0)</f>
        <v>0</v>
      </c>
      <c r="AI51" s="20">
        <f t="shared" si="17"/>
        <v>0</v>
      </c>
      <c r="AJ51" s="5">
        <f t="shared" si="18"/>
        <v>0</v>
      </c>
      <c r="AK51" s="57">
        <f t="shared" si="19"/>
        <v>0</v>
      </c>
      <c r="AL51" s="19">
        <f t="shared" si="20"/>
        <v>0</v>
      </c>
      <c r="AM51" s="20">
        <f t="shared" si="21"/>
        <v>0</v>
      </c>
      <c r="AN51" s="27">
        <f t="shared" si="22"/>
        <v>0</v>
      </c>
      <c r="AO51" s="57">
        <f t="shared" si="37"/>
        <v>0</v>
      </c>
      <c r="AP51" s="19">
        <f t="shared" si="24"/>
        <v>0</v>
      </c>
      <c r="AQ51" s="20">
        <f t="shared" si="25"/>
        <v>0</v>
      </c>
      <c r="AR51" s="58">
        <f t="shared" si="26"/>
        <v>0</v>
      </c>
      <c r="AS51" s="1">
        <f t="shared" si="27"/>
        <v>0</v>
      </c>
      <c r="AT51" s="21">
        <f t="shared" si="28"/>
        <v>0</v>
      </c>
      <c r="AU51" s="28">
        <f t="shared" si="29"/>
        <v>0</v>
      </c>
      <c r="AV51" s="19">
        <f t="shared" si="30"/>
        <v>0</v>
      </c>
      <c r="AW51" s="19">
        <f t="shared" si="31"/>
        <v>0</v>
      </c>
      <c r="AX51" s="27">
        <f t="shared" si="32"/>
        <v>0</v>
      </c>
      <c r="AY51" s="1" t="e">
        <f t="shared" si="33"/>
        <v>#DIV/0!</v>
      </c>
      <c r="AZ51" s="1" t="e">
        <f t="shared" si="34"/>
        <v>#DIV/0!</v>
      </c>
    </row>
    <row r="52" spans="1:52" hidden="1" x14ac:dyDescent="0.35">
      <c r="A52" s="29" t="s">
        <v>423</v>
      </c>
      <c r="B52" s="6">
        <v>1000</v>
      </c>
      <c r="C52" s="2" t="s">
        <v>100</v>
      </c>
      <c r="D52" t="str">
        <f t="shared" si="3"/>
        <v>9535</v>
      </c>
      <c r="E52" t="s">
        <v>975</v>
      </c>
      <c r="F52" s="6" t="str">
        <f>+IFERROR(VLOOKUP(E52,#REF!,29,0),"C")</f>
        <v>C</v>
      </c>
      <c r="G52" s="6" t="str">
        <f>+IFERROR(VLOOKUP(E52,#REF!,34,0),"C")</f>
        <v>C</v>
      </c>
      <c r="H52" s="64">
        <f>+IFERROR(VLOOKUP(E52,#REF!,31,0),0)</f>
        <v>0</v>
      </c>
      <c r="I52" s="44">
        <f>+IFERROR(VLOOKUP(E52,#REF!,26,0),0)</f>
        <v>0</v>
      </c>
      <c r="J52" s="44">
        <f>+IFERROR(VLOOKUP(E52,#REF!,30,0),0)</f>
        <v>0</v>
      </c>
      <c r="K52" s="3"/>
      <c r="L52" s="25">
        <f t="shared" si="4"/>
        <v>0.7</v>
      </c>
      <c r="M52" s="26">
        <f t="shared" si="5"/>
        <v>0.52440051270804078</v>
      </c>
      <c r="O52">
        <f>+IFERROR(VLOOKUP(D52,lt!A:J,10,0),15)</f>
        <v>15</v>
      </c>
      <c r="P52">
        <v>2</v>
      </c>
      <c r="Q52">
        <v>1</v>
      </c>
      <c r="R52">
        <v>2</v>
      </c>
      <c r="S52" s="22">
        <f t="shared" si="6"/>
        <v>20</v>
      </c>
      <c r="T52" s="9">
        <v>3</v>
      </c>
      <c r="U52" s="23">
        <f t="shared" si="7"/>
        <v>0.76666666666666672</v>
      </c>
      <c r="V52" s="11">
        <f t="shared" si="8"/>
        <v>0</v>
      </c>
      <c r="W52" s="11">
        <f t="shared" si="9"/>
        <v>0</v>
      </c>
      <c r="X52" s="11">
        <f t="shared" si="10"/>
        <v>0</v>
      </c>
      <c r="Y52" s="11">
        <f t="shared" si="11"/>
        <v>0</v>
      </c>
      <c r="Z52" s="65">
        <f t="shared" si="12"/>
        <v>0</v>
      </c>
      <c r="AA52" s="24">
        <f t="shared" si="13"/>
        <v>0</v>
      </c>
      <c r="AB52">
        <f t="shared" si="14"/>
        <v>0</v>
      </c>
      <c r="AC52" s="46">
        <f>+IFERROR(VLOOKUP(E52,#REF!,24,0),0.2)</f>
        <v>0.2</v>
      </c>
      <c r="AD52" s="42">
        <f>+IFERROR(VLOOKUP(E52,h!$C:$D,2,0),0.3866)</f>
        <v>0.3866</v>
      </c>
      <c r="AE52" s="42">
        <f>+VLOOKUP(A52,k!$A$1:$G$4,5,0)</f>
        <v>0.35799365240740744</v>
      </c>
      <c r="AF52" s="47">
        <f t="shared" si="15"/>
        <v>0.94459365240740745</v>
      </c>
      <c r="AG52" s="48">
        <f t="shared" si="16"/>
        <v>0.11335123828888889</v>
      </c>
      <c r="AH52" s="20">
        <f>+IFERROR(VLOOKUP(C52,k!$A$7:$L$13,7,0),0)</f>
        <v>7.4001689814814817</v>
      </c>
      <c r="AI52" s="20">
        <f t="shared" si="17"/>
        <v>0</v>
      </c>
      <c r="AJ52" s="5">
        <f t="shared" si="18"/>
        <v>7.4001689814814817</v>
      </c>
      <c r="AK52" s="57">
        <f t="shared" si="19"/>
        <v>0</v>
      </c>
      <c r="AL52" s="19">
        <f t="shared" si="20"/>
        <v>0</v>
      </c>
      <c r="AM52" s="20">
        <f t="shared" si="21"/>
        <v>0</v>
      </c>
      <c r="AN52" s="27">
        <f t="shared" si="22"/>
        <v>0</v>
      </c>
      <c r="AO52" s="57">
        <f t="shared" si="37"/>
        <v>0</v>
      </c>
      <c r="AP52" s="19">
        <f t="shared" si="24"/>
        <v>0</v>
      </c>
      <c r="AQ52" s="20">
        <f t="shared" si="25"/>
        <v>0</v>
      </c>
      <c r="AR52" s="58">
        <f t="shared" si="26"/>
        <v>0</v>
      </c>
      <c r="AS52" s="1">
        <f t="shared" si="27"/>
        <v>0</v>
      </c>
      <c r="AT52" s="21">
        <f t="shared" si="28"/>
        <v>0</v>
      </c>
      <c r="AU52" s="28">
        <f t="shared" si="29"/>
        <v>0</v>
      </c>
      <c r="AV52" s="19">
        <f t="shared" si="30"/>
        <v>0</v>
      </c>
      <c r="AW52" s="19">
        <f t="shared" si="31"/>
        <v>0</v>
      </c>
      <c r="AX52" s="27">
        <f t="shared" si="32"/>
        <v>0</v>
      </c>
      <c r="AY52" s="1" t="e">
        <f t="shared" si="33"/>
        <v>#DIV/0!</v>
      </c>
      <c r="AZ52" s="1" t="e">
        <f t="shared" si="34"/>
        <v>#DIV/0!</v>
      </c>
    </row>
    <row r="53" spans="1:52" hidden="1" x14ac:dyDescent="0.35">
      <c r="A53" s="29" t="s">
        <v>423</v>
      </c>
      <c r="B53" s="6">
        <v>3.0249999999999999</v>
      </c>
      <c r="C53" s="2" t="e">
        <f>+VLOOKUP(E53,inventario!#REF!,2,0)</f>
        <v>#REF!</v>
      </c>
      <c r="D53" t="str">
        <f t="shared" si="3"/>
        <v>537</v>
      </c>
      <c r="E53" t="s">
        <v>738</v>
      </c>
      <c r="F53" s="6" t="str">
        <f>+IFERROR(VLOOKUP(E53,#REF!,29,0),"C")</f>
        <v>C</v>
      </c>
      <c r="G53" s="6" t="str">
        <f>+IFERROR(VLOOKUP(E53,#REF!,34,0),"C")</f>
        <v>C</v>
      </c>
      <c r="H53" s="64">
        <f>+IFERROR(VLOOKUP(E53,#REF!,31,0),0)</f>
        <v>0</v>
      </c>
      <c r="I53" s="44">
        <f>+IFERROR(VLOOKUP(E53,#REF!,26,0),0)</f>
        <v>0</v>
      </c>
      <c r="J53" s="44">
        <f>+IFERROR(VLOOKUP(E53,#REF!,30,0),0)</f>
        <v>0</v>
      </c>
      <c r="K53" s="3"/>
      <c r="L53" s="25">
        <f t="shared" si="4"/>
        <v>0.7</v>
      </c>
      <c r="M53" s="26">
        <f t="shared" si="5"/>
        <v>0.52440051270804078</v>
      </c>
      <c r="O53">
        <f>+IFERROR(VLOOKUP(D53,lt!A:J,10,0),15)</f>
        <v>15</v>
      </c>
      <c r="P53">
        <v>2</v>
      </c>
      <c r="Q53">
        <v>1</v>
      </c>
      <c r="R53">
        <v>2</v>
      </c>
      <c r="S53" s="22">
        <f t="shared" si="6"/>
        <v>20</v>
      </c>
      <c r="T53" s="9">
        <v>3</v>
      </c>
      <c r="U53" s="23">
        <f t="shared" si="7"/>
        <v>0.76666666666666672</v>
      </c>
      <c r="V53" s="11">
        <f t="shared" si="8"/>
        <v>0</v>
      </c>
      <c r="W53" s="11">
        <f t="shared" si="9"/>
        <v>0</v>
      </c>
      <c r="X53" s="11">
        <f t="shared" si="10"/>
        <v>0</v>
      </c>
      <c r="Y53" s="11">
        <f t="shared" si="11"/>
        <v>0</v>
      </c>
      <c r="Z53" s="65">
        <f t="shared" si="12"/>
        <v>0</v>
      </c>
      <c r="AA53" s="24">
        <f t="shared" si="13"/>
        <v>0</v>
      </c>
      <c r="AB53">
        <f t="shared" si="14"/>
        <v>0</v>
      </c>
      <c r="AC53" s="46">
        <f>+IFERROR(VLOOKUP(E53,#REF!,24,0),0.2)</f>
        <v>0.2</v>
      </c>
      <c r="AD53" s="42">
        <f>+IFERROR(VLOOKUP(E53,h!$C:$D,2,0),0.3866)</f>
        <v>0.3866</v>
      </c>
      <c r="AE53" s="42">
        <f>+VLOOKUP(A53,k!$A$1:$G$4,5,0)</f>
        <v>0.35799365240740744</v>
      </c>
      <c r="AF53" s="47">
        <f t="shared" si="15"/>
        <v>0.94459365240740745</v>
      </c>
      <c r="AG53" s="48">
        <f t="shared" si="16"/>
        <v>0.11335123828888889</v>
      </c>
      <c r="AH53" s="20">
        <f>+IFERROR(VLOOKUP(C53,k!$A$7:$L$13,7,0),0)</f>
        <v>0</v>
      </c>
      <c r="AI53" s="20">
        <f t="shared" si="17"/>
        <v>0</v>
      </c>
      <c r="AJ53" s="5">
        <f t="shared" si="18"/>
        <v>0</v>
      </c>
      <c r="AK53" s="57">
        <f t="shared" si="19"/>
        <v>0</v>
      </c>
      <c r="AL53" s="19">
        <f t="shared" si="20"/>
        <v>0</v>
      </c>
      <c r="AM53" s="20">
        <f t="shared" si="21"/>
        <v>0</v>
      </c>
      <c r="AN53" s="27">
        <f t="shared" si="22"/>
        <v>0</v>
      </c>
      <c r="AO53" s="57">
        <f t="shared" si="37"/>
        <v>0</v>
      </c>
      <c r="AP53" s="19">
        <f t="shared" si="24"/>
        <v>0</v>
      </c>
      <c r="AQ53" s="20">
        <f t="shared" si="25"/>
        <v>0</v>
      </c>
      <c r="AR53" s="58">
        <f t="shared" si="26"/>
        <v>0</v>
      </c>
      <c r="AS53" s="1">
        <f t="shared" si="27"/>
        <v>0</v>
      </c>
      <c r="AT53" s="21">
        <f t="shared" si="28"/>
        <v>0</v>
      </c>
      <c r="AU53" s="28">
        <f t="shared" si="29"/>
        <v>0</v>
      </c>
      <c r="AV53" s="19">
        <f t="shared" si="30"/>
        <v>0</v>
      </c>
      <c r="AW53" s="19">
        <f t="shared" si="31"/>
        <v>0</v>
      </c>
      <c r="AX53" s="27">
        <f t="shared" si="32"/>
        <v>0</v>
      </c>
      <c r="AY53" s="1" t="e">
        <f t="shared" si="33"/>
        <v>#DIV/0!</v>
      </c>
      <c r="AZ53" s="1" t="e">
        <f t="shared" si="34"/>
        <v>#DIV/0!</v>
      </c>
    </row>
    <row r="54" spans="1:52" hidden="1" x14ac:dyDescent="0.35">
      <c r="A54" s="29" t="s">
        <v>423</v>
      </c>
      <c r="B54" s="6">
        <v>4.0250000000000004</v>
      </c>
      <c r="C54" s="2" t="e">
        <f>+VLOOKUP(E54,inventario!#REF!,2,0)</f>
        <v>#REF!</v>
      </c>
      <c r="D54" t="str">
        <f t="shared" si="3"/>
        <v>538</v>
      </c>
      <c r="E54" t="s">
        <v>739</v>
      </c>
      <c r="F54" s="6" t="str">
        <f>+IFERROR(VLOOKUP(E54,#REF!,29,0),"C")</f>
        <v>C</v>
      </c>
      <c r="G54" s="6" t="str">
        <f>+IFERROR(VLOOKUP(E54,#REF!,34,0),"C")</f>
        <v>C</v>
      </c>
      <c r="H54" s="64">
        <f>+IFERROR(VLOOKUP(E54,#REF!,31,0),0)</f>
        <v>0</v>
      </c>
      <c r="I54" s="44">
        <f>+IFERROR(VLOOKUP(E54,#REF!,26,0),0)</f>
        <v>0</v>
      </c>
      <c r="J54" s="44">
        <f>+IFERROR(VLOOKUP(E54,#REF!,30,0),0)</f>
        <v>0</v>
      </c>
      <c r="K54" s="3"/>
      <c r="L54" s="25">
        <f t="shared" si="4"/>
        <v>0.7</v>
      </c>
      <c r="M54" s="26">
        <f t="shared" si="5"/>
        <v>0.52440051270804078</v>
      </c>
      <c r="O54">
        <f>+IFERROR(VLOOKUP(D54,lt!A:J,10,0),15)</f>
        <v>15</v>
      </c>
      <c r="P54">
        <v>2</v>
      </c>
      <c r="Q54">
        <v>1</v>
      </c>
      <c r="R54">
        <v>2</v>
      </c>
      <c r="S54" s="22">
        <f t="shared" si="6"/>
        <v>20</v>
      </c>
      <c r="T54" s="9">
        <v>3</v>
      </c>
      <c r="U54" s="23">
        <f t="shared" si="7"/>
        <v>0.76666666666666672</v>
      </c>
      <c r="V54" s="11">
        <f t="shared" si="8"/>
        <v>0</v>
      </c>
      <c r="W54" s="11">
        <f t="shared" si="9"/>
        <v>0</v>
      </c>
      <c r="X54" s="11">
        <f t="shared" si="10"/>
        <v>0</v>
      </c>
      <c r="Y54" s="11">
        <f t="shared" si="11"/>
        <v>0</v>
      </c>
      <c r="Z54" s="65">
        <f t="shared" si="12"/>
        <v>0</v>
      </c>
      <c r="AA54" s="24">
        <f t="shared" si="13"/>
        <v>0</v>
      </c>
      <c r="AB54">
        <f t="shared" si="14"/>
        <v>0</v>
      </c>
      <c r="AC54" s="46">
        <f>+IFERROR(VLOOKUP(E54,#REF!,24,0),0.2)</f>
        <v>0.2</v>
      </c>
      <c r="AD54" s="42">
        <f>+IFERROR(VLOOKUP(E54,h!$C:$D,2,0),0.3866)</f>
        <v>0.3866</v>
      </c>
      <c r="AE54" s="42">
        <f>+VLOOKUP(A54,k!$A$1:$G$4,5,0)</f>
        <v>0.35799365240740744</v>
      </c>
      <c r="AF54" s="47">
        <f t="shared" si="15"/>
        <v>0.94459365240740745</v>
      </c>
      <c r="AG54" s="48">
        <f t="shared" si="16"/>
        <v>0.11335123828888889</v>
      </c>
      <c r="AH54" s="20">
        <f>+IFERROR(VLOOKUP(C54,k!$A$7:$L$13,7,0),0)</f>
        <v>0</v>
      </c>
      <c r="AI54" s="20">
        <f t="shared" si="17"/>
        <v>0</v>
      </c>
      <c r="AJ54" s="5">
        <f t="shared" si="18"/>
        <v>0</v>
      </c>
      <c r="AK54" s="57">
        <f t="shared" si="19"/>
        <v>0</v>
      </c>
      <c r="AL54" s="19">
        <f t="shared" si="20"/>
        <v>0</v>
      </c>
      <c r="AM54" s="20">
        <f t="shared" si="21"/>
        <v>0</v>
      </c>
      <c r="AN54" s="27">
        <f t="shared" si="22"/>
        <v>0</v>
      </c>
      <c r="AO54" s="57">
        <f t="shared" si="37"/>
        <v>0</v>
      </c>
      <c r="AP54" s="19">
        <f t="shared" si="24"/>
        <v>0</v>
      </c>
      <c r="AQ54" s="20">
        <f t="shared" si="25"/>
        <v>0</v>
      </c>
      <c r="AR54" s="58">
        <f t="shared" si="26"/>
        <v>0</v>
      </c>
      <c r="AS54" s="1">
        <f t="shared" si="27"/>
        <v>0</v>
      </c>
      <c r="AT54" s="21">
        <f t="shared" si="28"/>
        <v>0</v>
      </c>
      <c r="AU54" s="28">
        <f t="shared" si="29"/>
        <v>0</v>
      </c>
      <c r="AV54" s="19">
        <f t="shared" si="30"/>
        <v>0</v>
      </c>
      <c r="AW54" s="19">
        <f t="shared" si="31"/>
        <v>0</v>
      </c>
      <c r="AX54" s="27">
        <f t="shared" si="32"/>
        <v>0</v>
      </c>
      <c r="AY54" s="1" t="e">
        <f t="shared" si="33"/>
        <v>#DIV/0!</v>
      </c>
      <c r="AZ54" s="1" t="e">
        <f t="shared" si="34"/>
        <v>#DIV/0!</v>
      </c>
    </row>
    <row r="55" spans="1:52" hidden="1" x14ac:dyDescent="0.35">
      <c r="A55" s="29" t="s">
        <v>423</v>
      </c>
      <c r="B55" s="6">
        <v>1000</v>
      </c>
      <c r="C55" s="2" t="s">
        <v>100</v>
      </c>
      <c r="D55" t="str">
        <f t="shared" si="3"/>
        <v>5302</v>
      </c>
      <c r="E55" t="s">
        <v>778</v>
      </c>
      <c r="F55" s="6" t="str">
        <f>+IFERROR(VLOOKUP(E55,#REF!,29,0),"C")</f>
        <v>C</v>
      </c>
      <c r="G55" s="6" t="str">
        <f>+IFERROR(VLOOKUP(E55,#REF!,34,0),"C")</f>
        <v>C</v>
      </c>
      <c r="H55" s="64">
        <f>+IFERROR(VLOOKUP(E55,#REF!,31,0),0)</f>
        <v>0</v>
      </c>
      <c r="I55" s="44">
        <f>+IFERROR(VLOOKUP(E55,#REF!,26,0),0)</f>
        <v>0</v>
      </c>
      <c r="J55" s="44">
        <f>+IFERROR(VLOOKUP(E55,#REF!,30,0),0)</f>
        <v>0</v>
      </c>
      <c r="K55" s="3"/>
      <c r="L55" s="25">
        <f t="shared" si="4"/>
        <v>0.7</v>
      </c>
      <c r="M55" s="26">
        <f t="shared" si="5"/>
        <v>0.52440051270804078</v>
      </c>
      <c r="O55">
        <f>+IFERROR(VLOOKUP(D55,lt!A:J,10,0),15)</f>
        <v>15</v>
      </c>
      <c r="P55">
        <v>2</v>
      </c>
      <c r="Q55">
        <v>1</v>
      </c>
      <c r="R55">
        <v>2</v>
      </c>
      <c r="S55" s="22">
        <f t="shared" si="6"/>
        <v>20</v>
      </c>
      <c r="T55" s="9">
        <v>3</v>
      </c>
      <c r="U55" s="23">
        <f t="shared" si="7"/>
        <v>0.76666666666666672</v>
      </c>
      <c r="V55" s="11">
        <f t="shared" si="8"/>
        <v>0</v>
      </c>
      <c r="W55" s="11">
        <f t="shared" si="9"/>
        <v>0</v>
      </c>
      <c r="X55" s="11">
        <f t="shared" si="10"/>
        <v>0</v>
      </c>
      <c r="Y55" s="11">
        <f t="shared" si="11"/>
        <v>0</v>
      </c>
      <c r="Z55" s="65">
        <f t="shared" si="12"/>
        <v>0</v>
      </c>
      <c r="AA55" s="24">
        <f t="shared" si="13"/>
        <v>0</v>
      </c>
      <c r="AB55">
        <f t="shared" si="14"/>
        <v>0</v>
      </c>
      <c r="AC55" s="46">
        <f>+IFERROR(VLOOKUP(E55,#REF!,24,0),0.2)</f>
        <v>0.2</v>
      </c>
      <c r="AD55" s="42">
        <f>+IFERROR(VLOOKUP(E55,h!$C:$D,2,0),0.3866)</f>
        <v>0.3866</v>
      </c>
      <c r="AE55" s="42">
        <f>+VLOOKUP(A55,k!$A$1:$G$4,5,0)</f>
        <v>0.35799365240740744</v>
      </c>
      <c r="AF55" s="47">
        <f t="shared" si="15"/>
        <v>0.94459365240740745</v>
      </c>
      <c r="AG55" s="48">
        <f t="shared" si="16"/>
        <v>0.11335123828888889</v>
      </c>
      <c r="AH55" s="20">
        <f>+IFERROR(VLOOKUP(C55,k!$A$7:$L$13,7,0),0)</f>
        <v>7.4001689814814817</v>
      </c>
      <c r="AI55" s="20">
        <f t="shared" si="17"/>
        <v>0</v>
      </c>
      <c r="AJ55" s="5">
        <f t="shared" si="18"/>
        <v>7.4001689814814817</v>
      </c>
      <c r="AK55" s="57">
        <f t="shared" si="19"/>
        <v>0</v>
      </c>
      <c r="AL55" s="19">
        <f t="shared" si="20"/>
        <v>0</v>
      </c>
      <c r="AM55" s="20">
        <f t="shared" si="21"/>
        <v>0</v>
      </c>
      <c r="AN55" s="27">
        <f t="shared" si="22"/>
        <v>0</v>
      </c>
      <c r="AO55" s="57">
        <f t="shared" si="37"/>
        <v>0</v>
      </c>
      <c r="AP55" s="19">
        <f t="shared" si="24"/>
        <v>0</v>
      </c>
      <c r="AQ55" s="20">
        <f t="shared" si="25"/>
        <v>0</v>
      </c>
      <c r="AR55" s="58">
        <f t="shared" si="26"/>
        <v>0</v>
      </c>
      <c r="AS55" s="1">
        <f t="shared" si="27"/>
        <v>0</v>
      </c>
      <c r="AT55" s="21">
        <f t="shared" si="28"/>
        <v>0</v>
      </c>
      <c r="AU55" s="28">
        <f t="shared" si="29"/>
        <v>0</v>
      </c>
      <c r="AV55" s="19">
        <f t="shared" si="30"/>
        <v>0</v>
      </c>
      <c r="AW55" s="19">
        <f t="shared" si="31"/>
        <v>0</v>
      </c>
      <c r="AX55" s="27">
        <f t="shared" si="32"/>
        <v>0</v>
      </c>
      <c r="AY55" s="1" t="e">
        <f t="shared" si="33"/>
        <v>#DIV/0!</v>
      </c>
      <c r="AZ55" s="1" t="e">
        <f t="shared" si="34"/>
        <v>#DIV/0!</v>
      </c>
    </row>
    <row r="56" spans="1:52" hidden="1" x14ac:dyDescent="0.35">
      <c r="A56" s="29" t="s">
        <v>423</v>
      </c>
      <c r="B56" s="6">
        <v>1000</v>
      </c>
      <c r="C56" s="2" t="e">
        <f>+VLOOKUP(E56,inventario!#REF!,2,0)</f>
        <v>#REF!</v>
      </c>
      <c r="D56" t="str">
        <f t="shared" si="3"/>
        <v>9539</v>
      </c>
      <c r="E56" s="55" t="s">
        <v>1051</v>
      </c>
      <c r="F56" s="6" t="str">
        <f>+IFERROR(VLOOKUP(E56,#REF!,29,0),"C")</f>
        <v>C</v>
      </c>
      <c r="G56" s="6" t="str">
        <f>+IFERROR(VLOOKUP(E56,#REF!,34,0),"C")</f>
        <v>C</v>
      </c>
      <c r="H56" s="64">
        <f>+IFERROR(VLOOKUP(E56,#REF!,31,0),0)</f>
        <v>0</v>
      </c>
      <c r="I56" s="44">
        <f>+IFERROR(VLOOKUP(E56,#REF!,26,0),0)</f>
        <v>0</v>
      </c>
      <c r="J56" s="44">
        <f>+IFERROR(VLOOKUP(E56,#REF!,30,0),0)</f>
        <v>0</v>
      </c>
      <c r="L56" s="25">
        <f t="shared" si="4"/>
        <v>0.7</v>
      </c>
      <c r="M56" s="26">
        <f t="shared" si="5"/>
        <v>0.52440051270804078</v>
      </c>
      <c r="O56">
        <f>+IFERROR(VLOOKUP(D56,lt!A:J,10,0),15)</f>
        <v>15</v>
      </c>
      <c r="P56">
        <v>2</v>
      </c>
      <c r="Q56">
        <v>1</v>
      </c>
      <c r="R56">
        <v>2</v>
      </c>
      <c r="S56" s="22">
        <f t="shared" si="6"/>
        <v>20</v>
      </c>
      <c r="T56" s="9">
        <v>3</v>
      </c>
      <c r="U56" s="23">
        <f t="shared" si="7"/>
        <v>0.76666666666666672</v>
      </c>
      <c r="V56" s="11">
        <f t="shared" si="8"/>
        <v>0</v>
      </c>
      <c r="W56" s="11">
        <f t="shared" si="9"/>
        <v>0</v>
      </c>
      <c r="X56" s="11">
        <f t="shared" si="10"/>
        <v>0</v>
      </c>
      <c r="Y56" s="11">
        <f t="shared" si="11"/>
        <v>0</v>
      </c>
      <c r="Z56" s="65">
        <f t="shared" si="12"/>
        <v>0</v>
      </c>
      <c r="AA56" s="24">
        <f t="shared" si="13"/>
        <v>0</v>
      </c>
      <c r="AB56">
        <f t="shared" si="14"/>
        <v>0</v>
      </c>
      <c r="AC56" s="46">
        <f>+IFERROR(VLOOKUP(E56,#REF!,24,0),0.2)</f>
        <v>0.2</v>
      </c>
      <c r="AD56" s="42">
        <f>+IFERROR(VLOOKUP(E56,h!$C:$D,2,0),0.3866)</f>
        <v>0.3866</v>
      </c>
      <c r="AE56" s="42">
        <f>+VLOOKUP(A56,k!$A$1:$G$4,5,0)</f>
        <v>0.35799365240740744</v>
      </c>
      <c r="AF56" s="47">
        <f t="shared" si="15"/>
        <v>0.94459365240740745</v>
      </c>
      <c r="AG56" s="48">
        <f t="shared" si="16"/>
        <v>0.11335123828888889</v>
      </c>
      <c r="AH56" s="20">
        <f>+IFERROR(VLOOKUP(C56,k!$A$7:$L$13,7,0),0)</f>
        <v>0</v>
      </c>
      <c r="AI56" s="20">
        <f t="shared" si="17"/>
        <v>0</v>
      </c>
      <c r="AJ56" s="5">
        <f t="shared" si="18"/>
        <v>0</v>
      </c>
      <c r="AK56" s="57">
        <f t="shared" si="19"/>
        <v>0</v>
      </c>
      <c r="AL56" s="19">
        <f t="shared" si="20"/>
        <v>0</v>
      </c>
      <c r="AM56" s="20">
        <f t="shared" si="21"/>
        <v>0</v>
      </c>
      <c r="AN56" s="27">
        <f t="shared" si="22"/>
        <v>0</v>
      </c>
      <c r="AO56" s="57">
        <f t="shared" si="37"/>
        <v>0</v>
      </c>
      <c r="AP56" s="19">
        <f t="shared" si="24"/>
        <v>0</v>
      </c>
      <c r="AQ56" s="20">
        <f t="shared" si="25"/>
        <v>0</v>
      </c>
      <c r="AR56" s="58">
        <f t="shared" si="26"/>
        <v>0</v>
      </c>
      <c r="AS56" s="1">
        <f t="shared" si="27"/>
        <v>0</v>
      </c>
      <c r="AT56" s="21">
        <f t="shared" si="28"/>
        <v>0</v>
      </c>
      <c r="AU56" s="28">
        <f t="shared" si="29"/>
        <v>0</v>
      </c>
      <c r="AV56" s="19">
        <f t="shared" si="30"/>
        <v>0</v>
      </c>
      <c r="AW56" s="19">
        <f t="shared" si="31"/>
        <v>0</v>
      </c>
      <c r="AX56" s="27">
        <f t="shared" si="32"/>
        <v>0</v>
      </c>
      <c r="AY56" s="1" t="e">
        <f t="shared" si="33"/>
        <v>#DIV/0!</v>
      </c>
      <c r="AZ56" s="1" t="e">
        <f t="shared" si="34"/>
        <v>#DIV/0!</v>
      </c>
    </row>
    <row r="57" spans="1:52" hidden="1" x14ac:dyDescent="0.35">
      <c r="A57" s="29" t="s">
        <v>423</v>
      </c>
      <c r="B57" s="6">
        <v>1000</v>
      </c>
      <c r="C57" s="2" t="e">
        <f>+VLOOKUP(E57,inventario!#REF!,2,0)</f>
        <v>#REF!</v>
      </c>
      <c r="D57" t="str">
        <f t="shared" si="3"/>
        <v>9540</v>
      </c>
      <c r="E57" s="55" t="s">
        <v>1052</v>
      </c>
      <c r="F57" s="6" t="str">
        <f>+IFERROR(VLOOKUP(E57,#REF!,29,0),"C")</f>
        <v>C</v>
      </c>
      <c r="G57" s="6" t="str">
        <f>+IFERROR(VLOOKUP(E57,#REF!,34,0),"C")</f>
        <v>C</v>
      </c>
      <c r="H57" s="64">
        <f>+IFERROR(VLOOKUP(E57,#REF!,31,0),0)</f>
        <v>0</v>
      </c>
      <c r="I57" s="44">
        <f>+IFERROR(VLOOKUP(E57,#REF!,26,0),0)</f>
        <v>0</v>
      </c>
      <c r="J57" s="44">
        <f>+IFERROR(VLOOKUP(E57,#REF!,30,0),0)</f>
        <v>0</v>
      </c>
      <c r="L57" s="25">
        <f t="shared" si="4"/>
        <v>0.7</v>
      </c>
      <c r="M57" s="26">
        <f t="shared" si="5"/>
        <v>0.52440051270804078</v>
      </c>
      <c r="O57">
        <f>+IFERROR(VLOOKUP(D57,lt!A:J,10,0),15)</f>
        <v>15</v>
      </c>
      <c r="P57">
        <v>2</v>
      </c>
      <c r="Q57">
        <v>1</v>
      </c>
      <c r="R57">
        <v>2</v>
      </c>
      <c r="S57" s="22">
        <f t="shared" si="6"/>
        <v>20</v>
      </c>
      <c r="T57" s="9">
        <v>3</v>
      </c>
      <c r="U57" s="23">
        <f t="shared" si="7"/>
        <v>0.76666666666666672</v>
      </c>
      <c r="V57" s="11">
        <f t="shared" si="8"/>
        <v>0</v>
      </c>
      <c r="W57" s="11">
        <f t="shared" si="9"/>
        <v>0</v>
      </c>
      <c r="X57" s="11">
        <f t="shared" si="10"/>
        <v>0</v>
      </c>
      <c r="Y57" s="11">
        <f t="shared" si="11"/>
        <v>0</v>
      </c>
      <c r="Z57" s="65">
        <f t="shared" si="12"/>
        <v>0</v>
      </c>
      <c r="AA57" s="24">
        <f t="shared" si="13"/>
        <v>0</v>
      </c>
      <c r="AB57">
        <f t="shared" si="14"/>
        <v>0</v>
      </c>
      <c r="AC57" s="46">
        <f>+IFERROR(VLOOKUP(E57,#REF!,24,0),0.2)</f>
        <v>0.2</v>
      </c>
      <c r="AD57" s="42">
        <f>+IFERROR(VLOOKUP(E57,h!$C:$D,2,0),0.3866)</f>
        <v>0.3866</v>
      </c>
      <c r="AE57" s="42">
        <f>+VLOOKUP(A57,k!$A$1:$G$4,5,0)</f>
        <v>0.35799365240740744</v>
      </c>
      <c r="AF57" s="47">
        <f t="shared" si="15"/>
        <v>0.94459365240740745</v>
      </c>
      <c r="AG57" s="48">
        <f t="shared" si="16"/>
        <v>0.11335123828888889</v>
      </c>
      <c r="AH57" s="20">
        <f>+IFERROR(VLOOKUP(C57,k!$A$7:$L$13,7,0),0)</f>
        <v>0</v>
      </c>
      <c r="AI57" s="20">
        <f t="shared" si="17"/>
        <v>0</v>
      </c>
      <c r="AJ57" s="5">
        <f t="shared" si="18"/>
        <v>0</v>
      </c>
      <c r="AK57" s="57">
        <f t="shared" si="19"/>
        <v>0</v>
      </c>
      <c r="AL57" s="19">
        <f t="shared" si="20"/>
        <v>0</v>
      </c>
      <c r="AM57" s="20">
        <f t="shared" si="21"/>
        <v>0</v>
      </c>
      <c r="AN57" s="27">
        <f t="shared" si="22"/>
        <v>0</v>
      </c>
      <c r="AO57" s="57">
        <f t="shared" si="37"/>
        <v>0</v>
      </c>
      <c r="AP57" s="19">
        <f t="shared" si="24"/>
        <v>0</v>
      </c>
      <c r="AQ57" s="20">
        <f t="shared" si="25"/>
        <v>0</v>
      </c>
      <c r="AR57" s="58">
        <f t="shared" si="26"/>
        <v>0</v>
      </c>
      <c r="AS57" s="1">
        <f t="shared" si="27"/>
        <v>0</v>
      </c>
      <c r="AT57" s="21">
        <f t="shared" si="28"/>
        <v>0</v>
      </c>
      <c r="AU57" s="28">
        <f t="shared" si="29"/>
        <v>0</v>
      </c>
      <c r="AV57" s="19">
        <f t="shared" si="30"/>
        <v>0</v>
      </c>
      <c r="AW57" s="19">
        <f t="shared" si="31"/>
        <v>0</v>
      </c>
      <c r="AX57" s="27">
        <f t="shared" si="32"/>
        <v>0</v>
      </c>
      <c r="AY57" s="1" t="e">
        <f t="shared" si="33"/>
        <v>#DIV/0!</v>
      </c>
      <c r="AZ57" s="1" t="e">
        <f t="shared" si="34"/>
        <v>#DIV/0!</v>
      </c>
    </row>
    <row r="58" spans="1:52" hidden="1" x14ac:dyDescent="0.35">
      <c r="A58" s="29" t="s">
        <v>423</v>
      </c>
      <c r="B58" s="6">
        <v>1000</v>
      </c>
      <c r="C58" s="2" t="e">
        <f>+VLOOKUP(E58,inventario!#REF!,2,0)</f>
        <v>#REF!</v>
      </c>
      <c r="D58" t="str">
        <f t="shared" si="3"/>
        <v>9541</v>
      </c>
      <c r="E58" s="55" t="s">
        <v>1053</v>
      </c>
      <c r="F58" s="6" t="str">
        <f>+IFERROR(VLOOKUP(E58,#REF!,29,0),"C")</f>
        <v>C</v>
      </c>
      <c r="G58" s="6" t="str">
        <f>+IFERROR(VLOOKUP(E58,#REF!,34,0),"C")</f>
        <v>C</v>
      </c>
      <c r="H58" s="64">
        <f>+IFERROR(VLOOKUP(E58,#REF!,31,0),0)</f>
        <v>0</v>
      </c>
      <c r="I58" s="44">
        <f>+IFERROR(VLOOKUP(E58,#REF!,26,0),0)</f>
        <v>0</v>
      </c>
      <c r="J58" s="44">
        <f>+IFERROR(VLOOKUP(E58,#REF!,30,0),0)</f>
        <v>0</v>
      </c>
      <c r="L58" s="25">
        <f t="shared" si="4"/>
        <v>0.7</v>
      </c>
      <c r="M58" s="26">
        <f t="shared" si="5"/>
        <v>0.52440051270804078</v>
      </c>
      <c r="O58">
        <f>+IFERROR(VLOOKUP(D58,lt!A:J,10,0),15)</f>
        <v>15</v>
      </c>
      <c r="P58">
        <v>2</v>
      </c>
      <c r="Q58">
        <v>1</v>
      </c>
      <c r="R58">
        <v>2</v>
      </c>
      <c r="S58" s="22">
        <f t="shared" si="6"/>
        <v>20</v>
      </c>
      <c r="T58" s="9">
        <v>3</v>
      </c>
      <c r="U58" s="23">
        <f t="shared" si="7"/>
        <v>0.76666666666666672</v>
      </c>
      <c r="V58" s="11">
        <f t="shared" si="8"/>
        <v>0</v>
      </c>
      <c r="W58" s="11">
        <f t="shared" si="9"/>
        <v>0</v>
      </c>
      <c r="X58" s="11">
        <f t="shared" si="10"/>
        <v>0</v>
      </c>
      <c r="Y58" s="11">
        <f t="shared" si="11"/>
        <v>0</v>
      </c>
      <c r="Z58" s="65">
        <f t="shared" si="12"/>
        <v>0</v>
      </c>
      <c r="AA58" s="24">
        <f t="shared" si="13"/>
        <v>0</v>
      </c>
      <c r="AB58">
        <f t="shared" si="14"/>
        <v>0</v>
      </c>
      <c r="AC58" s="46">
        <f>+IFERROR(VLOOKUP(E58,#REF!,24,0),0.2)</f>
        <v>0.2</v>
      </c>
      <c r="AD58" s="42">
        <f>+IFERROR(VLOOKUP(E58,h!$C:$D,2,0),0.3866)</f>
        <v>0.3866</v>
      </c>
      <c r="AE58" s="42">
        <f>+VLOOKUP(A58,k!$A$1:$G$4,5,0)</f>
        <v>0.35799365240740744</v>
      </c>
      <c r="AF58" s="47">
        <f t="shared" si="15"/>
        <v>0.94459365240740745</v>
      </c>
      <c r="AG58" s="48">
        <f t="shared" si="16"/>
        <v>0.11335123828888889</v>
      </c>
      <c r="AH58" s="20">
        <f>+IFERROR(VLOOKUP(C58,k!$A$7:$L$13,7,0),0)</f>
        <v>0</v>
      </c>
      <c r="AI58" s="20">
        <f t="shared" si="17"/>
        <v>0</v>
      </c>
      <c r="AJ58" s="5">
        <f t="shared" si="18"/>
        <v>0</v>
      </c>
      <c r="AK58" s="57">
        <f t="shared" si="19"/>
        <v>0</v>
      </c>
      <c r="AL58" s="19">
        <f t="shared" si="20"/>
        <v>0</v>
      </c>
      <c r="AM58" s="20">
        <f t="shared" si="21"/>
        <v>0</v>
      </c>
      <c r="AN58" s="27">
        <f t="shared" si="22"/>
        <v>0</v>
      </c>
      <c r="AO58" s="57">
        <f t="shared" si="37"/>
        <v>0</v>
      </c>
      <c r="AP58" s="19">
        <f t="shared" si="24"/>
        <v>0</v>
      </c>
      <c r="AQ58" s="20">
        <f t="shared" si="25"/>
        <v>0</v>
      </c>
      <c r="AR58" s="58">
        <f t="shared" si="26"/>
        <v>0</v>
      </c>
      <c r="AS58" s="1">
        <f t="shared" si="27"/>
        <v>0</v>
      </c>
      <c r="AT58" s="21">
        <f t="shared" si="28"/>
        <v>0</v>
      </c>
      <c r="AU58" s="28">
        <f t="shared" si="29"/>
        <v>0</v>
      </c>
      <c r="AV58" s="19">
        <f t="shared" si="30"/>
        <v>0</v>
      </c>
      <c r="AW58" s="19">
        <f t="shared" si="31"/>
        <v>0</v>
      </c>
      <c r="AX58" s="27">
        <f t="shared" si="32"/>
        <v>0</v>
      </c>
      <c r="AY58" s="1" t="e">
        <f t="shared" si="33"/>
        <v>#DIV/0!</v>
      </c>
      <c r="AZ58" s="1" t="e">
        <f t="shared" si="34"/>
        <v>#DIV/0!</v>
      </c>
    </row>
    <row r="59" spans="1:52" hidden="1" x14ac:dyDescent="0.35">
      <c r="A59" s="29" t="s">
        <v>423</v>
      </c>
      <c r="B59" s="6">
        <v>1000</v>
      </c>
      <c r="C59" s="2" t="e">
        <f>+VLOOKUP(E59,inventario!#REF!,2,0)</f>
        <v>#REF!</v>
      </c>
      <c r="D59" t="str">
        <f t="shared" si="3"/>
        <v>047-ME</v>
      </c>
      <c r="E59" s="55" t="s">
        <v>949</v>
      </c>
      <c r="F59" s="6" t="str">
        <f>+IFERROR(VLOOKUP(E59,#REF!,29,0),"C")</f>
        <v>C</v>
      </c>
      <c r="G59" s="6" t="str">
        <f>+IFERROR(VLOOKUP(E59,#REF!,34,0),"C")</f>
        <v>C</v>
      </c>
      <c r="H59" s="64">
        <f>+IFERROR(VLOOKUP(E59,#REF!,31,0),0)</f>
        <v>0</v>
      </c>
      <c r="I59" s="44">
        <f>+IFERROR(VLOOKUP(E59,#REF!,26,0),0)</f>
        <v>0</v>
      </c>
      <c r="J59" s="44">
        <f>+IFERROR(VLOOKUP(E59,#REF!,30,0),0)</f>
        <v>0</v>
      </c>
      <c r="L59" s="25">
        <f t="shared" si="4"/>
        <v>0.7</v>
      </c>
      <c r="M59" s="26">
        <f t="shared" si="5"/>
        <v>0.52440051270804078</v>
      </c>
      <c r="O59">
        <f>+IFERROR(VLOOKUP(D59,lt!A:J,10,0),15)</f>
        <v>15</v>
      </c>
      <c r="P59">
        <v>2</v>
      </c>
      <c r="Q59">
        <v>1</v>
      </c>
      <c r="R59">
        <v>2</v>
      </c>
      <c r="S59" s="22">
        <f t="shared" si="6"/>
        <v>20</v>
      </c>
      <c r="T59" s="9">
        <v>3</v>
      </c>
      <c r="U59" s="23">
        <f t="shared" si="7"/>
        <v>0.76666666666666672</v>
      </c>
      <c r="V59" s="11">
        <f t="shared" si="8"/>
        <v>0</v>
      </c>
      <c r="W59" s="11">
        <f t="shared" si="9"/>
        <v>0</v>
      </c>
      <c r="X59" s="11">
        <f t="shared" si="10"/>
        <v>0</v>
      </c>
      <c r="Y59" s="11">
        <f t="shared" si="11"/>
        <v>0</v>
      </c>
      <c r="Z59" s="65">
        <f t="shared" si="12"/>
        <v>0</v>
      </c>
      <c r="AA59" s="24">
        <f t="shared" si="13"/>
        <v>0</v>
      </c>
      <c r="AB59">
        <f t="shared" si="14"/>
        <v>0</v>
      </c>
      <c r="AC59" s="46">
        <f>+IFERROR(VLOOKUP(E59,#REF!,24,0),0.2)</f>
        <v>0.2</v>
      </c>
      <c r="AD59" s="42">
        <f>+IFERROR(VLOOKUP(E59,h!$C:$D,2,0),0.3866)</f>
        <v>0.3866</v>
      </c>
      <c r="AE59" s="42">
        <f>+VLOOKUP(A59,k!$A$1:$G$4,5,0)</f>
        <v>0.35799365240740744</v>
      </c>
      <c r="AF59" s="47">
        <f t="shared" si="15"/>
        <v>0.94459365240740745</v>
      </c>
      <c r="AG59" s="48">
        <f t="shared" si="16"/>
        <v>0.11335123828888889</v>
      </c>
      <c r="AH59" s="20">
        <f>+IFERROR(VLOOKUP(C59,k!$A$7:$L$13,7,0),0)</f>
        <v>0</v>
      </c>
      <c r="AI59" s="20">
        <f t="shared" si="17"/>
        <v>0</v>
      </c>
      <c r="AJ59" s="5">
        <f t="shared" si="18"/>
        <v>0</v>
      </c>
      <c r="AK59" s="57">
        <f t="shared" si="19"/>
        <v>0</v>
      </c>
      <c r="AL59" s="19">
        <f t="shared" si="20"/>
        <v>0</v>
      </c>
      <c r="AM59" s="20">
        <f t="shared" si="21"/>
        <v>0</v>
      </c>
      <c r="AN59" s="27">
        <f t="shared" si="22"/>
        <v>0</v>
      </c>
      <c r="AO59" s="57">
        <f t="shared" si="37"/>
        <v>0</v>
      </c>
      <c r="AP59" s="19">
        <f t="shared" si="24"/>
        <v>0</v>
      </c>
      <c r="AQ59" s="20">
        <f t="shared" si="25"/>
        <v>0</v>
      </c>
      <c r="AR59" s="58">
        <f t="shared" si="26"/>
        <v>0</v>
      </c>
      <c r="AS59" s="1">
        <f t="shared" si="27"/>
        <v>0</v>
      </c>
      <c r="AT59" s="21">
        <f t="shared" si="28"/>
        <v>0</v>
      </c>
      <c r="AU59" s="28">
        <f t="shared" si="29"/>
        <v>0</v>
      </c>
      <c r="AV59" s="19">
        <f t="shared" si="30"/>
        <v>0</v>
      </c>
      <c r="AW59" s="19">
        <f t="shared" si="31"/>
        <v>0</v>
      </c>
      <c r="AX59" s="27">
        <f t="shared" si="32"/>
        <v>0</v>
      </c>
      <c r="AY59" s="1" t="e">
        <f t="shared" si="33"/>
        <v>#DIV/0!</v>
      </c>
      <c r="AZ59" s="1" t="e">
        <f t="shared" si="34"/>
        <v>#DIV/0!</v>
      </c>
    </row>
    <row r="60" spans="1:52" hidden="1" x14ac:dyDescent="0.35">
      <c r="A60" s="29" t="s">
        <v>423</v>
      </c>
      <c r="B60" s="6">
        <v>1000</v>
      </c>
      <c r="C60" s="2" t="e">
        <f>+VLOOKUP(E60,inventario!#REF!,2,0)</f>
        <v>#REF!</v>
      </c>
      <c r="D60" t="str">
        <f t="shared" si="3"/>
        <v>048-ME</v>
      </c>
      <c r="E60" s="55" t="s">
        <v>950</v>
      </c>
      <c r="F60" s="6" t="str">
        <f>+IFERROR(VLOOKUP(E60,#REF!,29,0),"C")</f>
        <v>C</v>
      </c>
      <c r="G60" s="6" t="str">
        <f>+IFERROR(VLOOKUP(E60,#REF!,34,0),"C")</f>
        <v>C</v>
      </c>
      <c r="H60" s="64">
        <f>+IFERROR(VLOOKUP(E60,#REF!,31,0),0)</f>
        <v>0</v>
      </c>
      <c r="I60" s="44">
        <f>+IFERROR(VLOOKUP(E60,#REF!,26,0),0)</f>
        <v>0</v>
      </c>
      <c r="J60" s="44">
        <f>+IFERROR(VLOOKUP(E60,#REF!,30,0),0)</f>
        <v>0</v>
      </c>
      <c r="L60" s="25">
        <f t="shared" si="4"/>
        <v>0.7</v>
      </c>
      <c r="M60" s="26">
        <f t="shared" si="5"/>
        <v>0.52440051270804078</v>
      </c>
      <c r="O60">
        <f>+IFERROR(VLOOKUP(D60,lt!A:J,10,0),15)</f>
        <v>15</v>
      </c>
      <c r="P60">
        <v>2</v>
      </c>
      <c r="Q60">
        <v>1</v>
      </c>
      <c r="R60">
        <v>2</v>
      </c>
      <c r="S60" s="22">
        <f t="shared" si="6"/>
        <v>20</v>
      </c>
      <c r="T60" s="9">
        <v>3</v>
      </c>
      <c r="U60" s="23">
        <f t="shared" si="7"/>
        <v>0.76666666666666672</v>
      </c>
      <c r="V60" s="11">
        <f t="shared" si="8"/>
        <v>0</v>
      </c>
      <c r="W60" s="11">
        <f t="shared" si="9"/>
        <v>0</v>
      </c>
      <c r="X60" s="11">
        <f t="shared" si="10"/>
        <v>0</v>
      </c>
      <c r="Y60" s="11">
        <f t="shared" si="11"/>
        <v>0</v>
      </c>
      <c r="Z60" s="65">
        <f t="shared" si="12"/>
        <v>0</v>
      </c>
      <c r="AA60" s="24">
        <f t="shared" si="13"/>
        <v>0</v>
      </c>
      <c r="AB60">
        <f t="shared" si="14"/>
        <v>0</v>
      </c>
      <c r="AC60" s="46">
        <f>+IFERROR(VLOOKUP(E60,#REF!,24,0),0.2)</f>
        <v>0.2</v>
      </c>
      <c r="AD60" s="42">
        <f>+IFERROR(VLOOKUP(E60,h!$C:$D,2,0),0.3866)</f>
        <v>0.3866</v>
      </c>
      <c r="AE60" s="42">
        <f>+VLOOKUP(A60,k!$A$1:$G$4,5,0)</f>
        <v>0.35799365240740744</v>
      </c>
      <c r="AF60" s="47">
        <f t="shared" si="15"/>
        <v>0.94459365240740745</v>
      </c>
      <c r="AG60" s="48">
        <f t="shared" si="16"/>
        <v>0.11335123828888889</v>
      </c>
      <c r="AH60" s="20">
        <f>+IFERROR(VLOOKUP(C60,k!$A$7:$L$13,7,0),0)</f>
        <v>0</v>
      </c>
      <c r="AI60" s="20">
        <f t="shared" si="17"/>
        <v>0</v>
      </c>
      <c r="AJ60" s="5">
        <f t="shared" si="18"/>
        <v>0</v>
      </c>
      <c r="AK60" s="57">
        <f t="shared" si="19"/>
        <v>0</v>
      </c>
      <c r="AL60" s="19">
        <f t="shared" si="20"/>
        <v>0</v>
      </c>
      <c r="AM60" s="20">
        <f t="shared" si="21"/>
        <v>0</v>
      </c>
      <c r="AN60" s="27">
        <f t="shared" si="22"/>
        <v>0</v>
      </c>
      <c r="AO60" s="57">
        <f t="shared" si="37"/>
        <v>0</v>
      </c>
      <c r="AP60" s="19">
        <f t="shared" si="24"/>
        <v>0</v>
      </c>
      <c r="AQ60" s="20">
        <f t="shared" si="25"/>
        <v>0</v>
      </c>
      <c r="AR60" s="58">
        <f t="shared" si="26"/>
        <v>0</v>
      </c>
      <c r="AS60" s="1">
        <f t="shared" si="27"/>
        <v>0</v>
      </c>
      <c r="AT60" s="21">
        <f t="shared" si="28"/>
        <v>0</v>
      </c>
      <c r="AU60" s="28">
        <f t="shared" si="29"/>
        <v>0</v>
      </c>
      <c r="AV60" s="19">
        <f t="shared" si="30"/>
        <v>0</v>
      </c>
      <c r="AW60" s="19">
        <f t="shared" si="31"/>
        <v>0</v>
      </c>
      <c r="AX60" s="27">
        <f t="shared" si="32"/>
        <v>0</v>
      </c>
      <c r="AY60" s="1" t="e">
        <f t="shared" si="33"/>
        <v>#DIV/0!</v>
      </c>
      <c r="AZ60" s="1" t="e">
        <f t="shared" si="34"/>
        <v>#DIV/0!</v>
      </c>
    </row>
    <row r="61" spans="1:52" hidden="1" x14ac:dyDescent="0.35">
      <c r="A61" s="29" t="s">
        <v>423</v>
      </c>
      <c r="B61" s="6">
        <v>1000</v>
      </c>
      <c r="C61" s="2" t="e">
        <f>+VLOOKUP(E61,inventario!#REF!,2,0)</f>
        <v>#REF!</v>
      </c>
      <c r="D61" t="str">
        <f t="shared" si="3"/>
        <v>049-ME</v>
      </c>
      <c r="E61" s="55" t="s">
        <v>951</v>
      </c>
      <c r="F61" s="6" t="str">
        <f>+IFERROR(VLOOKUP(E61,#REF!,29,0),"C")</f>
        <v>C</v>
      </c>
      <c r="G61" s="6" t="str">
        <f>+IFERROR(VLOOKUP(E61,#REF!,34,0),"C")</f>
        <v>C</v>
      </c>
      <c r="H61" s="64">
        <f>+IFERROR(VLOOKUP(E61,#REF!,31,0),0)</f>
        <v>0</v>
      </c>
      <c r="I61" s="44">
        <f>+IFERROR(VLOOKUP(E61,#REF!,26,0),0)</f>
        <v>0</v>
      </c>
      <c r="J61" s="44">
        <f>+IFERROR(VLOOKUP(E61,#REF!,30,0),0)</f>
        <v>0</v>
      </c>
      <c r="L61" s="25">
        <f t="shared" si="4"/>
        <v>0.7</v>
      </c>
      <c r="M61" s="26">
        <f t="shared" si="5"/>
        <v>0.52440051270804078</v>
      </c>
      <c r="O61">
        <f>+IFERROR(VLOOKUP(D61,lt!A:J,10,0),15)</f>
        <v>15</v>
      </c>
      <c r="P61">
        <v>2</v>
      </c>
      <c r="Q61">
        <v>1</v>
      </c>
      <c r="R61">
        <v>2</v>
      </c>
      <c r="S61" s="22">
        <f t="shared" si="6"/>
        <v>20</v>
      </c>
      <c r="T61" s="9">
        <v>3</v>
      </c>
      <c r="U61" s="23">
        <f t="shared" si="7"/>
        <v>0.76666666666666672</v>
      </c>
      <c r="V61" s="11">
        <f t="shared" si="8"/>
        <v>0</v>
      </c>
      <c r="W61" s="11">
        <f t="shared" si="9"/>
        <v>0</v>
      </c>
      <c r="X61" s="11">
        <f t="shared" si="10"/>
        <v>0</v>
      </c>
      <c r="Y61" s="11">
        <f t="shared" si="11"/>
        <v>0</v>
      </c>
      <c r="Z61" s="65">
        <f t="shared" si="12"/>
        <v>0</v>
      </c>
      <c r="AA61" s="24">
        <f t="shared" si="13"/>
        <v>0</v>
      </c>
      <c r="AB61">
        <f t="shared" si="14"/>
        <v>0</v>
      </c>
      <c r="AC61" s="46">
        <f>+IFERROR(VLOOKUP(E61,#REF!,24,0),0.2)</f>
        <v>0.2</v>
      </c>
      <c r="AD61" s="42">
        <f>+IFERROR(VLOOKUP(E61,h!$C:$D,2,0),0.3866)</f>
        <v>0.3866</v>
      </c>
      <c r="AE61" s="42">
        <f>+VLOOKUP(A61,k!$A$1:$G$4,5,0)</f>
        <v>0.35799365240740744</v>
      </c>
      <c r="AF61" s="47">
        <f t="shared" si="15"/>
        <v>0.94459365240740745</v>
      </c>
      <c r="AG61" s="48">
        <f t="shared" si="16"/>
        <v>0.11335123828888889</v>
      </c>
      <c r="AH61" s="20">
        <f>+IFERROR(VLOOKUP(C61,k!$A$7:$L$13,7,0),0)</f>
        <v>0</v>
      </c>
      <c r="AI61" s="20">
        <f t="shared" si="17"/>
        <v>0</v>
      </c>
      <c r="AJ61" s="5">
        <f t="shared" si="18"/>
        <v>0</v>
      </c>
      <c r="AK61" s="57">
        <f t="shared" si="19"/>
        <v>0</v>
      </c>
      <c r="AL61" s="19">
        <f t="shared" si="20"/>
        <v>0</v>
      </c>
      <c r="AM61" s="20">
        <f t="shared" si="21"/>
        <v>0</v>
      </c>
      <c r="AN61" s="27">
        <f t="shared" si="22"/>
        <v>0</v>
      </c>
      <c r="AO61" s="57">
        <f t="shared" si="37"/>
        <v>0</v>
      </c>
      <c r="AP61" s="19">
        <f t="shared" si="24"/>
        <v>0</v>
      </c>
      <c r="AQ61" s="20">
        <f t="shared" si="25"/>
        <v>0</v>
      </c>
      <c r="AR61" s="58">
        <f t="shared" si="26"/>
        <v>0</v>
      </c>
      <c r="AS61" s="1">
        <f t="shared" si="27"/>
        <v>0</v>
      </c>
      <c r="AT61" s="21">
        <f t="shared" si="28"/>
        <v>0</v>
      </c>
      <c r="AU61" s="28">
        <f t="shared" si="29"/>
        <v>0</v>
      </c>
      <c r="AV61" s="19">
        <f t="shared" si="30"/>
        <v>0</v>
      </c>
      <c r="AW61" s="19">
        <f t="shared" si="31"/>
        <v>0</v>
      </c>
      <c r="AX61" s="27">
        <f t="shared" si="32"/>
        <v>0</v>
      </c>
      <c r="AY61" s="1" t="e">
        <f t="shared" si="33"/>
        <v>#DIV/0!</v>
      </c>
      <c r="AZ61" s="1" t="e">
        <f t="shared" si="34"/>
        <v>#DIV/0!</v>
      </c>
    </row>
    <row r="62" spans="1:52" hidden="1" x14ac:dyDescent="0.35">
      <c r="A62" s="29" t="s">
        <v>423</v>
      </c>
      <c r="B62" s="6">
        <v>1000</v>
      </c>
      <c r="C62" s="2" t="e">
        <f>+VLOOKUP(E62,inventario!#REF!,2,0)</f>
        <v>#REF!</v>
      </c>
      <c r="D62" t="str">
        <f t="shared" si="3"/>
        <v>050-ME</v>
      </c>
      <c r="E62" s="55" t="s">
        <v>952</v>
      </c>
      <c r="F62" s="6" t="str">
        <f>+IFERROR(VLOOKUP(E62,#REF!,29,0),"C")</f>
        <v>C</v>
      </c>
      <c r="G62" s="6" t="str">
        <f>+IFERROR(VLOOKUP(E62,#REF!,34,0),"C")</f>
        <v>C</v>
      </c>
      <c r="H62" s="64">
        <f>+IFERROR(VLOOKUP(E62,#REF!,31,0),0)</f>
        <v>0</v>
      </c>
      <c r="I62" s="44">
        <f>+IFERROR(VLOOKUP(E62,#REF!,26,0),0)</f>
        <v>0</v>
      </c>
      <c r="J62" s="44">
        <f>+IFERROR(VLOOKUP(E62,#REF!,30,0),0)</f>
        <v>0</v>
      </c>
      <c r="L62" s="25">
        <f t="shared" si="4"/>
        <v>0.7</v>
      </c>
      <c r="M62" s="26">
        <f t="shared" si="5"/>
        <v>0.52440051270804078</v>
      </c>
      <c r="O62">
        <f>+IFERROR(VLOOKUP(D62,lt!A:J,10,0),15)</f>
        <v>15</v>
      </c>
      <c r="P62">
        <v>2</v>
      </c>
      <c r="Q62">
        <v>1</v>
      </c>
      <c r="R62">
        <v>2</v>
      </c>
      <c r="S62" s="22">
        <f t="shared" si="6"/>
        <v>20</v>
      </c>
      <c r="T62" s="9">
        <v>3</v>
      </c>
      <c r="U62" s="23">
        <f t="shared" si="7"/>
        <v>0.76666666666666672</v>
      </c>
      <c r="V62" s="11">
        <f t="shared" si="8"/>
        <v>0</v>
      </c>
      <c r="W62" s="11">
        <f t="shared" si="9"/>
        <v>0</v>
      </c>
      <c r="X62" s="11">
        <f t="shared" si="10"/>
        <v>0</v>
      </c>
      <c r="Y62" s="11">
        <f t="shared" si="11"/>
        <v>0</v>
      </c>
      <c r="Z62" s="65">
        <f t="shared" si="12"/>
        <v>0</v>
      </c>
      <c r="AA62" s="24">
        <f t="shared" si="13"/>
        <v>0</v>
      </c>
      <c r="AB62">
        <f t="shared" si="14"/>
        <v>0</v>
      </c>
      <c r="AC62" s="46">
        <f>+IFERROR(VLOOKUP(E62,#REF!,24,0),0.2)</f>
        <v>0.2</v>
      </c>
      <c r="AD62" s="42">
        <f>+IFERROR(VLOOKUP(E62,h!$C:$D,2,0),0.3866)</f>
        <v>0.3866</v>
      </c>
      <c r="AE62" s="42">
        <f>+VLOOKUP(A62,k!$A$1:$G$4,5,0)</f>
        <v>0.35799365240740744</v>
      </c>
      <c r="AF62" s="47">
        <f t="shared" si="15"/>
        <v>0.94459365240740745</v>
      </c>
      <c r="AG62" s="48">
        <f t="shared" si="16"/>
        <v>0.11335123828888889</v>
      </c>
      <c r="AH62" s="20">
        <f>+IFERROR(VLOOKUP(C62,k!$A$7:$L$13,7,0),0)</f>
        <v>0</v>
      </c>
      <c r="AI62" s="20">
        <f t="shared" si="17"/>
        <v>0</v>
      </c>
      <c r="AJ62" s="5">
        <f t="shared" si="18"/>
        <v>0</v>
      </c>
      <c r="AK62" s="57">
        <f t="shared" si="19"/>
        <v>0</v>
      </c>
      <c r="AL62" s="19">
        <f t="shared" si="20"/>
        <v>0</v>
      </c>
      <c r="AM62" s="20">
        <f t="shared" si="21"/>
        <v>0</v>
      </c>
      <c r="AN62" s="27">
        <f t="shared" si="22"/>
        <v>0</v>
      </c>
      <c r="AO62" s="57">
        <f t="shared" si="37"/>
        <v>0</v>
      </c>
      <c r="AP62" s="19">
        <f t="shared" si="24"/>
        <v>0</v>
      </c>
      <c r="AQ62" s="20">
        <f t="shared" si="25"/>
        <v>0</v>
      </c>
      <c r="AR62" s="58">
        <f t="shared" si="26"/>
        <v>0</v>
      </c>
      <c r="AS62" s="1">
        <f t="shared" si="27"/>
        <v>0</v>
      </c>
      <c r="AT62" s="21">
        <f t="shared" si="28"/>
        <v>0</v>
      </c>
      <c r="AU62" s="28">
        <f t="shared" si="29"/>
        <v>0</v>
      </c>
      <c r="AV62" s="19">
        <f t="shared" si="30"/>
        <v>0</v>
      </c>
      <c r="AW62" s="19">
        <f t="shared" si="31"/>
        <v>0</v>
      </c>
      <c r="AX62" s="27">
        <f t="shared" si="32"/>
        <v>0</v>
      </c>
      <c r="AY62" s="1" t="e">
        <f t="shared" si="33"/>
        <v>#DIV/0!</v>
      </c>
      <c r="AZ62" s="1" t="e">
        <f t="shared" si="34"/>
        <v>#DIV/0!</v>
      </c>
    </row>
    <row r="63" spans="1:52" hidden="1" x14ac:dyDescent="0.35">
      <c r="A63" s="29" t="s">
        <v>423</v>
      </c>
      <c r="B63" s="6">
        <v>1000</v>
      </c>
      <c r="C63" s="2" t="e">
        <f>+VLOOKUP(E63,inventario!#REF!,2,0)</f>
        <v>#REF!</v>
      </c>
      <c r="D63" t="str">
        <f t="shared" si="3"/>
        <v>9530</v>
      </c>
      <c r="E63" s="55" t="s">
        <v>190</v>
      </c>
      <c r="F63" s="6" t="str">
        <f>+IFERROR(VLOOKUP(E63,#REF!,29,0),"C")</f>
        <v>C</v>
      </c>
      <c r="G63" s="6" t="str">
        <f>+IFERROR(VLOOKUP(E63,#REF!,34,0),"C")</f>
        <v>C</v>
      </c>
      <c r="H63" s="64">
        <f>+IFERROR(VLOOKUP(E63,#REF!,31,0),0)</f>
        <v>0</v>
      </c>
      <c r="I63" s="44">
        <f>+IFERROR(VLOOKUP(E63,#REF!,26,0),0)</f>
        <v>0</v>
      </c>
      <c r="J63" s="44">
        <f>+IFERROR(VLOOKUP(E63,#REF!,30,0),0)</f>
        <v>0</v>
      </c>
      <c r="L63" s="25">
        <f t="shared" si="4"/>
        <v>0.7</v>
      </c>
      <c r="M63" s="26">
        <f t="shared" si="5"/>
        <v>0.52440051270804078</v>
      </c>
      <c r="O63">
        <f>+IFERROR(VLOOKUP(D63,lt!A:J,10,0),15)</f>
        <v>15</v>
      </c>
      <c r="P63">
        <v>2</v>
      </c>
      <c r="Q63">
        <v>1</v>
      </c>
      <c r="R63">
        <v>2</v>
      </c>
      <c r="S63" s="22">
        <f t="shared" si="6"/>
        <v>20</v>
      </c>
      <c r="T63" s="9">
        <v>3</v>
      </c>
      <c r="U63" s="23">
        <f t="shared" si="7"/>
        <v>0.76666666666666672</v>
      </c>
      <c r="V63" s="11">
        <f t="shared" si="8"/>
        <v>0</v>
      </c>
      <c r="W63" s="11">
        <f t="shared" si="9"/>
        <v>0</v>
      </c>
      <c r="X63" s="11">
        <f t="shared" si="10"/>
        <v>0</v>
      </c>
      <c r="Y63" s="11">
        <f t="shared" si="11"/>
        <v>0</v>
      </c>
      <c r="Z63" s="65">
        <f t="shared" si="12"/>
        <v>0</v>
      </c>
      <c r="AA63" s="24">
        <f t="shared" si="13"/>
        <v>0</v>
      </c>
      <c r="AB63">
        <f t="shared" si="14"/>
        <v>0</v>
      </c>
      <c r="AC63" s="46">
        <f>+IFERROR(VLOOKUP(E63,#REF!,24,0),0.2)</f>
        <v>0.2</v>
      </c>
      <c r="AD63" s="42">
        <f>+IFERROR(VLOOKUP(E63,h!$C:$D,2,0),0.3866)</f>
        <v>0.3866</v>
      </c>
      <c r="AE63" s="42">
        <f>+VLOOKUP(A63,k!$A$1:$G$4,5,0)</f>
        <v>0.35799365240740744</v>
      </c>
      <c r="AF63" s="47">
        <f t="shared" si="15"/>
        <v>0.94459365240740745</v>
      </c>
      <c r="AG63" s="48">
        <f t="shared" si="16"/>
        <v>0.11335123828888889</v>
      </c>
      <c r="AH63" s="20">
        <f>+IFERROR(VLOOKUP(C63,k!$A$7:$L$13,7,0),0)</f>
        <v>0</v>
      </c>
      <c r="AI63" s="20">
        <f t="shared" si="17"/>
        <v>0</v>
      </c>
      <c r="AJ63" s="5">
        <f t="shared" si="18"/>
        <v>0</v>
      </c>
      <c r="AK63" s="57">
        <f t="shared" si="19"/>
        <v>0</v>
      </c>
      <c r="AL63" s="19">
        <f t="shared" si="20"/>
        <v>0</v>
      </c>
      <c r="AM63" s="20">
        <f t="shared" si="21"/>
        <v>0</v>
      </c>
      <c r="AN63" s="27">
        <f t="shared" si="22"/>
        <v>0</v>
      </c>
      <c r="AO63" s="57">
        <f t="shared" si="37"/>
        <v>0</v>
      </c>
      <c r="AP63" s="19">
        <f t="shared" si="24"/>
        <v>0</v>
      </c>
      <c r="AQ63" s="20">
        <f t="shared" si="25"/>
        <v>0</v>
      </c>
      <c r="AR63" s="58">
        <f t="shared" si="26"/>
        <v>0</v>
      </c>
      <c r="AS63" s="1">
        <f t="shared" si="27"/>
        <v>0</v>
      </c>
      <c r="AT63" s="21">
        <f t="shared" si="28"/>
        <v>0</v>
      </c>
      <c r="AU63" s="28">
        <f t="shared" si="29"/>
        <v>0</v>
      </c>
      <c r="AV63" s="19">
        <f t="shared" si="30"/>
        <v>0</v>
      </c>
      <c r="AW63" s="19">
        <f t="shared" si="31"/>
        <v>0</v>
      </c>
      <c r="AX63" s="27">
        <f t="shared" si="32"/>
        <v>0</v>
      </c>
      <c r="AY63" s="1" t="e">
        <f t="shared" si="33"/>
        <v>#DIV/0!</v>
      </c>
      <c r="AZ63" s="1" t="e">
        <f t="shared" si="34"/>
        <v>#DIV/0!</v>
      </c>
    </row>
    <row r="64" spans="1:52" hidden="1" x14ac:dyDescent="0.35">
      <c r="A64" s="29" t="s">
        <v>423</v>
      </c>
      <c r="B64" s="6">
        <v>26</v>
      </c>
      <c r="C64" s="2" t="e">
        <f>+VLOOKUP(E64,inventario!#REF!,2,0)</f>
        <v>#REF!</v>
      </c>
      <c r="D64" t="str">
        <f t="shared" si="3"/>
        <v>720</v>
      </c>
      <c r="E64" t="s">
        <v>1077</v>
      </c>
      <c r="F64" s="6" t="str">
        <f>+IFERROR(VLOOKUP(E64,#REF!,29,0),"C")</f>
        <v>C</v>
      </c>
      <c r="G64" s="6" t="str">
        <f>+IFERROR(VLOOKUP(E64,#REF!,34,0),"C")</f>
        <v>C</v>
      </c>
      <c r="H64" s="64">
        <f>+IFERROR(VLOOKUP(E64,#REF!,31,0),0)</f>
        <v>0</v>
      </c>
      <c r="I64" s="44">
        <f>+IFERROR(VLOOKUP(E64,#REF!,26,0),0)</f>
        <v>0</v>
      </c>
      <c r="J64" s="44">
        <f>+IFERROR(VLOOKUP(E64,#REF!,30,0),0)</f>
        <v>0</v>
      </c>
      <c r="K64" s="3"/>
      <c r="L64" s="25">
        <f t="shared" si="4"/>
        <v>0.7</v>
      </c>
      <c r="M64" s="26">
        <f t="shared" si="5"/>
        <v>0.52440051270804078</v>
      </c>
      <c r="O64">
        <f>+IFERROR(VLOOKUP(D64,lt!A:J,10,0),15)</f>
        <v>15</v>
      </c>
      <c r="P64">
        <v>2</v>
      </c>
      <c r="Q64">
        <v>1</v>
      </c>
      <c r="R64">
        <v>2</v>
      </c>
      <c r="S64" s="22">
        <f t="shared" si="6"/>
        <v>20</v>
      </c>
      <c r="T64" s="9">
        <v>3</v>
      </c>
      <c r="U64" s="23">
        <f t="shared" si="7"/>
        <v>0.76666666666666672</v>
      </c>
      <c r="V64" s="11">
        <f t="shared" si="8"/>
        <v>0</v>
      </c>
      <c r="W64" s="11">
        <f t="shared" si="9"/>
        <v>0</v>
      </c>
      <c r="X64" s="11">
        <f t="shared" si="10"/>
        <v>0</v>
      </c>
      <c r="Y64" s="11">
        <f t="shared" si="11"/>
        <v>0</v>
      </c>
      <c r="Z64" s="65">
        <f t="shared" si="12"/>
        <v>0</v>
      </c>
      <c r="AA64" s="24">
        <f t="shared" si="13"/>
        <v>0</v>
      </c>
      <c r="AB64">
        <f t="shared" si="14"/>
        <v>0</v>
      </c>
      <c r="AC64" s="46">
        <f>+IFERROR(VLOOKUP(E64,#REF!,24,0),0.2)</f>
        <v>0.2</v>
      </c>
      <c r="AD64" s="42">
        <f>+IFERROR(VLOOKUP(E64,h!$C:$D,2,0),0.3866)</f>
        <v>0.3866</v>
      </c>
      <c r="AE64" s="42">
        <f>+VLOOKUP(A64,k!$A$1:$G$4,5,0)</f>
        <v>0.35799365240740744</v>
      </c>
      <c r="AF64" s="47">
        <f t="shared" si="15"/>
        <v>0.94459365240740745</v>
      </c>
      <c r="AG64" s="48">
        <f t="shared" si="16"/>
        <v>0.11335123828888889</v>
      </c>
      <c r="AH64" s="20">
        <f>+IFERROR(VLOOKUP(C64,k!$A$7:$L$13,7,0),0)</f>
        <v>0</v>
      </c>
      <c r="AI64" s="20">
        <f t="shared" si="17"/>
        <v>0</v>
      </c>
      <c r="AJ64" s="5">
        <f t="shared" si="18"/>
        <v>0</v>
      </c>
      <c r="AK64" s="57">
        <f t="shared" si="19"/>
        <v>0</v>
      </c>
      <c r="AL64" s="19">
        <f t="shared" si="20"/>
        <v>0</v>
      </c>
      <c r="AM64" s="20">
        <f t="shared" si="21"/>
        <v>0</v>
      </c>
      <c r="AN64" s="27">
        <f t="shared" si="22"/>
        <v>0</v>
      </c>
      <c r="AO64" s="57">
        <f t="shared" si="37"/>
        <v>0</v>
      </c>
      <c r="AP64" s="19">
        <f t="shared" si="24"/>
        <v>0</v>
      </c>
      <c r="AQ64" s="20">
        <f t="shared" si="25"/>
        <v>0</v>
      </c>
      <c r="AR64" s="58">
        <f t="shared" si="26"/>
        <v>0</v>
      </c>
      <c r="AS64" s="1">
        <f t="shared" si="27"/>
        <v>0</v>
      </c>
      <c r="AT64" s="21">
        <f t="shared" si="28"/>
        <v>0</v>
      </c>
      <c r="AU64" s="28">
        <f t="shared" si="29"/>
        <v>0</v>
      </c>
      <c r="AV64" s="19">
        <f t="shared" si="30"/>
        <v>0</v>
      </c>
      <c r="AW64" s="19">
        <f t="shared" si="31"/>
        <v>0</v>
      </c>
      <c r="AX64" s="27">
        <f t="shared" si="32"/>
        <v>0</v>
      </c>
      <c r="AY64" s="1" t="e">
        <f t="shared" si="33"/>
        <v>#DIV/0!</v>
      </c>
      <c r="AZ64" s="1" t="e">
        <f t="shared" si="34"/>
        <v>#DIV/0!</v>
      </c>
    </row>
    <row r="65" spans="1:52" hidden="1" x14ac:dyDescent="0.35">
      <c r="A65" s="29" t="s">
        <v>423</v>
      </c>
      <c r="B65" s="6">
        <v>1</v>
      </c>
      <c r="C65" s="2" t="e">
        <f>+VLOOKUP(E65,inventario!#REF!,2,0)</f>
        <v>#REF!</v>
      </c>
      <c r="D65" t="str">
        <f t="shared" si="3"/>
        <v>511.2</v>
      </c>
      <c r="E65" t="s">
        <v>130</v>
      </c>
      <c r="F65" s="6" t="str">
        <f>+IFERROR(VLOOKUP(E65,#REF!,29,0),"C")</f>
        <v>C</v>
      </c>
      <c r="G65" s="6" t="str">
        <f>+IFERROR(VLOOKUP(E65,#REF!,34,0),"C")</f>
        <v>C</v>
      </c>
      <c r="H65" s="64">
        <f>+IFERROR(VLOOKUP(E65,#REF!,31,0),0)</f>
        <v>0</v>
      </c>
      <c r="I65" s="44">
        <f>+IFERROR(VLOOKUP(E65,#REF!,26,0),0)</f>
        <v>0</v>
      </c>
      <c r="J65" s="44">
        <f>+IFERROR(VLOOKUP(E65,#REF!,30,0),0)</f>
        <v>0</v>
      </c>
      <c r="K65" s="3"/>
      <c r="L65" s="25">
        <f t="shared" si="4"/>
        <v>0.7</v>
      </c>
      <c r="M65" s="26">
        <f t="shared" si="5"/>
        <v>0.52440051270804078</v>
      </c>
      <c r="O65">
        <f>+IFERROR(VLOOKUP(D65,lt!A:J,10,0),15)</f>
        <v>95</v>
      </c>
      <c r="P65">
        <v>2</v>
      </c>
      <c r="Q65">
        <v>1</v>
      </c>
      <c r="R65">
        <v>2</v>
      </c>
      <c r="S65" s="22">
        <f t="shared" si="6"/>
        <v>100</v>
      </c>
      <c r="T65" s="9">
        <v>3</v>
      </c>
      <c r="U65" s="23">
        <f t="shared" si="7"/>
        <v>3.4333333333333331</v>
      </c>
      <c r="V65" s="11">
        <f t="shared" si="8"/>
        <v>0</v>
      </c>
      <c r="W65" s="11">
        <f t="shared" si="9"/>
        <v>0</v>
      </c>
      <c r="X65" s="11">
        <f t="shared" si="10"/>
        <v>0</v>
      </c>
      <c r="Y65" s="11">
        <f t="shared" si="11"/>
        <v>0</v>
      </c>
      <c r="Z65" s="65">
        <f t="shared" si="12"/>
        <v>0</v>
      </c>
      <c r="AA65" s="24">
        <f t="shared" si="13"/>
        <v>0</v>
      </c>
      <c r="AB65">
        <f t="shared" si="14"/>
        <v>0</v>
      </c>
      <c r="AC65" s="46">
        <f>+IFERROR(VLOOKUP(E65,#REF!,24,0),0.2)</f>
        <v>0.2</v>
      </c>
      <c r="AD65" s="42">
        <f>+IFERROR(VLOOKUP(E65,h!$C:$D,2,0),0.3866)</f>
        <v>0.38610833333333339</v>
      </c>
      <c r="AE65" s="42">
        <f>+VLOOKUP(A65,k!$A$1:$G$4,5,0)</f>
        <v>0.35799365240740744</v>
      </c>
      <c r="AF65" s="47">
        <f t="shared" si="15"/>
        <v>0.94410198574074089</v>
      </c>
      <c r="AG65" s="48">
        <f t="shared" si="16"/>
        <v>0.1132922382888889</v>
      </c>
      <c r="AH65" s="20">
        <f>+IFERROR(VLOOKUP(C65,k!$A$7:$L$13,7,0),0)</f>
        <v>0</v>
      </c>
      <c r="AI65" s="20">
        <f t="shared" si="17"/>
        <v>0</v>
      </c>
      <c r="AJ65" s="5">
        <f t="shared" si="18"/>
        <v>0</v>
      </c>
      <c r="AK65" s="57">
        <f t="shared" si="19"/>
        <v>0</v>
      </c>
      <c r="AL65" s="19">
        <f t="shared" si="20"/>
        <v>0</v>
      </c>
      <c r="AM65" s="20">
        <f t="shared" si="21"/>
        <v>0</v>
      </c>
      <c r="AN65" s="27">
        <f t="shared" si="22"/>
        <v>0</v>
      </c>
      <c r="AO65" s="57">
        <f t="shared" si="37"/>
        <v>0</v>
      </c>
      <c r="AP65" s="19">
        <f t="shared" si="24"/>
        <v>0</v>
      </c>
      <c r="AQ65" s="20">
        <f t="shared" si="25"/>
        <v>0</v>
      </c>
      <c r="AR65" s="58">
        <f t="shared" si="26"/>
        <v>0</v>
      </c>
      <c r="AS65" s="1">
        <f t="shared" si="27"/>
        <v>0</v>
      </c>
      <c r="AT65" s="21">
        <f t="shared" si="28"/>
        <v>0</v>
      </c>
      <c r="AU65" s="28">
        <f t="shared" si="29"/>
        <v>0</v>
      </c>
      <c r="AV65" s="19">
        <f t="shared" si="30"/>
        <v>0</v>
      </c>
      <c r="AW65" s="19">
        <f t="shared" si="31"/>
        <v>0</v>
      </c>
      <c r="AX65" s="27">
        <f t="shared" si="32"/>
        <v>0</v>
      </c>
      <c r="AY65" s="1" t="e">
        <f t="shared" si="33"/>
        <v>#DIV/0!</v>
      </c>
      <c r="AZ65" s="1" t="e">
        <f t="shared" si="34"/>
        <v>#DIV/0!</v>
      </c>
    </row>
    <row r="66" spans="1:52" hidden="1" x14ac:dyDescent="0.35">
      <c r="A66" s="29" t="s">
        <v>423</v>
      </c>
      <c r="B66" s="6">
        <v>35</v>
      </c>
      <c r="C66" s="2" t="s">
        <v>102</v>
      </c>
      <c r="D66" t="str">
        <f t="shared" si="3"/>
        <v>100.2</v>
      </c>
      <c r="E66" t="s">
        <v>185</v>
      </c>
      <c r="F66" s="6" t="str">
        <f>+IFERROR(VLOOKUP(E66,#REF!,29,0),"C")</f>
        <v>C</v>
      </c>
      <c r="G66" s="6" t="str">
        <f>+IFERROR(VLOOKUP(E66,#REF!,34,0),"C")</f>
        <v>C</v>
      </c>
      <c r="H66" s="64">
        <f>+IFERROR(VLOOKUP(E66,#REF!,31,0),0)</f>
        <v>0</v>
      </c>
      <c r="I66" s="44">
        <f>+IFERROR(VLOOKUP(E66,#REF!,26,0),0)</f>
        <v>0</v>
      </c>
      <c r="J66" s="44">
        <f>+IFERROR(VLOOKUP(E66,#REF!,30,0),0)</f>
        <v>0</v>
      </c>
      <c r="K66" s="3"/>
      <c r="L66" s="25">
        <f t="shared" si="4"/>
        <v>0.7</v>
      </c>
      <c r="M66" s="26">
        <f t="shared" si="5"/>
        <v>0.52440051270804078</v>
      </c>
      <c r="O66">
        <f>+IFERROR(VLOOKUP(D66,lt!A:J,10,0),15)</f>
        <v>20</v>
      </c>
      <c r="P66">
        <v>2</v>
      </c>
      <c r="Q66">
        <v>1</v>
      </c>
      <c r="R66">
        <v>2</v>
      </c>
      <c r="S66" s="22">
        <f t="shared" si="6"/>
        <v>25</v>
      </c>
      <c r="T66" s="9">
        <v>3</v>
      </c>
      <c r="U66" s="23">
        <f t="shared" si="7"/>
        <v>0.93333333333333335</v>
      </c>
      <c r="V66" s="11">
        <f t="shared" si="8"/>
        <v>0</v>
      </c>
      <c r="W66" s="11">
        <f t="shared" si="9"/>
        <v>0</v>
      </c>
      <c r="X66" s="11">
        <f t="shared" si="10"/>
        <v>0</v>
      </c>
      <c r="Y66" s="11">
        <f t="shared" si="11"/>
        <v>0</v>
      </c>
      <c r="Z66" s="65">
        <f t="shared" si="12"/>
        <v>0</v>
      </c>
      <c r="AA66" s="24">
        <f t="shared" si="13"/>
        <v>0</v>
      </c>
      <c r="AB66">
        <f t="shared" si="14"/>
        <v>0</v>
      </c>
      <c r="AC66" s="46">
        <f>+IFERROR(VLOOKUP(E66,#REF!,24,0),0.2)</f>
        <v>0.2</v>
      </c>
      <c r="AD66" s="42">
        <f>+IFERROR(VLOOKUP(E66,h!$C:$D,2,0),0.3866)</f>
        <v>0.38610833333333339</v>
      </c>
      <c r="AE66" s="42">
        <f>+VLOOKUP(A66,k!$A$1:$G$4,5,0)</f>
        <v>0.35799365240740744</v>
      </c>
      <c r="AF66" s="47">
        <f t="shared" si="15"/>
        <v>0.94410198574074089</v>
      </c>
      <c r="AG66" s="48">
        <f t="shared" si="16"/>
        <v>0.1132922382888889</v>
      </c>
      <c r="AH66" s="20">
        <f>+IFERROR(VLOOKUP(C66,k!$A$7:$L$13,7,0),0)</f>
        <v>7.4001689814814817</v>
      </c>
      <c r="AI66" s="20">
        <f t="shared" si="17"/>
        <v>0</v>
      </c>
      <c r="AJ66" s="5">
        <f t="shared" si="18"/>
        <v>7.4001689814814817</v>
      </c>
      <c r="AK66" s="57">
        <f t="shared" si="19"/>
        <v>0</v>
      </c>
      <c r="AL66" s="19">
        <f t="shared" si="20"/>
        <v>0</v>
      </c>
      <c r="AM66" s="20">
        <f t="shared" si="21"/>
        <v>0</v>
      </c>
      <c r="AN66" s="27">
        <f t="shared" si="22"/>
        <v>0</v>
      </c>
      <c r="AO66" s="57">
        <f t="shared" si="37"/>
        <v>0</v>
      </c>
      <c r="AP66" s="19">
        <f t="shared" si="24"/>
        <v>0</v>
      </c>
      <c r="AQ66" s="20">
        <f t="shared" si="25"/>
        <v>0</v>
      </c>
      <c r="AR66" s="58">
        <f t="shared" si="26"/>
        <v>0</v>
      </c>
      <c r="AS66" s="1">
        <f t="shared" si="27"/>
        <v>0</v>
      </c>
      <c r="AT66" s="21">
        <f t="shared" si="28"/>
        <v>0</v>
      </c>
      <c r="AU66" s="28">
        <f t="shared" si="29"/>
        <v>0</v>
      </c>
      <c r="AV66" s="19">
        <f t="shared" si="30"/>
        <v>0</v>
      </c>
      <c r="AW66" s="19">
        <f t="shared" si="31"/>
        <v>0</v>
      </c>
      <c r="AX66" s="27">
        <f t="shared" si="32"/>
        <v>0</v>
      </c>
      <c r="AY66" s="1" t="e">
        <f t="shared" si="33"/>
        <v>#DIV/0!</v>
      </c>
      <c r="AZ66" s="1" t="e">
        <f t="shared" si="34"/>
        <v>#DIV/0!</v>
      </c>
    </row>
    <row r="67" spans="1:52" hidden="1" x14ac:dyDescent="0.35">
      <c r="A67" s="29" t="s">
        <v>423</v>
      </c>
      <c r="B67" s="6">
        <v>22</v>
      </c>
      <c r="C67" s="2" t="e">
        <f>+VLOOKUP(E67,inventario!#REF!,2,0)</f>
        <v>#REF!</v>
      </c>
      <c r="D67" t="str">
        <f t="shared" si="3"/>
        <v>1073</v>
      </c>
      <c r="E67" t="s">
        <v>81</v>
      </c>
      <c r="F67" s="6" t="str">
        <f>+IFERROR(VLOOKUP(E67,#REF!,29,0),"C")</f>
        <v>C</v>
      </c>
      <c r="G67" s="6" t="str">
        <f>+IFERROR(VLOOKUP(E67,#REF!,34,0),"C")</f>
        <v>C</v>
      </c>
      <c r="H67" s="64">
        <f>+IFERROR(VLOOKUP(E67,#REF!,31,0),0)</f>
        <v>0</v>
      </c>
      <c r="I67" s="44">
        <f>+IFERROR(VLOOKUP(E67,#REF!,26,0),0)</f>
        <v>0</v>
      </c>
      <c r="J67" s="44">
        <f>+IFERROR(VLOOKUP(E67,#REF!,30,0),0)</f>
        <v>0</v>
      </c>
      <c r="K67" s="3"/>
      <c r="L67" s="25">
        <f t="shared" si="4"/>
        <v>0.7</v>
      </c>
      <c r="M67" s="26">
        <f t="shared" si="5"/>
        <v>0.52440051270804078</v>
      </c>
      <c r="O67">
        <f>+IFERROR(VLOOKUP(D67,lt!A:J,10,0),15)</f>
        <v>92</v>
      </c>
      <c r="P67">
        <v>2</v>
      </c>
      <c r="Q67">
        <v>1</v>
      </c>
      <c r="R67">
        <v>2</v>
      </c>
      <c r="S67" s="22">
        <f t="shared" si="6"/>
        <v>97</v>
      </c>
      <c r="T67" s="9">
        <v>3</v>
      </c>
      <c r="U67" s="23">
        <f t="shared" si="7"/>
        <v>3.3333333333333335</v>
      </c>
      <c r="V67" s="11">
        <f t="shared" si="8"/>
        <v>0</v>
      </c>
      <c r="W67" s="11">
        <f t="shared" si="9"/>
        <v>0</v>
      </c>
      <c r="X67" s="11">
        <f t="shared" si="10"/>
        <v>0</v>
      </c>
      <c r="Y67" s="11">
        <f t="shared" si="11"/>
        <v>0</v>
      </c>
      <c r="Z67" s="65">
        <f t="shared" si="12"/>
        <v>0</v>
      </c>
      <c r="AA67" s="24">
        <f t="shared" si="13"/>
        <v>0</v>
      </c>
      <c r="AB67">
        <f t="shared" si="14"/>
        <v>0</v>
      </c>
      <c r="AC67" s="46">
        <f>+IFERROR(VLOOKUP(E67,#REF!,24,0),0.2)</f>
        <v>0.2</v>
      </c>
      <c r="AD67" s="42">
        <f>+IFERROR(VLOOKUP(E67,h!$C:$D,2,0),0.3866)</f>
        <v>0.38610833333333339</v>
      </c>
      <c r="AE67" s="42">
        <f>+VLOOKUP(A67,k!$A$1:$G$4,5,0)</f>
        <v>0.35799365240740744</v>
      </c>
      <c r="AF67" s="47">
        <f t="shared" si="15"/>
        <v>0.94410198574074089</v>
      </c>
      <c r="AG67" s="48">
        <f t="shared" si="16"/>
        <v>0.1132922382888889</v>
      </c>
      <c r="AH67" s="20">
        <f>+IFERROR(VLOOKUP(C67,k!$A$7:$L$13,7,0),0)</f>
        <v>0</v>
      </c>
      <c r="AI67" s="20">
        <f t="shared" si="17"/>
        <v>0</v>
      </c>
      <c r="AJ67" s="5">
        <f t="shared" si="18"/>
        <v>0</v>
      </c>
      <c r="AK67" s="57">
        <f t="shared" si="19"/>
        <v>0</v>
      </c>
      <c r="AL67" s="19">
        <f t="shared" si="20"/>
        <v>0</v>
      </c>
      <c r="AM67" s="20">
        <f t="shared" si="21"/>
        <v>0</v>
      </c>
      <c r="AN67" s="27">
        <f t="shared" si="22"/>
        <v>0</v>
      </c>
      <c r="AO67" s="57">
        <f t="shared" si="37"/>
        <v>0</v>
      </c>
      <c r="AP67" s="19">
        <f t="shared" si="24"/>
        <v>0</v>
      </c>
      <c r="AQ67" s="20">
        <f t="shared" si="25"/>
        <v>0</v>
      </c>
      <c r="AR67" s="58">
        <f t="shared" si="26"/>
        <v>0</v>
      </c>
      <c r="AS67" s="1">
        <f t="shared" si="27"/>
        <v>0</v>
      </c>
      <c r="AT67" s="21">
        <f t="shared" si="28"/>
        <v>0</v>
      </c>
      <c r="AU67" s="28">
        <f t="shared" si="29"/>
        <v>0</v>
      </c>
      <c r="AV67" s="19">
        <f t="shared" si="30"/>
        <v>0</v>
      </c>
      <c r="AW67" s="19">
        <f t="shared" si="31"/>
        <v>0</v>
      </c>
      <c r="AX67" s="27">
        <f t="shared" si="32"/>
        <v>0</v>
      </c>
      <c r="AY67" s="1" t="e">
        <f t="shared" si="33"/>
        <v>#DIV/0!</v>
      </c>
      <c r="AZ67" s="1" t="e">
        <f t="shared" si="34"/>
        <v>#DIV/0!</v>
      </c>
    </row>
    <row r="68" spans="1:52" hidden="1" x14ac:dyDescent="0.35">
      <c r="A68" s="29" t="s">
        <v>423</v>
      </c>
      <c r="B68" s="6">
        <v>0.8</v>
      </c>
      <c r="C68" s="2" t="e">
        <f>+VLOOKUP(E68,inventario!#REF!,2,0)</f>
        <v>#REF!</v>
      </c>
      <c r="D68" t="str">
        <f t="shared" si="3"/>
        <v>497.5</v>
      </c>
      <c r="E68" t="s">
        <v>133</v>
      </c>
      <c r="F68" s="6" t="str">
        <f>+IFERROR(VLOOKUP(E68,#REF!,29,0),"C")</f>
        <v>C</v>
      </c>
      <c r="G68" s="6" t="str">
        <f>+IFERROR(VLOOKUP(E68,#REF!,34,0),"C")</f>
        <v>C</v>
      </c>
      <c r="H68" s="64">
        <f>+IFERROR(VLOOKUP(E68,#REF!,31,0),0)</f>
        <v>0</v>
      </c>
      <c r="I68" s="44">
        <f>+IFERROR(VLOOKUP(E68,#REF!,26,0),0)</f>
        <v>0</v>
      </c>
      <c r="J68" s="44">
        <f>+IFERROR(VLOOKUP(E68,#REF!,30,0),0)</f>
        <v>0</v>
      </c>
      <c r="K68" s="3"/>
      <c r="L68" s="25">
        <f t="shared" si="4"/>
        <v>0.7</v>
      </c>
      <c r="M68" s="26">
        <f t="shared" si="5"/>
        <v>0.52440051270804078</v>
      </c>
      <c r="O68">
        <f>+IFERROR(VLOOKUP(D68,lt!A:J,10,0),15)</f>
        <v>95</v>
      </c>
      <c r="P68">
        <v>2</v>
      </c>
      <c r="Q68">
        <v>1</v>
      </c>
      <c r="R68">
        <v>2</v>
      </c>
      <c r="S68" s="22">
        <f t="shared" si="6"/>
        <v>100</v>
      </c>
      <c r="T68" s="9">
        <v>3</v>
      </c>
      <c r="U68" s="23">
        <f t="shared" si="7"/>
        <v>3.4333333333333331</v>
      </c>
      <c r="V68" s="11">
        <f t="shared" si="8"/>
        <v>0</v>
      </c>
      <c r="W68" s="11">
        <f t="shared" si="9"/>
        <v>0</v>
      </c>
      <c r="X68" s="11">
        <f t="shared" si="10"/>
        <v>0</v>
      </c>
      <c r="Y68" s="11">
        <f t="shared" si="11"/>
        <v>0</v>
      </c>
      <c r="Z68" s="65">
        <f t="shared" si="12"/>
        <v>0</v>
      </c>
      <c r="AA68" s="24">
        <f t="shared" si="13"/>
        <v>0</v>
      </c>
      <c r="AB68">
        <f t="shared" si="14"/>
        <v>0</v>
      </c>
      <c r="AC68" s="46">
        <f>+IFERROR(VLOOKUP(E68,#REF!,24,0),0.2)</f>
        <v>0.2</v>
      </c>
      <c r="AD68" s="42">
        <f>+IFERROR(VLOOKUP(E68,h!$C:$D,2,0),0.3866)</f>
        <v>0.38610833333333339</v>
      </c>
      <c r="AE68" s="42">
        <f>+VLOOKUP(A68,k!$A$1:$G$4,5,0)</f>
        <v>0.35799365240740744</v>
      </c>
      <c r="AF68" s="47">
        <f t="shared" si="15"/>
        <v>0.94410198574074089</v>
      </c>
      <c r="AG68" s="48">
        <f t="shared" si="16"/>
        <v>0.1132922382888889</v>
      </c>
      <c r="AH68" s="20">
        <f>+IFERROR(VLOOKUP(C68,k!$A$7:$L$13,7,0),0)</f>
        <v>0</v>
      </c>
      <c r="AI68" s="20">
        <f t="shared" si="17"/>
        <v>0</v>
      </c>
      <c r="AJ68" s="5">
        <f t="shared" si="18"/>
        <v>0</v>
      </c>
      <c r="AK68" s="57">
        <f t="shared" si="19"/>
        <v>0</v>
      </c>
      <c r="AL68" s="19">
        <f t="shared" si="20"/>
        <v>0</v>
      </c>
      <c r="AM68" s="20">
        <f t="shared" si="21"/>
        <v>0</v>
      </c>
      <c r="AN68" s="27">
        <f t="shared" si="22"/>
        <v>0</v>
      </c>
      <c r="AO68" s="57">
        <f t="shared" si="37"/>
        <v>0</v>
      </c>
      <c r="AP68" s="19">
        <f t="shared" si="24"/>
        <v>0</v>
      </c>
      <c r="AQ68" s="20">
        <f t="shared" si="25"/>
        <v>0</v>
      </c>
      <c r="AR68" s="58">
        <f t="shared" si="26"/>
        <v>0</v>
      </c>
      <c r="AS68" s="1">
        <f t="shared" si="27"/>
        <v>0</v>
      </c>
      <c r="AT68" s="21">
        <f t="shared" si="28"/>
        <v>0</v>
      </c>
      <c r="AU68" s="28">
        <f t="shared" si="29"/>
        <v>0</v>
      </c>
      <c r="AV68" s="19">
        <f t="shared" si="30"/>
        <v>0</v>
      </c>
      <c r="AW68" s="19">
        <f t="shared" si="31"/>
        <v>0</v>
      </c>
      <c r="AX68" s="27">
        <f t="shared" si="32"/>
        <v>0</v>
      </c>
      <c r="AY68" s="1" t="e">
        <f t="shared" si="33"/>
        <v>#DIV/0!</v>
      </c>
      <c r="AZ68" s="1" t="e">
        <f t="shared" si="34"/>
        <v>#DIV/0!</v>
      </c>
    </row>
    <row r="69" spans="1:52" hidden="1" x14ac:dyDescent="0.35">
      <c r="A69" s="29" t="s">
        <v>423</v>
      </c>
      <c r="B69" s="6">
        <v>2.5000000000000001E-2</v>
      </c>
      <c r="C69" s="2" t="e">
        <f>+VLOOKUP(E69,inventario!#REF!,2,0)</f>
        <v>#REF!</v>
      </c>
      <c r="D69" t="str">
        <f t="shared" ref="D69:D132" si="38">+RIGHT(E69, LEN(E69) - FIND("|", E69) - 1)</f>
        <v>704</v>
      </c>
      <c r="E69" t="s">
        <v>132</v>
      </c>
      <c r="F69" s="6" t="str">
        <f>+IFERROR(VLOOKUP(E69,#REF!,29,0),"C")</f>
        <v>C</v>
      </c>
      <c r="G69" s="6" t="str">
        <f>+IFERROR(VLOOKUP(E69,#REF!,34,0),"C")</f>
        <v>C</v>
      </c>
      <c r="H69" s="64">
        <f>+IFERROR(VLOOKUP(E69,#REF!,31,0),0)</f>
        <v>0</v>
      </c>
      <c r="I69" s="44">
        <f>+IFERROR(VLOOKUP(E69,#REF!,26,0),0)</f>
        <v>0</v>
      </c>
      <c r="J69" s="44">
        <f>+IFERROR(VLOOKUP(E69,#REF!,30,0),0)</f>
        <v>0</v>
      </c>
      <c r="K69" s="3"/>
      <c r="L69" s="25">
        <f t="shared" ref="L69:L132" si="39">+IF(OR(F69="A",F69="A+"),0.95,IF(F69="B",0.75,0.7))</f>
        <v>0.7</v>
      </c>
      <c r="M69" s="26">
        <f t="shared" ref="M69:M132" si="40">+NORMSINV(L69)</f>
        <v>0.52440051270804078</v>
      </c>
      <c r="O69">
        <f>+IFERROR(VLOOKUP(D69,lt!A:J,10,0),15)</f>
        <v>17</v>
      </c>
      <c r="P69">
        <v>2</v>
      </c>
      <c r="Q69">
        <v>1</v>
      </c>
      <c r="R69">
        <v>2</v>
      </c>
      <c r="S69" s="22">
        <f t="shared" ref="S69:S132" si="41">+O69+P69+Q69+R69</f>
        <v>22</v>
      </c>
      <c r="T69" s="9">
        <v>3</v>
      </c>
      <c r="U69" s="23">
        <f t="shared" ref="U69:U132" si="42">(T69+S69)/30</f>
        <v>0.83333333333333337</v>
      </c>
      <c r="V69" s="11">
        <f t="shared" ref="V69:V132" si="43">+J69*NORMSINV(L69)*SQRT((S69+T69)/30)</f>
        <v>0</v>
      </c>
      <c r="W69" s="11">
        <f t="shared" ref="W69:W132" si="44">+(S69+T69)/30*H69</f>
        <v>0</v>
      </c>
      <c r="X69" s="11">
        <f t="shared" ref="X69:X132" si="45">+(H69)/30*T69/2</f>
        <v>0</v>
      </c>
      <c r="Y69" s="11">
        <f t="shared" ref="Y69:Y132" si="46">+X69+V69</f>
        <v>0</v>
      </c>
      <c r="Z69" s="65">
        <f t="shared" ref="Z69:Z132" si="47">+CEILING(W69+V69,B69)</f>
        <v>0</v>
      </c>
      <c r="AA69" s="24">
        <f t="shared" ref="AA69:AA132" si="48">+H69/30*S69</f>
        <v>0</v>
      </c>
      <c r="AB69">
        <f t="shared" ref="AB69:AB132" si="49">+H69*T69</f>
        <v>0</v>
      </c>
      <c r="AC69" s="46">
        <f>+IFERROR(VLOOKUP(E69,#REF!,24,0),0.2)</f>
        <v>0.2</v>
      </c>
      <c r="AD69" s="42">
        <f>+IFERROR(VLOOKUP(E69,h!$C:$D,2,0),0.3866)</f>
        <v>0.38610833333333339</v>
      </c>
      <c r="AE69" s="42">
        <f>+VLOOKUP(A69,k!$A$1:$G$4,5,0)</f>
        <v>0.35799365240740744</v>
      </c>
      <c r="AF69" s="47">
        <f t="shared" ref="AF69:AF132" si="50">+SUM(AC69:AE69)</f>
        <v>0.94410198574074089</v>
      </c>
      <c r="AG69" s="48">
        <f t="shared" ref="AG69:AG132" si="51">12%*AF69</f>
        <v>0.1132922382888889</v>
      </c>
      <c r="AH69" s="20">
        <f>+IFERROR(VLOOKUP(C69,k!$A$7:$L$13,7,0),0)</f>
        <v>0</v>
      </c>
      <c r="AI69" s="20">
        <f t="shared" ref="AI69:AI132" si="52">+AL69*AH69</f>
        <v>0</v>
      </c>
      <c r="AJ69" s="5">
        <f t="shared" ref="AJ69:AJ132" si="53">AH69</f>
        <v>0</v>
      </c>
      <c r="AK69" s="57">
        <f t="shared" ref="AK69:AK132" si="54">+CEILING(IFERROR(SQRT(2*AJ69*I69/AG69),0),B69)</f>
        <v>0</v>
      </c>
      <c r="AL69" s="19">
        <f t="shared" ref="AL69:AL132" si="55">+IF(AK69=0,0,ROUNDUP(I69/AK69,0))</f>
        <v>0</v>
      </c>
      <c r="AM69" s="20">
        <f t="shared" ref="AM69:AM132" si="56">+IFERROR(AK69/H69,0)</f>
        <v>0</v>
      </c>
      <c r="AN69" s="27">
        <f t="shared" ref="AN69:AN132" si="57">+AM69*30</f>
        <v>0</v>
      </c>
      <c r="AO69" s="57">
        <f t="shared" ref="AO69:AO100" si="58">+CEILING(IFERROR(SQRT(2*AI69*I69/AG69),0),B69)</f>
        <v>0</v>
      </c>
      <c r="AP69" s="19">
        <f t="shared" ref="AP69:AP132" si="59">+IF(AO69=0,0,I69/AO69)</f>
        <v>0</v>
      </c>
      <c r="AQ69" s="20">
        <f t="shared" ref="AQ69:AQ132" si="60">+IFERROR(AO69/H69,0)</f>
        <v>0</v>
      </c>
      <c r="AR69" s="58">
        <f t="shared" ref="AR69:AR132" si="61">+AQ69*30</f>
        <v>0</v>
      </c>
      <c r="AS69" s="1">
        <f t="shared" ref="AS69:AS132" si="62">+AU69+H69/30*S69</f>
        <v>0</v>
      </c>
      <c r="AT69" s="21">
        <f t="shared" ref="AT69:AT132" si="63">+IFERROR(AS69/H69*22,0)</f>
        <v>0</v>
      </c>
      <c r="AU69" s="28">
        <f t="shared" ref="AU69:AU132" si="64">+NORMSINV(L69)*SQRT((S69)/30)*J69</f>
        <v>0</v>
      </c>
      <c r="AV69" s="19">
        <f t="shared" ref="AV69:AV132" si="65">+AO69/2</f>
        <v>0</v>
      </c>
      <c r="AW69" s="19">
        <f t="shared" ref="AW69:AW132" si="66">+AV69+AU69</f>
        <v>0</v>
      </c>
      <c r="AX69" s="27">
        <f t="shared" ref="AX69:AX132" si="67">+H69/30*S69</f>
        <v>0</v>
      </c>
      <c r="AY69" s="1" t="e">
        <f t="shared" ref="AY69:AY132" si="68">+AU69/H69*30</f>
        <v>#DIV/0!</v>
      </c>
      <c r="AZ69" s="1" t="e">
        <f t="shared" ref="AZ69:AZ132" si="69">+AW69/H69*30</f>
        <v>#DIV/0!</v>
      </c>
    </row>
    <row r="70" spans="1:52" hidden="1" x14ac:dyDescent="0.35">
      <c r="A70" s="29" t="s">
        <v>423</v>
      </c>
      <c r="B70" s="6">
        <v>2.5000000000000001E-2</v>
      </c>
      <c r="C70" s="2" t="e">
        <f>+VLOOKUP(E70,inventario!#REF!,2,0)</f>
        <v>#REF!</v>
      </c>
      <c r="D70" t="str">
        <f t="shared" si="38"/>
        <v>379</v>
      </c>
      <c r="E70" t="s">
        <v>139</v>
      </c>
      <c r="F70" s="6" t="str">
        <f>+IFERROR(VLOOKUP(E70,#REF!,29,0),"C")</f>
        <v>C</v>
      </c>
      <c r="G70" s="6" t="str">
        <f>+IFERROR(VLOOKUP(E70,#REF!,34,0),"C")</f>
        <v>C</v>
      </c>
      <c r="H70" s="64">
        <f>+IFERROR(VLOOKUP(E70,#REF!,31,0),0)</f>
        <v>0</v>
      </c>
      <c r="I70" s="44">
        <f>+IFERROR(VLOOKUP(E70,#REF!,26,0),0)</f>
        <v>0</v>
      </c>
      <c r="J70" s="44">
        <f>+IFERROR(VLOOKUP(E70,#REF!,30,0),0)</f>
        <v>0</v>
      </c>
      <c r="K70" s="3"/>
      <c r="L70" s="25">
        <f t="shared" si="39"/>
        <v>0.7</v>
      </c>
      <c r="M70" s="26">
        <f t="shared" si="40"/>
        <v>0.52440051270804078</v>
      </c>
      <c r="O70">
        <f>+IFERROR(VLOOKUP(D70,lt!A:J,10,0),15)</f>
        <v>95</v>
      </c>
      <c r="P70">
        <v>2</v>
      </c>
      <c r="Q70">
        <v>1</v>
      </c>
      <c r="R70">
        <v>2</v>
      </c>
      <c r="S70" s="22">
        <f t="shared" si="41"/>
        <v>100</v>
      </c>
      <c r="T70" s="9">
        <v>3</v>
      </c>
      <c r="U70" s="23">
        <f t="shared" si="42"/>
        <v>3.4333333333333331</v>
      </c>
      <c r="V70" s="11">
        <f t="shared" si="43"/>
        <v>0</v>
      </c>
      <c r="W70" s="11">
        <f t="shared" si="44"/>
        <v>0</v>
      </c>
      <c r="X70" s="11">
        <f t="shared" si="45"/>
        <v>0</v>
      </c>
      <c r="Y70" s="11">
        <f t="shared" si="46"/>
        <v>0</v>
      </c>
      <c r="Z70" s="65">
        <f t="shared" si="47"/>
        <v>0</v>
      </c>
      <c r="AA70" s="24">
        <f t="shared" si="48"/>
        <v>0</v>
      </c>
      <c r="AB70">
        <f t="shared" si="49"/>
        <v>0</v>
      </c>
      <c r="AC70" s="46">
        <f>+IFERROR(VLOOKUP(E70,#REF!,24,0),0.2)</f>
        <v>0.2</v>
      </c>
      <c r="AD70" s="42">
        <f>+IFERROR(VLOOKUP(E70,h!$C:$D,2,0),0.3866)</f>
        <v>0.38610833333333339</v>
      </c>
      <c r="AE70" s="42">
        <f>+VLOOKUP(A70,k!$A$1:$G$4,5,0)</f>
        <v>0.35799365240740744</v>
      </c>
      <c r="AF70" s="47">
        <f t="shared" si="50"/>
        <v>0.94410198574074089</v>
      </c>
      <c r="AG70" s="48">
        <f t="shared" si="51"/>
        <v>0.1132922382888889</v>
      </c>
      <c r="AH70" s="20">
        <f>+IFERROR(VLOOKUP(C70,k!$A$7:$L$13,7,0),0)</f>
        <v>0</v>
      </c>
      <c r="AI70" s="20">
        <f t="shared" si="52"/>
        <v>0</v>
      </c>
      <c r="AJ70" s="5">
        <f t="shared" si="53"/>
        <v>0</v>
      </c>
      <c r="AK70" s="57">
        <f t="shared" si="54"/>
        <v>0</v>
      </c>
      <c r="AL70" s="19">
        <f t="shared" si="55"/>
        <v>0</v>
      </c>
      <c r="AM70" s="20">
        <f t="shared" si="56"/>
        <v>0</v>
      </c>
      <c r="AN70" s="27">
        <f t="shared" si="57"/>
        <v>0</v>
      </c>
      <c r="AO70" s="57">
        <f t="shared" si="58"/>
        <v>0</v>
      </c>
      <c r="AP70" s="19">
        <f t="shared" si="59"/>
        <v>0</v>
      </c>
      <c r="AQ70" s="20">
        <f t="shared" si="60"/>
        <v>0</v>
      </c>
      <c r="AR70" s="58">
        <f t="shared" si="61"/>
        <v>0</v>
      </c>
      <c r="AS70" s="1">
        <f t="shared" si="62"/>
        <v>0</v>
      </c>
      <c r="AT70" s="21">
        <f t="shared" si="63"/>
        <v>0</v>
      </c>
      <c r="AU70" s="28">
        <f t="shared" si="64"/>
        <v>0</v>
      </c>
      <c r="AV70" s="19">
        <f t="shared" si="65"/>
        <v>0</v>
      </c>
      <c r="AW70" s="19">
        <f t="shared" si="66"/>
        <v>0</v>
      </c>
      <c r="AX70" s="27">
        <f t="shared" si="67"/>
        <v>0</v>
      </c>
      <c r="AY70" s="1" t="e">
        <f t="shared" si="68"/>
        <v>#DIV/0!</v>
      </c>
      <c r="AZ70" s="1" t="e">
        <f t="shared" si="69"/>
        <v>#DIV/0!</v>
      </c>
    </row>
    <row r="71" spans="1:52" hidden="1" x14ac:dyDescent="0.35">
      <c r="A71" s="29" t="s">
        <v>423</v>
      </c>
      <c r="B71" s="6">
        <v>2.5000000000000001E-2</v>
      </c>
      <c r="C71" s="2" t="e">
        <f>+VLOOKUP(E71,inventario!#REF!,2,0)</f>
        <v>#REF!</v>
      </c>
      <c r="D71" t="str">
        <f t="shared" si="38"/>
        <v>131.3</v>
      </c>
      <c r="E71" t="s">
        <v>83</v>
      </c>
      <c r="F71" s="6" t="str">
        <f>+IFERROR(VLOOKUP(E71,#REF!,29,0),"C")</f>
        <v>C</v>
      </c>
      <c r="G71" s="6" t="str">
        <f>+IFERROR(VLOOKUP(E71,#REF!,34,0),"C")</f>
        <v>C</v>
      </c>
      <c r="H71" s="64">
        <f>+IFERROR(VLOOKUP(E71,#REF!,31,0),0)</f>
        <v>0</v>
      </c>
      <c r="I71" s="44">
        <f>+IFERROR(VLOOKUP(E71,#REF!,26,0),0)</f>
        <v>0</v>
      </c>
      <c r="J71" s="44">
        <f>+IFERROR(VLOOKUP(E71,#REF!,30,0),0)</f>
        <v>0</v>
      </c>
      <c r="K71" s="3"/>
      <c r="L71" s="25">
        <f t="shared" si="39"/>
        <v>0.7</v>
      </c>
      <c r="M71" s="26">
        <f t="shared" si="40"/>
        <v>0.52440051270804078</v>
      </c>
      <c r="O71">
        <f>+IFERROR(VLOOKUP(D71,lt!A:J,10,0),15)</f>
        <v>17</v>
      </c>
      <c r="P71">
        <v>2</v>
      </c>
      <c r="Q71">
        <v>1</v>
      </c>
      <c r="R71">
        <v>2</v>
      </c>
      <c r="S71" s="22">
        <f t="shared" si="41"/>
        <v>22</v>
      </c>
      <c r="T71" s="9">
        <v>3</v>
      </c>
      <c r="U71" s="23">
        <f t="shared" si="42"/>
        <v>0.83333333333333337</v>
      </c>
      <c r="V71" s="11">
        <f t="shared" si="43"/>
        <v>0</v>
      </c>
      <c r="W71" s="11">
        <f t="shared" si="44"/>
        <v>0</v>
      </c>
      <c r="X71" s="11">
        <f t="shared" si="45"/>
        <v>0</v>
      </c>
      <c r="Y71" s="11">
        <f t="shared" si="46"/>
        <v>0</v>
      </c>
      <c r="Z71" s="65">
        <f t="shared" si="47"/>
        <v>0</v>
      </c>
      <c r="AA71" s="24">
        <f t="shared" si="48"/>
        <v>0</v>
      </c>
      <c r="AB71">
        <f t="shared" si="49"/>
        <v>0</v>
      </c>
      <c r="AC71" s="46">
        <f>+IFERROR(VLOOKUP(E71,#REF!,24,0),0.2)</f>
        <v>0.2</v>
      </c>
      <c r="AD71" s="42">
        <f>+IFERROR(VLOOKUP(E71,h!$C:$D,2,0),0.3866)</f>
        <v>0.38610833333333339</v>
      </c>
      <c r="AE71" s="42">
        <f>+VLOOKUP(A71,k!$A$1:$G$4,5,0)</f>
        <v>0.35799365240740744</v>
      </c>
      <c r="AF71" s="47">
        <f t="shared" si="50"/>
        <v>0.94410198574074089</v>
      </c>
      <c r="AG71" s="48">
        <f t="shared" si="51"/>
        <v>0.1132922382888889</v>
      </c>
      <c r="AH71" s="20">
        <f>+IFERROR(VLOOKUP(C71,k!$A$7:$L$13,7,0),0)</f>
        <v>0</v>
      </c>
      <c r="AI71" s="20">
        <f t="shared" si="52"/>
        <v>0</v>
      </c>
      <c r="AJ71" s="5">
        <f t="shared" si="53"/>
        <v>0</v>
      </c>
      <c r="AK71" s="57">
        <f t="shared" si="54"/>
        <v>0</v>
      </c>
      <c r="AL71" s="19">
        <f t="shared" si="55"/>
        <v>0</v>
      </c>
      <c r="AM71" s="20">
        <f t="shared" si="56"/>
        <v>0</v>
      </c>
      <c r="AN71" s="27">
        <f t="shared" si="57"/>
        <v>0</v>
      </c>
      <c r="AO71" s="57">
        <f t="shared" si="58"/>
        <v>0</v>
      </c>
      <c r="AP71" s="19">
        <f t="shared" si="59"/>
        <v>0</v>
      </c>
      <c r="AQ71" s="20">
        <f t="shared" si="60"/>
        <v>0</v>
      </c>
      <c r="AR71" s="58">
        <f t="shared" si="61"/>
        <v>0</v>
      </c>
      <c r="AS71" s="1">
        <f t="shared" si="62"/>
        <v>0</v>
      </c>
      <c r="AT71" s="21">
        <f t="shared" si="63"/>
        <v>0</v>
      </c>
      <c r="AU71" s="28">
        <f t="shared" si="64"/>
        <v>0</v>
      </c>
      <c r="AV71" s="19">
        <f t="shared" si="65"/>
        <v>0</v>
      </c>
      <c r="AW71" s="19">
        <f t="shared" si="66"/>
        <v>0</v>
      </c>
      <c r="AX71" s="27">
        <f t="shared" si="67"/>
        <v>0</v>
      </c>
      <c r="AY71" s="1" t="e">
        <f t="shared" si="68"/>
        <v>#DIV/0!</v>
      </c>
      <c r="AZ71" s="1" t="e">
        <f t="shared" si="69"/>
        <v>#DIV/0!</v>
      </c>
    </row>
    <row r="72" spans="1:52" hidden="1" x14ac:dyDescent="0.35">
      <c r="A72" s="29" t="s">
        <v>423</v>
      </c>
      <c r="B72" s="6">
        <v>2.5000000000000001E-2</v>
      </c>
      <c r="C72" s="2" t="e">
        <f>+VLOOKUP(E72,inventario!#REF!,2,0)</f>
        <v>#REF!</v>
      </c>
      <c r="D72" t="str">
        <f t="shared" si="38"/>
        <v>910</v>
      </c>
      <c r="E72" t="s">
        <v>136</v>
      </c>
      <c r="F72" s="6" t="str">
        <f>+IFERROR(VLOOKUP(E72,#REF!,29,0),"C")</f>
        <v>C</v>
      </c>
      <c r="G72" s="6" t="str">
        <f>+IFERROR(VLOOKUP(E72,#REF!,34,0),"C")</f>
        <v>C</v>
      </c>
      <c r="H72" s="64">
        <f>+IFERROR(VLOOKUP(E72,#REF!,31,0),0)</f>
        <v>0</v>
      </c>
      <c r="I72" s="44">
        <f>+IFERROR(VLOOKUP(E72,#REF!,26,0),0)</f>
        <v>0</v>
      </c>
      <c r="J72" s="44">
        <f>+IFERROR(VLOOKUP(E72,#REF!,30,0),0)</f>
        <v>0</v>
      </c>
      <c r="K72" s="3"/>
      <c r="L72" s="25">
        <f t="shared" si="39"/>
        <v>0.7</v>
      </c>
      <c r="M72" s="26">
        <f t="shared" si="40"/>
        <v>0.52440051270804078</v>
      </c>
      <c r="O72">
        <f>+IFERROR(VLOOKUP(D72,lt!A:J,10,0),15)</f>
        <v>17</v>
      </c>
      <c r="P72">
        <v>2</v>
      </c>
      <c r="Q72">
        <v>1</v>
      </c>
      <c r="R72">
        <v>2</v>
      </c>
      <c r="S72" s="22">
        <f t="shared" si="41"/>
        <v>22</v>
      </c>
      <c r="T72" s="9">
        <v>3</v>
      </c>
      <c r="U72" s="23">
        <f t="shared" si="42"/>
        <v>0.83333333333333337</v>
      </c>
      <c r="V72" s="11">
        <f t="shared" si="43"/>
        <v>0</v>
      </c>
      <c r="W72" s="11">
        <f t="shared" si="44"/>
        <v>0</v>
      </c>
      <c r="X72" s="11">
        <f t="shared" si="45"/>
        <v>0</v>
      </c>
      <c r="Y72" s="11">
        <f t="shared" si="46"/>
        <v>0</v>
      </c>
      <c r="Z72" s="65">
        <f t="shared" si="47"/>
        <v>0</v>
      </c>
      <c r="AA72" s="24">
        <f t="shared" si="48"/>
        <v>0</v>
      </c>
      <c r="AB72">
        <f t="shared" si="49"/>
        <v>0</v>
      </c>
      <c r="AC72" s="46">
        <f>+IFERROR(VLOOKUP(E72,#REF!,24,0),0.2)</f>
        <v>0.2</v>
      </c>
      <c r="AD72" s="42">
        <f>+IFERROR(VLOOKUP(E72,h!$C:$D,2,0),0.3866)</f>
        <v>0.38610833333333339</v>
      </c>
      <c r="AE72" s="42">
        <f>+VLOOKUP(A72,k!$A$1:$G$4,5,0)</f>
        <v>0.35799365240740744</v>
      </c>
      <c r="AF72" s="47">
        <f t="shared" si="50"/>
        <v>0.94410198574074089</v>
      </c>
      <c r="AG72" s="48">
        <f t="shared" si="51"/>
        <v>0.1132922382888889</v>
      </c>
      <c r="AH72" s="20">
        <f>+IFERROR(VLOOKUP(C72,k!$A$7:$L$13,7,0),0)</f>
        <v>0</v>
      </c>
      <c r="AI72" s="20">
        <f t="shared" si="52"/>
        <v>0</v>
      </c>
      <c r="AJ72" s="5">
        <f t="shared" si="53"/>
        <v>0</v>
      </c>
      <c r="AK72" s="57">
        <f t="shared" si="54"/>
        <v>0</v>
      </c>
      <c r="AL72" s="19">
        <f t="shared" si="55"/>
        <v>0</v>
      </c>
      <c r="AM72" s="20">
        <f t="shared" si="56"/>
        <v>0</v>
      </c>
      <c r="AN72" s="27">
        <f t="shared" si="57"/>
        <v>0</v>
      </c>
      <c r="AO72" s="57">
        <f t="shared" si="58"/>
        <v>0</v>
      </c>
      <c r="AP72" s="19">
        <f t="shared" si="59"/>
        <v>0</v>
      </c>
      <c r="AQ72" s="20">
        <f t="shared" si="60"/>
        <v>0</v>
      </c>
      <c r="AR72" s="58">
        <f t="shared" si="61"/>
        <v>0</v>
      </c>
      <c r="AS72" s="1">
        <f t="shared" si="62"/>
        <v>0</v>
      </c>
      <c r="AT72" s="21">
        <f t="shared" si="63"/>
        <v>0</v>
      </c>
      <c r="AU72" s="28">
        <f t="shared" si="64"/>
        <v>0</v>
      </c>
      <c r="AV72" s="19">
        <f t="shared" si="65"/>
        <v>0</v>
      </c>
      <c r="AW72" s="19">
        <f t="shared" si="66"/>
        <v>0</v>
      </c>
      <c r="AX72" s="27">
        <f t="shared" si="67"/>
        <v>0</v>
      </c>
      <c r="AY72" s="1" t="e">
        <f t="shared" si="68"/>
        <v>#DIV/0!</v>
      </c>
      <c r="AZ72" s="1" t="e">
        <f t="shared" si="69"/>
        <v>#DIV/0!</v>
      </c>
    </row>
    <row r="73" spans="1:52" hidden="1" x14ac:dyDescent="0.35">
      <c r="A73" s="29" t="s">
        <v>423</v>
      </c>
      <c r="B73" s="6">
        <v>0.5</v>
      </c>
      <c r="C73" s="2" t="e">
        <f>+VLOOKUP(E73,inventario!#REF!,2,0)</f>
        <v>#REF!</v>
      </c>
      <c r="D73" t="str">
        <f t="shared" si="38"/>
        <v>990</v>
      </c>
      <c r="E73" t="s">
        <v>135</v>
      </c>
      <c r="F73" s="6" t="str">
        <f>+IFERROR(VLOOKUP(E73,#REF!,29,0),"C")</f>
        <v>C</v>
      </c>
      <c r="G73" s="6" t="str">
        <f>+IFERROR(VLOOKUP(E73,#REF!,34,0),"C")</f>
        <v>C</v>
      </c>
      <c r="H73" s="64">
        <f>+IFERROR(VLOOKUP(E73,#REF!,31,0),0)</f>
        <v>0</v>
      </c>
      <c r="I73" s="44">
        <f>+IFERROR(VLOOKUP(E73,#REF!,26,0),0)</f>
        <v>0</v>
      </c>
      <c r="J73" s="44">
        <f>+IFERROR(VLOOKUP(E73,#REF!,30,0),0)</f>
        <v>0</v>
      </c>
      <c r="K73" s="3"/>
      <c r="L73" s="25">
        <f t="shared" si="39"/>
        <v>0.7</v>
      </c>
      <c r="M73" s="26">
        <f t="shared" si="40"/>
        <v>0.52440051270804078</v>
      </c>
      <c r="O73">
        <f>+IFERROR(VLOOKUP(D73,lt!A:J,10,0),15)</f>
        <v>17</v>
      </c>
      <c r="P73">
        <v>2</v>
      </c>
      <c r="Q73">
        <v>1</v>
      </c>
      <c r="R73">
        <v>2</v>
      </c>
      <c r="S73" s="22">
        <f t="shared" si="41"/>
        <v>22</v>
      </c>
      <c r="T73" s="9">
        <v>3</v>
      </c>
      <c r="U73" s="23">
        <f t="shared" si="42"/>
        <v>0.83333333333333337</v>
      </c>
      <c r="V73" s="11">
        <f t="shared" si="43"/>
        <v>0</v>
      </c>
      <c r="W73" s="11">
        <f t="shared" si="44"/>
        <v>0</v>
      </c>
      <c r="X73" s="11">
        <f t="shared" si="45"/>
        <v>0</v>
      </c>
      <c r="Y73" s="11">
        <f t="shared" si="46"/>
        <v>0</v>
      </c>
      <c r="Z73" s="65">
        <f t="shared" si="47"/>
        <v>0</v>
      </c>
      <c r="AA73" s="24">
        <f t="shared" si="48"/>
        <v>0</v>
      </c>
      <c r="AB73">
        <f t="shared" si="49"/>
        <v>0</v>
      </c>
      <c r="AC73" s="46">
        <f>+IFERROR(VLOOKUP(E73,#REF!,24,0),0.2)</f>
        <v>0.2</v>
      </c>
      <c r="AD73" s="42">
        <f>+IFERROR(VLOOKUP(E73,h!$C:$D,2,0),0.3866)</f>
        <v>0.38610833333333339</v>
      </c>
      <c r="AE73" s="42">
        <f>+VLOOKUP(A73,k!$A$1:$G$4,5,0)</f>
        <v>0.35799365240740744</v>
      </c>
      <c r="AF73" s="47">
        <f t="shared" si="50"/>
        <v>0.94410198574074089</v>
      </c>
      <c r="AG73" s="48">
        <f t="shared" si="51"/>
        <v>0.1132922382888889</v>
      </c>
      <c r="AH73" s="20">
        <f>+IFERROR(VLOOKUP(C73,k!$A$7:$L$13,7,0),0)</f>
        <v>0</v>
      </c>
      <c r="AI73" s="20">
        <f t="shared" si="52"/>
        <v>0</v>
      </c>
      <c r="AJ73" s="5">
        <f t="shared" si="53"/>
        <v>0</v>
      </c>
      <c r="AK73" s="57">
        <f t="shared" si="54"/>
        <v>0</v>
      </c>
      <c r="AL73" s="19">
        <f t="shared" si="55"/>
        <v>0</v>
      </c>
      <c r="AM73" s="20">
        <f t="shared" si="56"/>
        <v>0</v>
      </c>
      <c r="AN73" s="27">
        <f t="shared" si="57"/>
        <v>0</v>
      </c>
      <c r="AO73" s="57">
        <f t="shared" si="58"/>
        <v>0</v>
      </c>
      <c r="AP73" s="19">
        <f t="shared" si="59"/>
        <v>0</v>
      </c>
      <c r="AQ73" s="20">
        <f t="shared" si="60"/>
        <v>0</v>
      </c>
      <c r="AR73" s="58">
        <f t="shared" si="61"/>
        <v>0</v>
      </c>
      <c r="AS73" s="1">
        <f t="shared" si="62"/>
        <v>0</v>
      </c>
      <c r="AT73" s="21">
        <f t="shared" si="63"/>
        <v>0</v>
      </c>
      <c r="AU73" s="28">
        <f t="shared" si="64"/>
        <v>0</v>
      </c>
      <c r="AV73" s="19">
        <f t="shared" si="65"/>
        <v>0</v>
      </c>
      <c r="AW73" s="19">
        <f t="shared" si="66"/>
        <v>0</v>
      </c>
      <c r="AX73" s="27">
        <f t="shared" si="67"/>
        <v>0</v>
      </c>
      <c r="AY73" s="1" t="e">
        <f t="shared" si="68"/>
        <v>#DIV/0!</v>
      </c>
      <c r="AZ73" s="1" t="e">
        <f t="shared" si="69"/>
        <v>#DIV/0!</v>
      </c>
    </row>
    <row r="74" spans="1:52" hidden="1" x14ac:dyDescent="0.35">
      <c r="A74" s="29" t="s">
        <v>423</v>
      </c>
      <c r="B74" s="6">
        <v>0.02</v>
      </c>
      <c r="C74" s="2" t="e">
        <f>+VLOOKUP(E74,inventario!#REF!,2,0)</f>
        <v>#REF!</v>
      </c>
      <c r="D74" t="str">
        <f t="shared" si="38"/>
        <v>806</v>
      </c>
      <c r="E74" t="s">
        <v>134</v>
      </c>
      <c r="F74" s="6" t="str">
        <f>+IFERROR(VLOOKUP(E74,#REF!,29,0),"C")</f>
        <v>C</v>
      </c>
      <c r="G74" s="6" t="str">
        <f>+IFERROR(VLOOKUP(E74,#REF!,34,0),"C")</f>
        <v>C</v>
      </c>
      <c r="H74" s="64">
        <f>+IFERROR(VLOOKUP(E74,#REF!,31,0),0)</f>
        <v>0</v>
      </c>
      <c r="I74" s="44">
        <f>+IFERROR(VLOOKUP(E74,#REF!,26,0),0)</f>
        <v>0</v>
      </c>
      <c r="J74" s="44">
        <f>+IFERROR(VLOOKUP(E74,#REF!,30,0),0)</f>
        <v>0</v>
      </c>
      <c r="K74" s="3"/>
      <c r="L74" s="25">
        <f t="shared" si="39"/>
        <v>0.7</v>
      </c>
      <c r="M74" s="26">
        <f t="shared" si="40"/>
        <v>0.52440051270804078</v>
      </c>
      <c r="O74">
        <f>+IFERROR(VLOOKUP(D74,lt!A:J,10,0),15)</f>
        <v>17</v>
      </c>
      <c r="P74">
        <v>2</v>
      </c>
      <c r="Q74">
        <v>1</v>
      </c>
      <c r="R74">
        <v>2</v>
      </c>
      <c r="S74" s="22">
        <f t="shared" si="41"/>
        <v>22</v>
      </c>
      <c r="T74" s="9">
        <v>3</v>
      </c>
      <c r="U74" s="23">
        <f t="shared" si="42"/>
        <v>0.83333333333333337</v>
      </c>
      <c r="V74" s="11">
        <f t="shared" si="43"/>
        <v>0</v>
      </c>
      <c r="W74" s="11">
        <f t="shared" si="44"/>
        <v>0</v>
      </c>
      <c r="X74" s="11">
        <f t="shared" si="45"/>
        <v>0</v>
      </c>
      <c r="Y74" s="11">
        <f t="shared" si="46"/>
        <v>0</v>
      </c>
      <c r="Z74" s="65">
        <f t="shared" si="47"/>
        <v>0</v>
      </c>
      <c r="AA74" s="24">
        <f t="shared" si="48"/>
        <v>0</v>
      </c>
      <c r="AB74">
        <f t="shared" si="49"/>
        <v>0</v>
      </c>
      <c r="AC74" s="46">
        <f>+IFERROR(VLOOKUP(E74,#REF!,24,0),0.2)</f>
        <v>0.2</v>
      </c>
      <c r="AD74" s="42">
        <f>+IFERROR(VLOOKUP(E74,h!$C:$D,2,0),0.3866)</f>
        <v>0.38610833333333339</v>
      </c>
      <c r="AE74" s="42">
        <f>+VLOOKUP(A74,k!$A$1:$G$4,5,0)</f>
        <v>0.35799365240740744</v>
      </c>
      <c r="AF74" s="47">
        <f t="shared" si="50"/>
        <v>0.94410198574074089</v>
      </c>
      <c r="AG74" s="48">
        <f t="shared" si="51"/>
        <v>0.1132922382888889</v>
      </c>
      <c r="AH74" s="20">
        <f>+IFERROR(VLOOKUP(C74,k!$A$7:$L$13,7,0),0)</f>
        <v>0</v>
      </c>
      <c r="AI74" s="20">
        <f t="shared" si="52"/>
        <v>0</v>
      </c>
      <c r="AJ74" s="5">
        <f t="shared" si="53"/>
        <v>0</v>
      </c>
      <c r="AK74" s="57">
        <f t="shared" si="54"/>
        <v>0</v>
      </c>
      <c r="AL74" s="19">
        <f t="shared" si="55"/>
        <v>0</v>
      </c>
      <c r="AM74" s="20">
        <f t="shared" si="56"/>
        <v>0</v>
      </c>
      <c r="AN74" s="27">
        <f t="shared" si="57"/>
        <v>0</v>
      </c>
      <c r="AO74" s="57">
        <f t="shared" si="58"/>
        <v>0</v>
      </c>
      <c r="AP74" s="19">
        <f t="shared" si="59"/>
        <v>0</v>
      </c>
      <c r="AQ74" s="20">
        <f t="shared" si="60"/>
        <v>0</v>
      </c>
      <c r="AR74" s="58">
        <f t="shared" si="61"/>
        <v>0</v>
      </c>
      <c r="AS74" s="1">
        <f t="shared" si="62"/>
        <v>0</v>
      </c>
      <c r="AT74" s="21">
        <f t="shared" si="63"/>
        <v>0</v>
      </c>
      <c r="AU74" s="28">
        <f t="shared" si="64"/>
        <v>0</v>
      </c>
      <c r="AV74" s="19">
        <f t="shared" si="65"/>
        <v>0</v>
      </c>
      <c r="AW74" s="19">
        <f t="shared" si="66"/>
        <v>0</v>
      </c>
      <c r="AX74" s="27">
        <f t="shared" si="67"/>
        <v>0</v>
      </c>
      <c r="AY74" s="1" t="e">
        <f t="shared" si="68"/>
        <v>#DIV/0!</v>
      </c>
      <c r="AZ74" s="1" t="e">
        <f t="shared" si="69"/>
        <v>#DIV/0!</v>
      </c>
    </row>
    <row r="75" spans="1:52" hidden="1" x14ac:dyDescent="0.35">
      <c r="A75" s="29" t="s">
        <v>423</v>
      </c>
      <c r="B75" s="6">
        <v>2.5000000000000001E-2</v>
      </c>
      <c r="C75" s="2" t="e">
        <f>+VLOOKUP(E75,inventario!#REF!,2,0)</f>
        <v>#REF!</v>
      </c>
      <c r="D75" t="str">
        <f t="shared" si="38"/>
        <v>495</v>
      </c>
      <c r="E75" t="s">
        <v>78</v>
      </c>
      <c r="F75" s="6" t="str">
        <f>+IFERROR(VLOOKUP(E75,#REF!,29,0),"C")</f>
        <v>C</v>
      </c>
      <c r="G75" s="6" t="str">
        <f>+IFERROR(VLOOKUP(E75,#REF!,34,0),"C")</f>
        <v>C</v>
      </c>
      <c r="H75" s="64">
        <f>+IFERROR(VLOOKUP(E75,#REF!,31,0),0)</f>
        <v>0</v>
      </c>
      <c r="I75" s="44">
        <f>+IFERROR(VLOOKUP(E75,#REF!,26,0),0)</f>
        <v>0</v>
      </c>
      <c r="J75" s="44">
        <f>+IFERROR(VLOOKUP(E75,#REF!,30,0),0)</f>
        <v>0</v>
      </c>
      <c r="K75" s="3"/>
      <c r="L75" s="25">
        <f t="shared" si="39"/>
        <v>0.7</v>
      </c>
      <c r="M75" s="26">
        <f t="shared" si="40"/>
        <v>0.52440051270804078</v>
      </c>
      <c r="O75">
        <f>+IFERROR(VLOOKUP(D75,lt!A:J,10,0),15)</f>
        <v>17</v>
      </c>
      <c r="P75">
        <v>2</v>
      </c>
      <c r="Q75">
        <v>1</v>
      </c>
      <c r="R75">
        <v>2</v>
      </c>
      <c r="S75" s="22">
        <f t="shared" si="41"/>
        <v>22</v>
      </c>
      <c r="T75" s="9">
        <v>3</v>
      </c>
      <c r="U75" s="23">
        <f t="shared" si="42"/>
        <v>0.83333333333333337</v>
      </c>
      <c r="V75" s="11">
        <f t="shared" si="43"/>
        <v>0</v>
      </c>
      <c r="W75" s="11">
        <f t="shared" si="44"/>
        <v>0</v>
      </c>
      <c r="X75" s="11">
        <f t="shared" si="45"/>
        <v>0</v>
      </c>
      <c r="Y75" s="11">
        <f t="shared" si="46"/>
        <v>0</v>
      </c>
      <c r="Z75" s="65">
        <f t="shared" si="47"/>
        <v>0</v>
      </c>
      <c r="AA75" s="24">
        <f t="shared" si="48"/>
        <v>0</v>
      </c>
      <c r="AB75">
        <f t="shared" si="49"/>
        <v>0</v>
      </c>
      <c r="AC75" s="46">
        <f>+IFERROR(VLOOKUP(E75,#REF!,24,0),0.2)</f>
        <v>0.2</v>
      </c>
      <c r="AD75" s="42">
        <f>+IFERROR(VLOOKUP(E75,h!$C:$D,2,0),0.3866)</f>
        <v>0.38610833333333339</v>
      </c>
      <c r="AE75" s="42">
        <f>+VLOOKUP(A75,k!$A$1:$G$4,5,0)</f>
        <v>0.35799365240740744</v>
      </c>
      <c r="AF75" s="47">
        <f t="shared" si="50"/>
        <v>0.94410198574074089</v>
      </c>
      <c r="AG75" s="48">
        <f t="shared" si="51"/>
        <v>0.1132922382888889</v>
      </c>
      <c r="AH75" s="20">
        <f>+IFERROR(VLOOKUP(C75,k!$A$7:$L$13,7,0),0)</f>
        <v>0</v>
      </c>
      <c r="AI75" s="20">
        <f t="shared" si="52"/>
        <v>0</v>
      </c>
      <c r="AJ75" s="5">
        <f t="shared" si="53"/>
        <v>0</v>
      </c>
      <c r="AK75" s="57">
        <f t="shared" si="54"/>
        <v>0</v>
      </c>
      <c r="AL75" s="19">
        <f t="shared" si="55"/>
        <v>0</v>
      </c>
      <c r="AM75" s="20">
        <f t="shared" si="56"/>
        <v>0</v>
      </c>
      <c r="AN75" s="27">
        <f t="shared" si="57"/>
        <v>0</v>
      </c>
      <c r="AO75" s="57">
        <f t="shared" si="58"/>
        <v>0</v>
      </c>
      <c r="AP75" s="19">
        <f t="shared" si="59"/>
        <v>0</v>
      </c>
      <c r="AQ75" s="20">
        <f t="shared" si="60"/>
        <v>0</v>
      </c>
      <c r="AR75" s="58">
        <f t="shared" si="61"/>
        <v>0</v>
      </c>
      <c r="AS75" s="1">
        <f t="shared" si="62"/>
        <v>0</v>
      </c>
      <c r="AT75" s="21">
        <f t="shared" si="63"/>
        <v>0</v>
      </c>
      <c r="AU75" s="28">
        <f t="shared" si="64"/>
        <v>0</v>
      </c>
      <c r="AV75" s="19">
        <f t="shared" si="65"/>
        <v>0</v>
      </c>
      <c r="AW75" s="19">
        <f t="shared" si="66"/>
        <v>0</v>
      </c>
      <c r="AX75" s="27">
        <f t="shared" si="67"/>
        <v>0</v>
      </c>
      <c r="AY75" s="1" t="e">
        <f t="shared" si="68"/>
        <v>#DIV/0!</v>
      </c>
      <c r="AZ75" s="1" t="e">
        <f t="shared" si="69"/>
        <v>#DIV/0!</v>
      </c>
    </row>
    <row r="76" spans="1:52" hidden="1" x14ac:dyDescent="0.35">
      <c r="A76" s="29" t="s">
        <v>423</v>
      </c>
      <c r="B76" s="6">
        <v>2.5000000000000001E-2</v>
      </c>
      <c r="C76" s="2" t="e">
        <f>+VLOOKUP(E76,inventario!#REF!,2,0)</f>
        <v>#REF!</v>
      </c>
      <c r="D76" t="str">
        <f t="shared" si="38"/>
        <v>439</v>
      </c>
      <c r="E76" t="s">
        <v>137</v>
      </c>
      <c r="F76" s="6" t="str">
        <f>+IFERROR(VLOOKUP(E76,#REF!,29,0),"C")</f>
        <v>C</v>
      </c>
      <c r="G76" s="6" t="str">
        <f>+IFERROR(VLOOKUP(E76,#REF!,34,0),"C")</f>
        <v>C</v>
      </c>
      <c r="H76" s="64">
        <f>+IFERROR(VLOOKUP(E76,#REF!,31,0),0)</f>
        <v>0</v>
      </c>
      <c r="I76" s="44">
        <f>+IFERROR(VLOOKUP(E76,#REF!,26,0),0)</f>
        <v>0</v>
      </c>
      <c r="J76" s="44">
        <f>+IFERROR(VLOOKUP(E76,#REF!,30,0),0)</f>
        <v>0</v>
      </c>
      <c r="K76" s="3"/>
      <c r="L76" s="25">
        <f t="shared" si="39"/>
        <v>0.7</v>
      </c>
      <c r="M76" s="26">
        <f t="shared" si="40"/>
        <v>0.52440051270804078</v>
      </c>
      <c r="O76">
        <f>+IFERROR(VLOOKUP(D76,lt!A:J,10,0),15)</f>
        <v>17</v>
      </c>
      <c r="P76">
        <v>2</v>
      </c>
      <c r="Q76">
        <v>1</v>
      </c>
      <c r="R76">
        <v>2</v>
      </c>
      <c r="S76" s="22">
        <f t="shared" si="41"/>
        <v>22</v>
      </c>
      <c r="T76" s="9">
        <v>3</v>
      </c>
      <c r="U76" s="23">
        <f t="shared" si="42"/>
        <v>0.83333333333333337</v>
      </c>
      <c r="V76" s="11">
        <f t="shared" si="43"/>
        <v>0</v>
      </c>
      <c r="W76" s="11">
        <f t="shared" si="44"/>
        <v>0</v>
      </c>
      <c r="X76" s="11">
        <f t="shared" si="45"/>
        <v>0</v>
      </c>
      <c r="Y76" s="11">
        <f t="shared" si="46"/>
        <v>0</v>
      </c>
      <c r="Z76" s="65">
        <f t="shared" si="47"/>
        <v>0</v>
      </c>
      <c r="AA76" s="24">
        <f t="shared" si="48"/>
        <v>0</v>
      </c>
      <c r="AB76">
        <f t="shared" si="49"/>
        <v>0</v>
      </c>
      <c r="AC76" s="46">
        <f>+IFERROR(VLOOKUP(E76,#REF!,24,0),0.2)</f>
        <v>0.2</v>
      </c>
      <c r="AD76" s="42">
        <f>+IFERROR(VLOOKUP(E76,h!$C:$D,2,0),0.3866)</f>
        <v>0.38610833333333339</v>
      </c>
      <c r="AE76" s="42">
        <f>+VLOOKUP(A76,k!$A$1:$G$4,5,0)</f>
        <v>0.35799365240740744</v>
      </c>
      <c r="AF76" s="47">
        <f t="shared" si="50"/>
        <v>0.94410198574074089</v>
      </c>
      <c r="AG76" s="48">
        <f t="shared" si="51"/>
        <v>0.1132922382888889</v>
      </c>
      <c r="AH76" s="20">
        <f>+IFERROR(VLOOKUP(C76,k!$A$7:$L$13,7,0),0)</f>
        <v>0</v>
      </c>
      <c r="AI76" s="20">
        <f t="shared" si="52"/>
        <v>0</v>
      </c>
      <c r="AJ76" s="5">
        <f t="shared" si="53"/>
        <v>0</v>
      </c>
      <c r="AK76" s="57">
        <f t="shared" si="54"/>
        <v>0</v>
      </c>
      <c r="AL76" s="19">
        <f t="shared" si="55"/>
        <v>0</v>
      </c>
      <c r="AM76" s="20">
        <f t="shared" si="56"/>
        <v>0</v>
      </c>
      <c r="AN76" s="27">
        <f t="shared" si="57"/>
        <v>0</v>
      </c>
      <c r="AO76" s="57">
        <f t="shared" si="58"/>
        <v>0</v>
      </c>
      <c r="AP76" s="19">
        <f t="shared" si="59"/>
        <v>0</v>
      </c>
      <c r="AQ76" s="20">
        <f t="shared" si="60"/>
        <v>0</v>
      </c>
      <c r="AR76" s="58">
        <f t="shared" si="61"/>
        <v>0</v>
      </c>
      <c r="AS76" s="1">
        <f t="shared" si="62"/>
        <v>0</v>
      </c>
      <c r="AT76" s="21">
        <f t="shared" si="63"/>
        <v>0</v>
      </c>
      <c r="AU76" s="28">
        <f t="shared" si="64"/>
        <v>0</v>
      </c>
      <c r="AV76" s="19">
        <f t="shared" si="65"/>
        <v>0</v>
      </c>
      <c r="AW76" s="19">
        <f t="shared" si="66"/>
        <v>0</v>
      </c>
      <c r="AX76" s="27">
        <f t="shared" si="67"/>
        <v>0</v>
      </c>
      <c r="AY76" s="1" t="e">
        <f t="shared" si="68"/>
        <v>#DIV/0!</v>
      </c>
      <c r="AZ76" s="1" t="e">
        <f t="shared" si="69"/>
        <v>#DIV/0!</v>
      </c>
    </row>
    <row r="77" spans="1:52" hidden="1" x14ac:dyDescent="0.35">
      <c r="A77" s="29" t="s">
        <v>423</v>
      </c>
      <c r="B77" s="6">
        <v>0.02</v>
      </c>
      <c r="C77" s="2" t="e">
        <f>+VLOOKUP(E77,inventario!#REF!,2,0)</f>
        <v>#REF!</v>
      </c>
      <c r="D77" t="str">
        <f t="shared" si="38"/>
        <v>110.2</v>
      </c>
      <c r="E77" t="s">
        <v>170</v>
      </c>
      <c r="F77" s="6" t="str">
        <f>+IFERROR(VLOOKUP(E77,#REF!,29,0),"C")</f>
        <v>C</v>
      </c>
      <c r="G77" s="6" t="str">
        <f>+IFERROR(VLOOKUP(E77,#REF!,34,0),"C")</f>
        <v>C</v>
      </c>
      <c r="H77" s="64">
        <f>+IFERROR(VLOOKUP(E77,#REF!,31,0),0)</f>
        <v>0</v>
      </c>
      <c r="I77" s="44">
        <f>+IFERROR(VLOOKUP(E77,#REF!,26,0),0)</f>
        <v>0</v>
      </c>
      <c r="J77" s="44">
        <f>+IFERROR(VLOOKUP(E77,#REF!,30,0),0)</f>
        <v>0</v>
      </c>
      <c r="K77" s="3"/>
      <c r="L77" s="25">
        <f t="shared" si="39"/>
        <v>0.7</v>
      </c>
      <c r="M77" s="26">
        <f t="shared" si="40"/>
        <v>0.52440051270804078</v>
      </c>
      <c r="O77">
        <f>+IFERROR(VLOOKUP(D77,lt!A:J,10,0),15)</f>
        <v>17</v>
      </c>
      <c r="P77">
        <v>2</v>
      </c>
      <c r="Q77">
        <v>1</v>
      </c>
      <c r="R77">
        <v>2</v>
      </c>
      <c r="S77" s="22">
        <f t="shared" si="41"/>
        <v>22</v>
      </c>
      <c r="T77" s="9">
        <v>3</v>
      </c>
      <c r="U77" s="23">
        <f t="shared" si="42"/>
        <v>0.83333333333333337</v>
      </c>
      <c r="V77" s="11">
        <f t="shared" si="43"/>
        <v>0</v>
      </c>
      <c r="W77" s="11">
        <f t="shared" si="44"/>
        <v>0</v>
      </c>
      <c r="X77" s="11">
        <f t="shared" si="45"/>
        <v>0</v>
      </c>
      <c r="Y77" s="11">
        <f t="shared" si="46"/>
        <v>0</v>
      </c>
      <c r="Z77" s="65">
        <f t="shared" si="47"/>
        <v>0</v>
      </c>
      <c r="AA77" s="24">
        <f t="shared" si="48"/>
        <v>0</v>
      </c>
      <c r="AB77">
        <f t="shared" si="49"/>
        <v>0</v>
      </c>
      <c r="AC77" s="46">
        <f>+IFERROR(VLOOKUP(E77,#REF!,24,0),0.2)</f>
        <v>0.2</v>
      </c>
      <c r="AD77" s="42">
        <f>+IFERROR(VLOOKUP(E77,h!$C:$D,2,0),0.3866)</f>
        <v>0.38610833333333339</v>
      </c>
      <c r="AE77" s="42">
        <f>+VLOOKUP(A77,k!$A$1:$G$4,5,0)</f>
        <v>0.35799365240740744</v>
      </c>
      <c r="AF77" s="47">
        <f t="shared" si="50"/>
        <v>0.94410198574074089</v>
      </c>
      <c r="AG77" s="48">
        <f t="shared" si="51"/>
        <v>0.1132922382888889</v>
      </c>
      <c r="AH77" s="20">
        <f>+IFERROR(VLOOKUP(C77,k!$A$7:$L$13,7,0),0)</f>
        <v>0</v>
      </c>
      <c r="AI77" s="20">
        <f t="shared" si="52"/>
        <v>0</v>
      </c>
      <c r="AJ77" s="5">
        <f t="shared" si="53"/>
        <v>0</v>
      </c>
      <c r="AK77" s="57">
        <f t="shared" si="54"/>
        <v>0</v>
      </c>
      <c r="AL77" s="19">
        <f t="shared" si="55"/>
        <v>0</v>
      </c>
      <c r="AM77" s="20">
        <f t="shared" si="56"/>
        <v>0</v>
      </c>
      <c r="AN77" s="27">
        <f t="shared" si="57"/>
        <v>0</v>
      </c>
      <c r="AO77" s="57">
        <f t="shared" si="58"/>
        <v>0</v>
      </c>
      <c r="AP77" s="19">
        <f t="shared" si="59"/>
        <v>0</v>
      </c>
      <c r="AQ77" s="20">
        <f t="shared" si="60"/>
        <v>0</v>
      </c>
      <c r="AR77" s="58">
        <f t="shared" si="61"/>
        <v>0</v>
      </c>
      <c r="AS77" s="1">
        <f t="shared" si="62"/>
        <v>0</v>
      </c>
      <c r="AT77" s="21">
        <f t="shared" si="63"/>
        <v>0</v>
      </c>
      <c r="AU77" s="28">
        <f t="shared" si="64"/>
        <v>0</v>
      </c>
      <c r="AV77" s="19">
        <f t="shared" si="65"/>
        <v>0</v>
      </c>
      <c r="AW77" s="19">
        <f t="shared" si="66"/>
        <v>0</v>
      </c>
      <c r="AX77" s="27">
        <f t="shared" si="67"/>
        <v>0</v>
      </c>
      <c r="AY77" s="1" t="e">
        <f t="shared" si="68"/>
        <v>#DIV/0!</v>
      </c>
      <c r="AZ77" s="1" t="e">
        <f t="shared" si="69"/>
        <v>#DIV/0!</v>
      </c>
    </row>
    <row r="78" spans="1:52" hidden="1" x14ac:dyDescent="0.35">
      <c r="A78" s="29" t="s">
        <v>423</v>
      </c>
      <c r="B78" s="6">
        <v>0.03</v>
      </c>
      <c r="C78" s="2" t="e">
        <f>+VLOOKUP(E78,inventario!#REF!,2,0)</f>
        <v>#REF!</v>
      </c>
      <c r="D78" t="str">
        <f t="shared" si="38"/>
        <v>456.12</v>
      </c>
      <c r="E78" t="s">
        <v>153</v>
      </c>
      <c r="F78" s="6" t="str">
        <f>+IFERROR(VLOOKUP(E78,#REF!,29,0),"C")</f>
        <v>C</v>
      </c>
      <c r="G78" s="6" t="str">
        <f>+IFERROR(VLOOKUP(E78,#REF!,34,0),"C")</f>
        <v>C</v>
      </c>
      <c r="H78" s="64">
        <f>+IFERROR(VLOOKUP(E78,#REF!,31,0),0)</f>
        <v>0</v>
      </c>
      <c r="I78" s="44">
        <f>+IFERROR(VLOOKUP(E78,#REF!,26,0),0)</f>
        <v>0</v>
      </c>
      <c r="J78" s="44">
        <f>+IFERROR(VLOOKUP(E78,#REF!,30,0),0)</f>
        <v>0</v>
      </c>
      <c r="K78" s="3"/>
      <c r="L78" s="25">
        <f t="shared" si="39"/>
        <v>0.7</v>
      </c>
      <c r="M78" s="26">
        <f t="shared" si="40"/>
        <v>0.52440051270804078</v>
      </c>
      <c r="O78">
        <f>+IFERROR(VLOOKUP(D78,lt!A:J,10,0),15)</f>
        <v>17</v>
      </c>
      <c r="P78">
        <v>2</v>
      </c>
      <c r="Q78">
        <v>1</v>
      </c>
      <c r="R78">
        <v>2</v>
      </c>
      <c r="S78" s="22">
        <f t="shared" si="41"/>
        <v>22</v>
      </c>
      <c r="T78" s="9">
        <v>3</v>
      </c>
      <c r="U78" s="23">
        <f t="shared" si="42"/>
        <v>0.83333333333333337</v>
      </c>
      <c r="V78" s="11">
        <f t="shared" si="43"/>
        <v>0</v>
      </c>
      <c r="W78" s="11">
        <f t="shared" si="44"/>
        <v>0</v>
      </c>
      <c r="X78" s="11">
        <f t="shared" si="45"/>
        <v>0</v>
      </c>
      <c r="Y78" s="11">
        <f t="shared" si="46"/>
        <v>0</v>
      </c>
      <c r="Z78" s="65">
        <f t="shared" si="47"/>
        <v>0</v>
      </c>
      <c r="AA78" s="24">
        <f t="shared" si="48"/>
        <v>0</v>
      </c>
      <c r="AB78">
        <f t="shared" si="49"/>
        <v>0</v>
      </c>
      <c r="AC78" s="46">
        <f>+IFERROR(VLOOKUP(E78,#REF!,24,0),0.2)</f>
        <v>0.2</v>
      </c>
      <c r="AD78" s="42">
        <f>+IFERROR(VLOOKUP(E78,h!$C:$D,2,0),0.3866)</f>
        <v>0.38610833333333339</v>
      </c>
      <c r="AE78" s="42">
        <f>+VLOOKUP(A78,k!$A$1:$G$4,5,0)</f>
        <v>0.35799365240740744</v>
      </c>
      <c r="AF78" s="47">
        <f t="shared" si="50"/>
        <v>0.94410198574074089</v>
      </c>
      <c r="AG78" s="48">
        <f t="shared" si="51"/>
        <v>0.1132922382888889</v>
      </c>
      <c r="AH78" s="20">
        <f>+IFERROR(VLOOKUP(C78,k!$A$7:$L$13,7,0),0)</f>
        <v>0</v>
      </c>
      <c r="AI78" s="20">
        <f t="shared" si="52"/>
        <v>0</v>
      </c>
      <c r="AJ78" s="5">
        <f t="shared" si="53"/>
        <v>0</v>
      </c>
      <c r="AK78" s="57">
        <f t="shared" si="54"/>
        <v>0</v>
      </c>
      <c r="AL78" s="19">
        <f t="shared" si="55"/>
        <v>0</v>
      </c>
      <c r="AM78" s="20">
        <f t="shared" si="56"/>
        <v>0</v>
      </c>
      <c r="AN78" s="27">
        <f t="shared" si="57"/>
        <v>0</v>
      </c>
      <c r="AO78" s="57">
        <f t="shared" si="58"/>
        <v>0</v>
      </c>
      <c r="AP78" s="19">
        <f t="shared" si="59"/>
        <v>0</v>
      </c>
      <c r="AQ78" s="20">
        <f t="shared" si="60"/>
        <v>0</v>
      </c>
      <c r="AR78" s="58">
        <f t="shared" si="61"/>
        <v>0</v>
      </c>
      <c r="AS78" s="1">
        <f t="shared" si="62"/>
        <v>0</v>
      </c>
      <c r="AT78" s="21">
        <f t="shared" si="63"/>
        <v>0</v>
      </c>
      <c r="AU78" s="28">
        <f t="shared" si="64"/>
        <v>0</v>
      </c>
      <c r="AV78" s="19">
        <f t="shared" si="65"/>
        <v>0</v>
      </c>
      <c r="AW78" s="19">
        <f t="shared" si="66"/>
        <v>0</v>
      </c>
      <c r="AX78" s="27">
        <f t="shared" si="67"/>
        <v>0</v>
      </c>
      <c r="AY78" s="1" t="e">
        <f t="shared" si="68"/>
        <v>#DIV/0!</v>
      </c>
      <c r="AZ78" s="1" t="e">
        <f t="shared" si="69"/>
        <v>#DIV/0!</v>
      </c>
    </row>
    <row r="79" spans="1:52" hidden="1" x14ac:dyDescent="0.35">
      <c r="A79" s="29" t="s">
        <v>423</v>
      </c>
      <c r="B79" s="6">
        <v>0.02</v>
      </c>
      <c r="C79" s="2" t="e">
        <f>+VLOOKUP(E79,inventario!#REF!,2,0)</f>
        <v>#REF!</v>
      </c>
      <c r="D79" t="str">
        <f t="shared" si="38"/>
        <v>1045</v>
      </c>
      <c r="E79" t="s">
        <v>76</v>
      </c>
      <c r="F79" s="6" t="str">
        <f>+IFERROR(VLOOKUP(E79,#REF!,29,0),"C")</f>
        <v>C</v>
      </c>
      <c r="G79" s="6" t="str">
        <f>+IFERROR(VLOOKUP(E79,#REF!,34,0),"C")</f>
        <v>C</v>
      </c>
      <c r="H79" s="64">
        <f>+IFERROR(VLOOKUP(E79,#REF!,31,0),0)</f>
        <v>0</v>
      </c>
      <c r="I79" s="44">
        <f>+IFERROR(VLOOKUP(E79,#REF!,26,0),0)</f>
        <v>0</v>
      </c>
      <c r="J79" s="44">
        <f>+IFERROR(VLOOKUP(E79,#REF!,30,0),0)</f>
        <v>0</v>
      </c>
      <c r="K79" s="3"/>
      <c r="L79" s="25">
        <f t="shared" si="39"/>
        <v>0.7</v>
      </c>
      <c r="M79" s="26">
        <f t="shared" si="40"/>
        <v>0.52440051270804078</v>
      </c>
      <c r="O79">
        <f>+IFERROR(VLOOKUP(D79,lt!A:J,10,0),15)</f>
        <v>17</v>
      </c>
      <c r="P79">
        <v>2</v>
      </c>
      <c r="Q79">
        <v>1</v>
      </c>
      <c r="R79">
        <v>2</v>
      </c>
      <c r="S79" s="22">
        <f t="shared" si="41"/>
        <v>22</v>
      </c>
      <c r="T79" s="9">
        <v>3</v>
      </c>
      <c r="U79" s="23">
        <f t="shared" si="42"/>
        <v>0.83333333333333337</v>
      </c>
      <c r="V79" s="11">
        <f t="shared" si="43"/>
        <v>0</v>
      </c>
      <c r="W79" s="11">
        <f t="shared" si="44"/>
        <v>0</v>
      </c>
      <c r="X79" s="11">
        <f t="shared" si="45"/>
        <v>0</v>
      </c>
      <c r="Y79" s="11">
        <f t="shared" si="46"/>
        <v>0</v>
      </c>
      <c r="Z79" s="65">
        <f t="shared" si="47"/>
        <v>0</v>
      </c>
      <c r="AA79" s="24">
        <f t="shared" si="48"/>
        <v>0</v>
      </c>
      <c r="AB79">
        <f t="shared" si="49"/>
        <v>0</v>
      </c>
      <c r="AC79" s="46">
        <f>+IFERROR(VLOOKUP(E79,#REF!,24,0),0.2)</f>
        <v>0.2</v>
      </c>
      <c r="AD79" s="42">
        <f>+IFERROR(VLOOKUP(E79,h!$C:$D,2,0),0.3866)</f>
        <v>0.38610833333333339</v>
      </c>
      <c r="AE79" s="42">
        <f>+VLOOKUP(A79,k!$A$1:$G$4,5,0)</f>
        <v>0.35799365240740744</v>
      </c>
      <c r="AF79" s="47">
        <f t="shared" si="50"/>
        <v>0.94410198574074089</v>
      </c>
      <c r="AG79" s="48">
        <f t="shared" si="51"/>
        <v>0.1132922382888889</v>
      </c>
      <c r="AH79" s="20">
        <f>+IFERROR(VLOOKUP(C79,k!$A$7:$L$13,7,0),0)</f>
        <v>0</v>
      </c>
      <c r="AI79" s="20">
        <f t="shared" si="52"/>
        <v>0</v>
      </c>
      <c r="AJ79" s="5">
        <f t="shared" si="53"/>
        <v>0</v>
      </c>
      <c r="AK79" s="57">
        <f t="shared" si="54"/>
        <v>0</v>
      </c>
      <c r="AL79" s="19">
        <f t="shared" si="55"/>
        <v>0</v>
      </c>
      <c r="AM79" s="20">
        <f t="shared" si="56"/>
        <v>0</v>
      </c>
      <c r="AN79" s="27">
        <f t="shared" si="57"/>
        <v>0</v>
      </c>
      <c r="AO79" s="57">
        <f t="shared" si="58"/>
        <v>0</v>
      </c>
      <c r="AP79" s="19">
        <f t="shared" si="59"/>
        <v>0</v>
      </c>
      <c r="AQ79" s="20">
        <f t="shared" si="60"/>
        <v>0</v>
      </c>
      <c r="AR79" s="58">
        <f t="shared" si="61"/>
        <v>0</v>
      </c>
      <c r="AS79" s="1">
        <f t="shared" si="62"/>
        <v>0</v>
      </c>
      <c r="AT79" s="21">
        <f t="shared" si="63"/>
        <v>0</v>
      </c>
      <c r="AU79" s="28">
        <f t="shared" si="64"/>
        <v>0</v>
      </c>
      <c r="AV79" s="19">
        <f t="shared" si="65"/>
        <v>0</v>
      </c>
      <c r="AW79" s="19">
        <f t="shared" si="66"/>
        <v>0</v>
      </c>
      <c r="AX79" s="27">
        <f t="shared" si="67"/>
        <v>0</v>
      </c>
      <c r="AY79" s="1" t="e">
        <f t="shared" si="68"/>
        <v>#DIV/0!</v>
      </c>
      <c r="AZ79" s="1" t="e">
        <f t="shared" si="69"/>
        <v>#DIV/0!</v>
      </c>
    </row>
    <row r="80" spans="1:52" hidden="1" x14ac:dyDescent="0.35">
      <c r="A80" s="29" t="s">
        <v>423</v>
      </c>
      <c r="B80" s="6">
        <v>0.03</v>
      </c>
      <c r="C80" s="2" t="e">
        <f>+VLOOKUP(E80,inventario!#REF!,2,0)</f>
        <v>#REF!</v>
      </c>
      <c r="D80" t="str">
        <f t="shared" si="38"/>
        <v>499.11</v>
      </c>
      <c r="E80" t="s">
        <v>142</v>
      </c>
      <c r="F80" s="6" t="str">
        <f>+IFERROR(VLOOKUP(E80,#REF!,29,0),"C")</f>
        <v>C</v>
      </c>
      <c r="G80" s="6" t="str">
        <f>+IFERROR(VLOOKUP(E80,#REF!,34,0),"C")</f>
        <v>C</v>
      </c>
      <c r="H80" s="64">
        <f>+IFERROR(VLOOKUP(E80,#REF!,31,0),0)</f>
        <v>0</v>
      </c>
      <c r="I80" s="44">
        <f>+IFERROR(VLOOKUP(E80,#REF!,26,0),0)</f>
        <v>0</v>
      </c>
      <c r="J80" s="44">
        <f>+IFERROR(VLOOKUP(E80,#REF!,30,0),0)</f>
        <v>0</v>
      </c>
      <c r="K80" s="3"/>
      <c r="L80" s="25">
        <f t="shared" si="39"/>
        <v>0.7</v>
      </c>
      <c r="M80" s="26">
        <f t="shared" si="40"/>
        <v>0.52440051270804078</v>
      </c>
      <c r="O80">
        <f>+IFERROR(VLOOKUP(D80,lt!A:J,10,0),15)</f>
        <v>17</v>
      </c>
      <c r="P80">
        <v>2</v>
      </c>
      <c r="Q80">
        <v>1</v>
      </c>
      <c r="R80">
        <v>2</v>
      </c>
      <c r="S80" s="22">
        <f t="shared" si="41"/>
        <v>22</v>
      </c>
      <c r="T80" s="9">
        <v>3</v>
      </c>
      <c r="U80" s="23">
        <f t="shared" si="42"/>
        <v>0.83333333333333337</v>
      </c>
      <c r="V80" s="11">
        <f t="shared" si="43"/>
        <v>0</v>
      </c>
      <c r="W80" s="11">
        <f t="shared" si="44"/>
        <v>0</v>
      </c>
      <c r="X80" s="11">
        <f t="shared" si="45"/>
        <v>0</v>
      </c>
      <c r="Y80" s="11">
        <f t="shared" si="46"/>
        <v>0</v>
      </c>
      <c r="Z80" s="65">
        <f t="shared" si="47"/>
        <v>0</v>
      </c>
      <c r="AA80" s="24">
        <f t="shared" si="48"/>
        <v>0</v>
      </c>
      <c r="AB80">
        <f t="shared" si="49"/>
        <v>0</v>
      </c>
      <c r="AC80" s="46">
        <f>+IFERROR(VLOOKUP(E80,#REF!,24,0),0.2)</f>
        <v>0.2</v>
      </c>
      <c r="AD80" s="42">
        <f>+IFERROR(VLOOKUP(E80,h!$C:$D,2,0),0.3866)</f>
        <v>0.38610833333333339</v>
      </c>
      <c r="AE80" s="42">
        <f>+VLOOKUP(A80,k!$A$1:$G$4,5,0)</f>
        <v>0.35799365240740744</v>
      </c>
      <c r="AF80" s="47">
        <f t="shared" si="50"/>
        <v>0.94410198574074089</v>
      </c>
      <c r="AG80" s="48">
        <f t="shared" si="51"/>
        <v>0.1132922382888889</v>
      </c>
      <c r="AH80" s="20">
        <f>+IFERROR(VLOOKUP(C80,k!$A$7:$L$13,7,0),0)</f>
        <v>0</v>
      </c>
      <c r="AI80" s="20">
        <f t="shared" si="52"/>
        <v>0</v>
      </c>
      <c r="AJ80" s="5">
        <f t="shared" si="53"/>
        <v>0</v>
      </c>
      <c r="AK80" s="57">
        <f t="shared" si="54"/>
        <v>0</v>
      </c>
      <c r="AL80" s="19">
        <f t="shared" si="55"/>
        <v>0</v>
      </c>
      <c r="AM80" s="20">
        <f t="shared" si="56"/>
        <v>0</v>
      </c>
      <c r="AN80" s="27">
        <f t="shared" si="57"/>
        <v>0</v>
      </c>
      <c r="AO80" s="57">
        <f t="shared" si="58"/>
        <v>0</v>
      </c>
      <c r="AP80" s="19">
        <f t="shared" si="59"/>
        <v>0</v>
      </c>
      <c r="AQ80" s="20">
        <f t="shared" si="60"/>
        <v>0</v>
      </c>
      <c r="AR80" s="58">
        <f t="shared" si="61"/>
        <v>0</v>
      </c>
      <c r="AS80" s="1">
        <f t="shared" si="62"/>
        <v>0</v>
      </c>
      <c r="AT80" s="21">
        <f t="shared" si="63"/>
        <v>0</v>
      </c>
      <c r="AU80" s="28">
        <f t="shared" si="64"/>
        <v>0</v>
      </c>
      <c r="AV80" s="19">
        <f t="shared" si="65"/>
        <v>0</v>
      </c>
      <c r="AW80" s="19">
        <f t="shared" si="66"/>
        <v>0</v>
      </c>
      <c r="AX80" s="27">
        <f t="shared" si="67"/>
        <v>0</v>
      </c>
      <c r="AY80" s="1" t="e">
        <f t="shared" si="68"/>
        <v>#DIV/0!</v>
      </c>
      <c r="AZ80" s="1" t="e">
        <f t="shared" si="69"/>
        <v>#DIV/0!</v>
      </c>
    </row>
    <row r="81" spans="1:52" hidden="1" x14ac:dyDescent="0.35">
      <c r="A81" s="29" t="s">
        <v>423</v>
      </c>
      <c r="B81" s="6">
        <v>2.5000000000000001E-2</v>
      </c>
      <c r="C81" s="2" t="e">
        <f>+VLOOKUP(E81,inventario!#REF!,2,0)</f>
        <v>#REF!</v>
      </c>
      <c r="D81" t="str">
        <f t="shared" si="38"/>
        <v>732</v>
      </c>
      <c r="E81" t="s">
        <v>66</v>
      </c>
      <c r="F81" s="6" t="str">
        <f>+IFERROR(VLOOKUP(E81,#REF!,29,0),"C")</f>
        <v>C</v>
      </c>
      <c r="G81" s="6" t="str">
        <f>+IFERROR(VLOOKUP(E81,#REF!,34,0),"C")</f>
        <v>C</v>
      </c>
      <c r="H81" s="64">
        <f>+IFERROR(VLOOKUP(E81,#REF!,31,0),0)</f>
        <v>0</v>
      </c>
      <c r="I81" s="44">
        <f>+IFERROR(VLOOKUP(E81,#REF!,26,0),0)</f>
        <v>0</v>
      </c>
      <c r="J81" s="44">
        <f>+IFERROR(VLOOKUP(E81,#REF!,30,0),0)</f>
        <v>0</v>
      </c>
      <c r="K81" s="3"/>
      <c r="L81" s="25">
        <f t="shared" si="39"/>
        <v>0.7</v>
      </c>
      <c r="M81" s="26">
        <f t="shared" si="40"/>
        <v>0.52440051270804078</v>
      </c>
      <c r="O81">
        <f>+IFERROR(VLOOKUP(D81,lt!A:J,10,0),15)</f>
        <v>17</v>
      </c>
      <c r="P81">
        <v>2</v>
      </c>
      <c r="Q81">
        <v>1</v>
      </c>
      <c r="R81">
        <v>2</v>
      </c>
      <c r="S81" s="22">
        <f t="shared" si="41"/>
        <v>22</v>
      </c>
      <c r="T81" s="9">
        <v>3</v>
      </c>
      <c r="U81" s="23">
        <f t="shared" si="42"/>
        <v>0.83333333333333337</v>
      </c>
      <c r="V81" s="11">
        <f t="shared" si="43"/>
        <v>0</v>
      </c>
      <c r="W81" s="11">
        <f t="shared" si="44"/>
        <v>0</v>
      </c>
      <c r="X81" s="11">
        <f t="shared" si="45"/>
        <v>0</v>
      </c>
      <c r="Y81" s="11">
        <f t="shared" si="46"/>
        <v>0</v>
      </c>
      <c r="Z81" s="65">
        <f t="shared" si="47"/>
        <v>0</v>
      </c>
      <c r="AA81" s="24">
        <f t="shared" si="48"/>
        <v>0</v>
      </c>
      <c r="AB81">
        <f t="shared" si="49"/>
        <v>0</v>
      </c>
      <c r="AC81" s="46">
        <f>+IFERROR(VLOOKUP(E81,#REF!,24,0),0.2)</f>
        <v>0.2</v>
      </c>
      <c r="AD81" s="42">
        <f>+IFERROR(VLOOKUP(E81,h!$C:$D,2,0),0.3866)</f>
        <v>0.38610833333333339</v>
      </c>
      <c r="AE81" s="42">
        <f>+VLOOKUP(A81,k!$A$1:$G$4,5,0)</f>
        <v>0.35799365240740744</v>
      </c>
      <c r="AF81" s="47">
        <f t="shared" si="50"/>
        <v>0.94410198574074089</v>
      </c>
      <c r="AG81" s="48">
        <f t="shared" si="51"/>
        <v>0.1132922382888889</v>
      </c>
      <c r="AH81" s="20">
        <f>+IFERROR(VLOOKUP(C81,k!$A$7:$L$13,7,0),0)</f>
        <v>0</v>
      </c>
      <c r="AI81" s="20">
        <f t="shared" si="52"/>
        <v>0</v>
      </c>
      <c r="AJ81" s="5">
        <f t="shared" si="53"/>
        <v>0</v>
      </c>
      <c r="AK81" s="57">
        <f t="shared" si="54"/>
        <v>0</v>
      </c>
      <c r="AL81" s="19">
        <f t="shared" si="55"/>
        <v>0</v>
      </c>
      <c r="AM81" s="20">
        <f t="shared" si="56"/>
        <v>0</v>
      </c>
      <c r="AN81" s="27">
        <f t="shared" si="57"/>
        <v>0</v>
      </c>
      <c r="AO81" s="57">
        <f t="shared" si="58"/>
        <v>0</v>
      </c>
      <c r="AP81" s="19">
        <f t="shared" si="59"/>
        <v>0</v>
      </c>
      <c r="AQ81" s="20">
        <f t="shared" si="60"/>
        <v>0</v>
      </c>
      <c r="AR81" s="58">
        <f t="shared" si="61"/>
        <v>0</v>
      </c>
      <c r="AS81" s="1">
        <f t="shared" si="62"/>
        <v>0</v>
      </c>
      <c r="AT81" s="21">
        <f t="shared" si="63"/>
        <v>0</v>
      </c>
      <c r="AU81" s="28">
        <f t="shared" si="64"/>
        <v>0</v>
      </c>
      <c r="AV81" s="19">
        <f t="shared" si="65"/>
        <v>0</v>
      </c>
      <c r="AW81" s="19">
        <f t="shared" si="66"/>
        <v>0</v>
      </c>
      <c r="AX81" s="27">
        <f t="shared" si="67"/>
        <v>0</v>
      </c>
      <c r="AY81" s="1" t="e">
        <f t="shared" si="68"/>
        <v>#DIV/0!</v>
      </c>
      <c r="AZ81" s="1" t="e">
        <f t="shared" si="69"/>
        <v>#DIV/0!</v>
      </c>
    </row>
    <row r="82" spans="1:52" hidden="1" x14ac:dyDescent="0.35">
      <c r="A82" s="29" t="s">
        <v>423</v>
      </c>
      <c r="B82" s="6">
        <v>2.5000000000000001E-2</v>
      </c>
      <c r="C82" s="2" t="e">
        <f>+VLOOKUP(E82,inventario!#REF!,2,0)</f>
        <v>#REF!</v>
      </c>
      <c r="D82" t="str">
        <f t="shared" si="38"/>
        <v>455.3</v>
      </c>
      <c r="E82" t="s">
        <v>150</v>
      </c>
      <c r="F82" s="6" t="str">
        <f>+IFERROR(VLOOKUP(E82,#REF!,29,0),"C")</f>
        <v>C</v>
      </c>
      <c r="G82" s="6" t="str">
        <f>+IFERROR(VLOOKUP(E82,#REF!,34,0),"C")</f>
        <v>C</v>
      </c>
      <c r="H82" s="64">
        <f>+IFERROR(VLOOKUP(E82,#REF!,31,0),0)</f>
        <v>0</v>
      </c>
      <c r="I82" s="44">
        <f>+IFERROR(VLOOKUP(E82,#REF!,26,0),0)</f>
        <v>0</v>
      </c>
      <c r="J82" s="44">
        <f>+IFERROR(VLOOKUP(E82,#REF!,30,0),0)</f>
        <v>0</v>
      </c>
      <c r="K82" s="3"/>
      <c r="L82" s="25">
        <f t="shared" si="39"/>
        <v>0.7</v>
      </c>
      <c r="M82" s="26">
        <f t="shared" si="40"/>
        <v>0.52440051270804078</v>
      </c>
      <c r="O82">
        <f>+IFERROR(VLOOKUP(D82,lt!A:J,10,0),15)</f>
        <v>17</v>
      </c>
      <c r="P82">
        <v>2</v>
      </c>
      <c r="Q82">
        <v>1</v>
      </c>
      <c r="R82">
        <v>2</v>
      </c>
      <c r="S82" s="22">
        <f t="shared" si="41"/>
        <v>22</v>
      </c>
      <c r="T82" s="9">
        <v>3</v>
      </c>
      <c r="U82" s="23">
        <f t="shared" si="42"/>
        <v>0.83333333333333337</v>
      </c>
      <c r="V82" s="11">
        <f t="shared" si="43"/>
        <v>0</v>
      </c>
      <c r="W82" s="11">
        <f t="shared" si="44"/>
        <v>0</v>
      </c>
      <c r="X82" s="11">
        <f t="shared" si="45"/>
        <v>0</v>
      </c>
      <c r="Y82" s="11">
        <f t="shared" si="46"/>
        <v>0</v>
      </c>
      <c r="Z82" s="65">
        <f t="shared" si="47"/>
        <v>0</v>
      </c>
      <c r="AA82" s="24">
        <f t="shared" si="48"/>
        <v>0</v>
      </c>
      <c r="AB82">
        <f t="shared" si="49"/>
        <v>0</v>
      </c>
      <c r="AC82" s="46">
        <f>+IFERROR(VLOOKUP(E82,#REF!,24,0),0.2)</f>
        <v>0.2</v>
      </c>
      <c r="AD82" s="42">
        <f>+IFERROR(VLOOKUP(E82,h!$C:$D,2,0),0.3866)</f>
        <v>0.38610833333333339</v>
      </c>
      <c r="AE82" s="42">
        <f>+VLOOKUP(A82,k!$A$1:$G$4,5,0)</f>
        <v>0.35799365240740744</v>
      </c>
      <c r="AF82" s="47">
        <f t="shared" si="50"/>
        <v>0.94410198574074089</v>
      </c>
      <c r="AG82" s="48">
        <f t="shared" si="51"/>
        <v>0.1132922382888889</v>
      </c>
      <c r="AH82" s="20">
        <f>+IFERROR(VLOOKUP(C82,k!$A$7:$L$13,7,0),0)</f>
        <v>0</v>
      </c>
      <c r="AI82" s="20">
        <f t="shared" si="52"/>
        <v>0</v>
      </c>
      <c r="AJ82" s="5">
        <f t="shared" si="53"/>
        <v>0</v>
      </c>
      <c r="AK82" s="57">
        <f t="shared" si="54"/>
        <v>0</v>
      </c>
      <c r="AL82" s="19">
        <f t="shared" si="55"/>
        <v>0</v>
      </c>
      <c r="AM82" s="20">
        <f t="shared" si="56"/>
        <v>0</v>
      </c>
      <c r="AN82" s="27">
        <f t="shared" si="57"/>
        <v>0</v>
      </c>
      <c r="AO82" s="57">
        <f t="shared" si="58"/>
        <v>0</v>
      </c>
      <c r="AP82" s="19">
        <f t="shared" si="59"/>
        <v>0</v>
      </c>
      <c r="AQ82" s="20">
        <f t="shared" si="60"/>
        <v>0</v>
      </c>
      <c r="AR82" s="58">
        <f t="shared" si="61"/>
        <v>0</v>
      </c>
      <c r="AS82" s="1">
        <f t="shared" si="62"/>
        <v>0</v>
      </c>
      <c r="AT82" s="21">
        <f t="shared" si="63"/>
        <v>0</v>
      </c>
      <c r="AU82" s="28">
        <f t="shared" si="64"/>
        <v>0</v>
      </c>
      <c r="AV82" s="19">
        <f t="shared" si="65"/>
        <v>0</v>
      </c>
      <c r="AW82" s="19">
        <f t="shared" si="66"/>
        <v>0</v>
      </c>
      <c r="AX82" s="27">
        <f t="shared" si="67"/>
        <v>0</v>
      </c>
      <c r="AY82" s="1" t="e">
        <f t="shared" si="68"/>
        <v>#DIV/0!</v>
      </c>
      <c r="AZ82" s="1" t="e">
        <f t="shared" si="69"/>
        <v>#DIV/0!</v>
      </c>
    </row>
    <row r="83" spans="1:52" hidden="1" x14ac:dyDescent="0.35">
      <c r="A83" s="29" t="s">
        <v>423</v>
      </c>
      <c r="B83" s="6">
        <v>0.03</v>
      </c>
      <c r="C83" s="2" t="e">
        <f>+VLOOKUP(E83,inventario!#REF!,2,0)</f>
        <v>#REF!</v>
      </c>
      <c r="D83" t="str">
        <f t="shared" si="38"/>
        <v>488.1</v>
      </c>
      <c r="E83" t="s">
        <v>149</v>
      </c>
      <c r="F83" s="6" t="str">
        <f>+IFERROR(VLOOKUP(E83,#REF!,29,0),"C")</f>
        <v>C</v>
      </c>
      <c r="G83" s="6" t="str">
        <f>+IFERROR(VLOOKUP(E83,#REF!,34,0),"C")</f>
        <v>C</v>
      </c>
      <c r="H83" s="64">
        <f>+IFERROR(VLOOKUP(E83,#REF!,31,0),0)</f>
        <v>0</v>
      </c>
      <c r="I83" s="44">
        <f>+IFERROR(VLOOKUP(E83,#REF!,26,0),0)</f>
        <v>0</v>
      </c>
      <c r="J83" s="44">
        <f>+IFERROR(VLOOKUP(E83,#REF!,30,0),0)</f>
        <v>0</v>
      </c>
      <c r="K83" s="3"/>
      <c r="L83" s="25">
        <f t="shared" si="39"/>
        <v>0.7</v>
      </c>
      <c r="M83" s="26">
        <f t="shared" si="40"/>
        <v>0.52440051270804078</v>
      </c>
      <c r="O83">
        <f>+IFERROR(VLOOKUP(D83,lt!A:J,10,0),15)</f>
        <v>17</v>
      </c>
      <c r="P83">
        <v>2</v>
      </c>
      <c r="Q83">
        <v>1</v>
      </c>
      <c r="R83">
        <v>2</v>
      </c>
      <c r="S83" s="22">
        <f t="shared" si="41"/>
        <v>22</v>
      </c>
      <c r="T83" s="9">
        <v>3</v>
      </c>
      <c r="U83" s="23">
        <f t="shared" si="42"/>
        <v>0.83333333333333337</v>
      </c>
      <c r="V83" s="11">
        <f t="shared" si="43"/>
        <v>0</v>
      </c>
      <c r="W83" s="11">
        <f t="shared" si="44"/>
        <v>0</v>
      </c>
      <c r="X83" s="11">
        <f t="shared" si="45"/>
        <v>0</v>
      </c>
      <c r="Y83" s="11">
        <f t="shared" si="46"/>
        <v>0</v>
      </c>
      <c r="Z83" s="65">
        <f t="shared" si="47"/>
        <v>0</v>
      </c>
      <c r="AA83" s="24">
        <f t="shared" si="48"/>
        <v>0</v>
      </c>
      <c r="AB83">
        <f t="shared" si="49"/>
        <v>0</v>
      </c>
      <c r="AC83" s="46">
        <f>+IFERROR(VLOOKUP(E83,#REF!,24,0),0.2)</f>
        <v>0.2</v>
      </c>
      <c r="AD83" s="42">
        <f>+IFERROR(VLOOKUP(E83,h!$C:$D,2,0),0.3866)</f>
        <v>0.38610833333333339</v>
      </c>
      <c r="AE83" s="42">
        <f>+VLOOKUP(A83,k!$A$1:$G$4,5,0)</f>
        <v>0.35799365240740744</v>
      </c>
      <c r="AF83" s="47">
        <f t="shared" si="50"/>
        <v>0.94410198574074089</v>
      </c>
      <c r="AG83" s="48">
        <f t="shared" si="51"/>
        <v>0.1132922382888889</v>
      </c>
      <c r="AH83" s="20">
        <f>+IFERROR(VLOOKUP(C83,k!$A$7:$L$13,7,0),0)</f>
        <v>0</v>
      </c>
      <c r="AI83" s="20">
        <f t="shared" si="52"/>
        <v>0</v>
      </c>
      <c r="AJ83" s="5">
        <f t="shared" si="53"/>
        <v>0</v>
      </c>
      <c r="AK83" s="57">
        <f t="shared" si="54"/>
        <v>0</v>
      </c>
      <c r="AL83" s="19">
        <f t="shared" si="55"/>
        <v>0</v>
      </c>
      <c r="AM83" s="20">
        <f t="shared" si="56"/>
        <v>0</v>
      </c>
      <c r="AN83" s="27">
        <f t="shared" si="57"/>
        <v>0</v>
      </c>
      <c r="AO83" s="57">
        <f t="shared" si="58"/>
        <v>0</v>
      </c>
      <c r="AP83" s="19">
        <f t="shared" si="59"/>
        <v>0</v>
      </c>
      <c r="AQ83" s="20">
        <f t="shared" si="60"/>
        <v>0</v>
      </c>
      <c r="AR83" s="58">
        <f t="shared" si="61"/>
        <v>0</v>
      </c>
      <c r="AS83" s="1">
        <f t="shared" si="62"/>
        <v>0</v>
      </c>
      <c r="AT83" s="21">
        <f t="shared" si="63"/>
        <v>0</v>
      </c>
      <c r="AU83" s="28">
        <f t="shared" si="64"/>
        <v>0</v>
      </c>
      <c r="AV83" s="19">
        <f t="shared" si="65"/>
        <v>0</v>
      </c>
      <c r="AW83" s="19">
        <f t="shared" si="66"/>
        <v>0</v>
      </c>
      <c r="AX83" s="27">
        <f t="shared" si="67"/>
        <v>0</v>
      </c>
      <c r="AY83" s="1" t="e">
        <f t="shared" si="68"/>
        <v>#DIV/0!</v>
      </c>
      <c r="AZ83" s="1" t="e">
        <f t="shared" si="69"/>
        <v>#DIV/0!</v>
      </c>
    </row>
    <row r="84" spans="1:52" hidden="1" x14ac:dyDescent="0.35">
      <c r="A84" s="29" t="s">
        <v>423</v>
      </c>
      <c r="B84" s="6">
        <v>2.5000000000000001E-2</v>
      </c>
      <c r="C84" s="2" t="e">
        <f>+VLOOKUP(E84,inventario!#REF!,2,0)</f>
        <v>#REF!</v>
      </c>
      <c r="D84" t="str">
        <f t="shared" si="38"/>
        <v>1009</v>
      </c>
      <c r="E84" t="s">
        <v>73</v>
      </c>
      <c r="F84" s="6" t="str">
        <f>+IFERROR(VLOOKUP(E84,#REF!,29,0),"C")</f>
        <v>C</v>
      </c>
      <c r="G84" s="6" t="str">
        <f>+IFERROR(VLOOKUP(E84,#REF!,34,0),"C")</f>
        <v>C</v>
      </c>
      <c r="H84" s="64">
        <f>+IFERROR(VLOOKUP(E84,#REF!,31,0),0)</f>
        <v>0</v>
      </c>
      <c r="I84" s="44">
        <f>+IFERROR(VLOOKUP(E84,#REF!,26,0),0)</f>
        <v>0</v>
      </c>
      <c r="J84" s="44">
        <f>+IFERROR(VLOOKUP(E84,#REF!,30,0),0)</f>
        <v>0</v>
      </c>
      <c r="K84" s="3"/>
      <c r="L84" s="25">
        <f t="shared" si="39"/>
        <v>0.7</v>
      </c>
      <c r="M84" s="26">
        <f t="shared" si="40"/>
        <v>0.52440051270804078</v>
      </c>
      <c r="O84">
        <f>+IFERROR(VLOOKUP(D84,lt!A:J,10,0),15)</f>
        <v>17</v>
      </c>
      <c r="P84">
        <v>2</v>
      </c>
      <c r="Q84">
        <v>1</v>
      </c>
      <c r="R84">
        <v>2</v>
      </c>
      <c r="S84" s="22">
        <f t="shared" si="41"/>
        <v>22</v>
      </c>
      <c r="T84" s="9">
        <v>3</v>
      </c>
      <c r="U84" s="23">
        <f t="shared" si="42"/>
        <v>0.83333333333333337</v>
      </c>
      <c r="V84" s="11">
        <f t="shared" si="43"/>
        <v>0</v>
      </c>
      <c r="W84" s="11">
        <f t="shared" si="44"/>
        <v>0</v>
      </c>
      <c r="X84" s="11">
        <f t="shared" si="45"/>
        <v>0</v>
      </c>
      <c r="Y84" s="11">
        <f t="shared" si="46"/>
        <v>0</v>
      </c>
      <c r="Z84" s="65">
        <f t="shared" si="47"/>
        <v>0</v>
      </c>
      <c r="AA84" s="24">
        <f t="shared" si="48"/>
        <v>0</v>
      </c>
      <c r="AB84">
        <f t="shared" si="49"/>
        <v>0</v>
      </c>
      <c r="AC84" s="46">
        <f>+IFERROR(VLOOKUP(E84,#REF!,24,0),0.2)</f>
        <v>0.2</v>
      </c>
      <c r="AD84" s="42">
        <f>+IFERROR(VLOOKUP(E84,h!$C:$D,2,0),0.3866)</f>
        <v>0.38610833333333339</v>
      </c>
      <c r="AE84" s="42">
        <f>+VLOOKUP(A84,k!$A$1:$G$4,5,0)</f>
        <v>0.35799365240740744</v>
      </c>
      <c r="AF84" s="47">
        <f t="shared" si="50"/>
        <v>0.94410198574074089</v>
      </c>
      <c r="AG84" s="48">
        <f t="shared" si="51"/>
        <v>0.1132922382888889</v>
      </c>
      <c r="AH84" s="20">
        <f>+IFERROR(VLOOKUP(C84,k!$A$7:$L$13,7,0),0)</f>
        <v>0</v>
      </c>
      <c r="AI84" s="20">
        <f t="shared" si="52"/>
        <v>0</v>
      </c>
      <c r="AJ84" s="5">
        <f t="shared" si="53"/>
        <v>0</v>
      </c>
      <c r="AK84" s="57">
        <f t="shared" si="54"/>
        <v>0</v>
      </c>
      <c r="AL84" s="19">
        <f t="shared" si="55"/>
        <v>0</v>
      </c>
      <c r="AM84" s="20">
        <f t="shared" si="56"/>
        <v>0</v>
      </c>
      <c r="AN84" s="27">
        <f t="shared" si="57"/>
        <v>0</v>
      </c>
      <c r="AO84" s="57">
        <f t="shared" si="58"/>
        <v>0</v>
      </c>
      <c r="AP84" s="19">
        <f t="shared" si="59"/>
        <v>0</v>
      </c>
      <c r="AQ84" s="20">
        <f t="shared" si="60"/>
        <v>0</v>
      </c>
      <c r="AR84" s="58">
        <f t="shared" si="61"/>
        <v>0</v>
      </c>
      <c r="AS84" s="1">
        <f t="shared" si="62"/>
        <v>0</v>
      </c>
      <c r="AT84" s="21">
        <f t="shared" si="63"/>
        <v>0</v>
      </c>
      <c r="AU84" s="28">
        <f t="shared" si="64"/>
        <v>0</v>
      </c>
      <c r="AV84" s="19">
        <f t="shared" si="65"/>
        <v>0</v>
      </c>
      <c r="AW84" s="19">
        <f t="shared" si="66"/>
        <v>0</v>
      </c>
      <c r="AX84" s="27">
        <f t="shared" si="67"/>
        <v>0</v>
      </c>
      <c r="AY84" s="1" t="e">
        <f t="shared" si="68"/>
        <v>#DIV/0!</v>
      </c>
      <c r="AZ84" s="1" t="e">
        <f t="shared" si="69"/>
        <v>#DIV/0!</v>
      </c>
    </row>
    <row r="85" spans="1:52" hidden="1" x14ac:dyDescent="0.35">
      <c r="A85" s="29" t="s">
        <v>423</v>
      </c>
      <c r="B85" s="6">
        <v>2.5000000000000001E-2</v>
      </c>
      <c r="C85" s="2" t="e">
        <f>+VLOOKUP(E85,inventario!#REF!,2,0)</f>
        <v>#REF!</v>
      </c>
      <c r="D85" t="str">
        <f t="shared" si="38"/>
        <v>439.3</v>
      </c>
      <c r="E85" t="s">
        <v>178</v>
      </c>
      <c r="F85" s="6" t="str">
        <f>+IFERROR(VLOOKUP(E85,#REF!,29,0),"C")</f>
        <v>C</v>
      </c>
      <c r="G85" s="6" t="str">
        <f>+IFERROR(VLOOKUP(E85,#REF!,34,0),"C")</f>
        <v>C</v>
      </c>
      <c r="H85" s="64">
        <f>+IFERROR(VLOOKUP(E85,#REF!,31,0),0)</f>
        <v>0</v>
      </c>
      <c r="I85" s="44">
        <f>+IFERROR(VLOOKUP(E85,#REF!,26,0),0)</f>
        <v>0</v>
      </c>
      <c r="J85" s="44">
        <f>+IFERROR(VLOOKUP(E85,#REF!,30,0),0)</f>
        <v>0</v>
      </c>
      <c r="K85" s="3"/>
      <c r="L85" s="25">
        <f t="shared" si="39"/>
        <v>0.7</v>
      </c>
      <c r="M85" s="26">
        <f t="shared" si="40"/>
        <v>0.52440051270804078</v>
      </c>
      <c r="O85">
        <f>+IFERROR(VLOOKUP(D85,lt!A:J,10,0),15)</f>
        <v>17</v>
      </c>
      <c r="P85">
        <v>2</v>
      </c>
      <c r="Q85">
        <v>1</v>
      </c>
      <c r="R85">
        <v>2</v>
      </c>
      <c r="S85" s="22">
        <f t="shared" si="41"/>
        <v>22</v>
      </c>
      <c r="T85" s="9">
        <v>3</v>
      </c>
      <c r="U85" s="23">
        <f t="shared" si="42"/>
        <v>0.83333333333333337</v>
      </c>
      <c r="V85" s="11">
        <f t="shared" si="43"/>
        <v>0</v>
      </c>
      <c r="W85" s="11">
        <f t="shared" si="44"/>
        <v>0</v>
      </c>
      <c r="X85" s="11">
        <f t="shared" si="45"/>
        <v>0</v>
      </c>
      <c r="Y85" s="11">
        <f t="shared" si="46"/>
        <v>0</v>
      </c>
      <c r="Z85" s="65">
        <f t="shared" si="47"/>
        <v>0</v>
      </c>
      <c r="AA85" s="24">
        <f t="shared" si="48"/>
        <v>0</v>
      </c>
      <c r="AB85">
        <f t="shared" si="49"/>
        <v>0</v>
      </c>
      <c r="AC85" s="46">
        <f>+IFERROR(VLOOKUP(E85,#REF!,24,0),0.2)</f>
        <v>0.2</v>
      </c>
      <c r="AD85" s="42">
        <f>+IFERROR(VLOOKUP(E85,h!$C:$D,2,0),0.3866)</f>
        <v>0.38610833333333339</v>
      </c>
      <c r="AE85" s="42">
        <f>+VLOOKUP(A85,k!$A$1:$G$4,5,0)</f>
        <v>0.35799365240740744</v>
      </c>
      <c r="AF85" s="47">
        <f t="shared" si="50"/>
        <v>0.94410198574074089</v>
      </c>
      <c r="AG85" s="48">
        <f t="shared" si="51"/>
        <v>0.1132922382888889</v>
      </c>
      <c r="AH85" s="20">
        <f>+IFERROR(VLOOKUP(C85,k!$A$7:$L$13,7,0),0)</f>
        <v>0</v>
      </c>
      <c r="AI85" s="20">
        <f t="shared" si="52"/>
        <v>0</v>
      </c>
      <c r="AJ85" s="5">
        <f t="shared" si="53"/>
        <v>0</v>
      </c>
      <c r="AK85" s="57">
        <f t="shared" si="54"/>
        <v>0</v>
      </c>
      <c r="AL85" s="19">
        <f t="shared" si="55"/>
        <v>0</v>
      </c>
      <c r="AM85" s="20">
        <f t="shared" si="56"/>
        <v>0</v>
      </c>
      <c r="AN85" s="27">
        <f t="shared" si="57"/>
        <v>0</v>
      </c>
      <c r="AO85" s="57">
        <f t="shared" si="58"/>
        <v>0</v>
      </c>
      <c r="AP85" s="19">
        <f t="shared" si="59"/>
        <v>0</v>
      </c>
      <c r="AQ85" s="20">
        <f t="shared" si="60"/>
        <v>0</v>
      </c>
      <c r="AR85" s="58">
        <f t="shared" si="61"/>
        <v>0</v>
      </c>
      <c r="AS85" s="1">
        <f t="shared" si="62"/>
        <v>0</v>
      </c>
      <c r="AT85" s="21">
        <f t="shared" si="63"/>
        <v>0</v>
      </c>
      <c r="AU85" s="28">
        <f t="shared" si="64"/>
        <v>0</v>
      </c>
      <c r="AV85" s="19">
        <f t="shared" si="65"/>
        <v>0</v>
      </c>
      <c r="AW85" s="19">
        <f t="shared" si="66"/>
        <v>0</v>
      </c>
      <c r="AX85" s="27">
        <f t="shared" si="67"/>
        <v>0</v>
      </c>
      <c r="AY85" s="1" t="e">
        <f t="shared" si="68"/>
        <v>#DIV/0!</v>
      </c>
      <c r="AZ85" s="1" t="e">
        <f t="shared" si="69"/>
        <v>#DIV/0!</v>
      </c>
    </row>
    <row r="86" spans="1:52" hidden="1" x14ac:dyDescent="0.35">
      <c r="A86" s="29" t="s">
        <v>423</v>
      </c>
      <c r="B86" s="6">
        <v>2.5000000000000001E-2</v>
      </c>
      <c r="C86" s="2" t="e">
        <f>+VLOOKUP(E86,inventario!#REF!,2,0)</f>
        <v>#REF!</v>
      </c>
      <c r="D86" t="str">
        <f t="shared" si="38"/>
        <v>508</v>
      </c>
      <c r="E86" t="s">
        <v>154</v>
      </c>
      <c r="F86" s="6" t="str">
        <f>+IFERROR(VLOOKUP(E86,#REF!,29,0),"C")</f>
        <v>C</v>
      </c>
      <c r="G86" s="6" t="str">
        <f>+IFERROR(VLOOKUP(E86,#REF!,34,0),"C")</f>
        <v>C</v>
      </c>
      <c r="H86" s="64">
        <f>+IFERROR(VLOOKUP(E86,#REF!,31,0),0)</f>
        <v>0</v>
      </c>
      <c r="I86" s="44">
        <f>+IFERROR(VLOOKUP(E86,#REF!,26,0),0)</f>
        <v>0</v>
      </c>
      <c r="J86" s="44">
        <f>+IFERROR(VLOOKUP(E86,#REF!,30,0),0)</f>
        <v>0</v>
      </c>
      <c r="K86" s="3"/>
      <c r="L86" s="25">
        <f t="shared" si="39"/>
        <v>0.7</v>
      </c>
      <c r="M86" s="26">
        <f t="shared" si="40"/>
        <v>0.52440051270804078</v>
      </c>
      <c r="O86">
        <f>+IFERROR(VLOOKUP(D86,lt!A:J,10,0),15)</f>
        <v>95</v>
      </c>
      <c r="P86">
        <v>2</v>
      </c>
      <c r="Q86">
        <v>1</v>
      </c>
      <c r="R86">
        <v>2</v>
      </c>
      <c r="S86" s="22">
        <f t="shared" si="41"/>
        <v>100</v>
      </c>
      <c r="T86" s="9">
        <v>3</v>
      </c>
      <c r="U86" s="23">
        <f t="shared" si="42"/>
        <v>3.4333333333333331</v>
      </c>
      <c r="V86" s="11">
        <f t="shared" si="43"/>
        <v>0</v>
      </c>
      <c r="W86" s="11">
        <f t="shared" si="44"/>
        <v>0</v>
      </c>
      <c r="X86" s="11">
        <f t="shared" si="45"/>
        <v>0</v>
      </c>
      <c r="Y86" s="11">
        <f t="shared" si="46"/>
        <v>0</v>
      </c>
      <c r="Z86" s="65">
        <f t="shared" si="47"/>
        <v>0</v>
      </c>
      <c r="AA86" s="24">
        <f t="shared" si="48"/>
        <v>0</v>
      </c>
      <c r="AB86">
        <f t="shared" si="49"/>
        <v>0</v>
      </c>
      <c r="AC86" s="46">
        <f>+IFERROR(VLOOKUP(E86,#REF!,24,0),0.2)</f>
        <v>0.2</v>
      </c>
      <c r="AD86" s="42">
        <f>+IFERROR(VLOOKUP(E86,h!$C:$D,2,0),0.3866)</f>
        <v>0.38610833333333339</v>
      </c>
      <c r="AE86" s="42">
        <f>+VLOOKUP(A86,k!$A$1:$G$4,5,0)</f>
        <v>0.35799365240740744</v>
      </c>
      <c r="AF86" s="47">
        <f t="shared" si="50"/>
        <v>0.94410198574074089</v>
      </c>
      <c r="AG86" s="48">
        <f t="shared" si="51"/>
        <v>0.1132922382888889</v>
      </c>
      <c r="AH86" s="20">
        <f>+IFERROR(VLOOKUP(C86,k!$A$7:$L$13,7,0),0)</f>
        <v>0</v>
      </c>
      <c r="AI86" s="20">
        <f t="shared" si="52"/>
        <v>0</v>
      </c>
      <c r="AJ86" s="5">
        <f t="shared" si="53"/>
        <v>0</v>
      </c>
      <c r="AK86" s="57">
        <f t="shared" si="54"/>
        <v>0</v>
      </c>
      <c r="AL86" s="19">
        <f t="shared" si="55"/>
        <v>0</v>
      </c>
      <c r="AM86" s="20">
        <f t="shared" si="56"/>
        <v>0</v>
      </c>
      <c r="AN86" s="27">
        <f t="shared" si="57"/>
        <v>0</v>
      </c>
      <c r="AO86" s="57">
        <f t="shared" si="58"/>
        <v>0</v>
      </c>
      <c r="AP86" s="19">
        <f t="shared" si="59"/>
        <v>0</v>
      </c>
      <c r="AQ86" s="20">
        <f t="shared" si="60"/>
        <v>0</v>
      </c>
      <c r="AR86" s="58">
        <f t="shared" si="61"/>
        <v>0</v>
      </c>
      <c r="AS86" s="1">
        <f t="shared" si="62"/>
        <v>0</v>
      </c>
      <c r="AT86" s="21">
        <f t="shared" si="63"/>
        <v>0</v>
      </c>
      <c r="AU86" s="28">
        <f t="shared" si="64"/>
        <v>0</v>
      </c>
      <c r="AV86" s="19">
        <f t="shared" si="65"/>
        <v>0</v>
      </c>
      <c r="AW86" s="19">
        <f t="shared" si="66"/>
        <v>0</v>
      </c>
      <c r="AX86" s="27">
        <f t="shared" si="67"/>
        <v>0</v>
      </c>
      <c r="AY86" s="1" t="e">
        <f t="shared" si="68"/>
        <v>#DIV/0!</v>
      </c>
      <c r="AZ86" s="1" t="e">
        <f t="shared" si="69"/>
        <v>#DIV/0!</v>
      </c>
    </row>
    <row r="87" spans="1:52" hidden="1" x14ac:dyDescent="0.35">
      <c r="A87" s="29" t="s">
        <v>423</v>
      </c>
      <c r="B87" s="6">
        <v>0.02</v>
      </c>
      <c r="C87" s="2" t="e">
        <f>+VLOOKUP(E87,inventario!#REF!,2,0)</f>
        <v>#REF!</v>
      </c>
      <c r="D87" t="str">
        <f t="shared" si="38"/>
        <v>740</v>
      </c>
      <c r="E87" t="s">
        <v>143</v>
      </c>
      <c r="F87" s="6" t="str">
        <f>+IFERROR(VLOOKUP(E87,#REF!,29,0),"C")</f>
        <v>C</v>
      </c>
      <c r="G87" s="6" t="str">
        <f>+IFERROR(VLOOKUP(E87,#REF!,34,0),"C")</f>
        <v>C</v>
      </c>
      <c r="H87" s="64">
        <f>+IFERROR(VLOOKUP(E87,#REF!,31,0),0)</f>
        <v>0</v>
      </c>
      <c r="I87" s="44">
        <f>+IFERROR(VLOOKUP(E87,#REF!,26,0),0)</f>
        <v>0</v>
      </c>
      <c r="J87" s="44">
        <f>+IFERROR(VLOOKUP(E87,#REF!,30,0),0)</f>
        <v>0</v>
      </c>
      <c r="K87" s="3"/>
      <c r="L87" s="25">
        <f t="shared" si="39"/>
        <v>0.7</v>
      </c>
      <c r="M87" s="26">
        <f t="shared" si="40"/>
        <v>0.52440051270804078</v>
      </c>
      <c r="O87">
        <f>+IFERROR(VLOOKUP(D87,lt!A:J,10,0),15)</f>
        <v>17</v>
      </c>
      <c r="P87">
        <v>2</v>
      </c>
      <c r="Q87">
        <v>1</v>
      </c>
      <c r="R87">
        <v>2</v>
      </c>
      <c r="S87" s="22">
        <f t="shared" si="41"/>
        <v>22</v>
      </c>
      <c r="T87" s="9">
        <v>3</v>
      </c>
      <c r="U87" s="23">
        <f t="shared" si="42"/>
        <v>0.83333333333333337</v>
      </c>
      <c r="V87" s="11">
        <f t="shared" si="43"/>
        <v>0</v>
      </c>
      <c r="W87" s="11">
        <f t="shared" si="44"/>
        <v>0</v>
      </c>
      <c r="X87" s="11">
        <f t="shared" si="45"/>
        <v>0</v>
      </c>
      <c r="Y87" s="11">
        <f t="shared" si="46"/>
        <v>0</v>
      </c>
      <c r="Z87" s="65">
        <f t="shared" si="47"/>
        <v>0</v>
      </c>
      <c r="AA87" s="24">
        <f t="shared" si="48"/>
        <v>0</v>
      </c>
      <c r="AB87">
        <f t="shared" si="49"/>
        <v>0</v>
      </c>
      <c r="AC87" s="46">
        <f>+IFERROR(VLOOKUP(E87,#REF!,24,0),0.2)</f>
        <v>0.2</v>
      </c>
      <c r="AD87" s="42">
        <f>+IFERROR(VLOOKUP(E87,h!$C:$D,2,0),0.3866)</f>
        <v>0.38610833333333339</v>
      </c>
      <c r="AE87" s="42">
        <f>+VLOOKUP(A87,k!$A$1:$G$4,5,0)</f>
        <v>0.35799365240740744</v>
      </c>
      <c r="AF87" s="47">
        <f t="shared" si="50"/>
        <v>0.94410198574074089</v>
      </c>
      <c r="AG87" s="48">
        <f t="shared" si="51"/>
        <v>0.1132922382888889</v>
      </c>
      <c r="AH87" s="20">
        <f>+IFERROR(VLOOKUP(C87,k!$A$7:$L$13,7,0),0)</f>
        <v>0</v>
      </c>
      <c r="AI87" s="20">
        <f t="shared" si="52"/>
        <v>0</v>
      </c>
      <c r="AJ87" s="5">
        <f t="shared" si="53"/>
        <v>0</v>
      </c>
      <c r="AK87" s="57">
        <f t="shared" si="54"/>
        <v>0</v>
      </c>
      <c r="AL87" s="19">
        <f t="shared" si="55"/>
        <v>0</v>
      </c>
      <c r="AM87" s="20">
        <f t="shared" si="56"/>
        <v>0</v>
      </c>
      <c r="AN87" s="27">
        <f t="shared" si="57"/>
        <v>0</v>
      </c>
      <c r="AO87" s="57">
        <f t="shared" si="58"/>
        <v>0</v>
      </c>
      <c r="AP87" s="19">
        <f t="shared" si="59"/>
        <v>0</v>
      </c>
      <c r="AQ87" s="20">
        <f t="shared" si="60"/>
        <v>0</v>
      </c>
      <c r="AR87" s="58">
        <f t="shared" si="61"/>
        <v>0</v>
      </c>
      <c r="AS87" s="1">
        <f t="shared" si="62"/>
        <v>0</v>
      </c>
      <c r="AT87" s="21">
        <f t="shared" si="63"/>
        <v>0</v>
      </c>
      <c r="AU87" s="28">
        <f t="shared" si="64"/>
        <v>0</v>
      </c>
      <c r="AV87" s="19">
        <f t="shared" si="65"/>
        <v>0</v>
      </c>
      <c r="AW87" s="19">
        <f t="shared" si="66"/>
        <v>0</v>
      </c>
      <c r="AX87" s="27">
        <f t="shared" si="67"/>
        <v>0</v>
      </c>
      <c r="AY87" s="1" t="e">
        <f t="shared" si="68"/>
        <v>#DIV/0!</v>
      </c>
      <c r="AZ87" s="1" t="e">
        <f t="shared" si="69"/>
        <v>#DIV/0!</v>
      </c>
    </row>
    <row r="88" spans="1:52" hidden="1" x14ac:dyDescent="0.35">
      <c r="A88" s="29" t="s">
        <v>423</v>
      </c>
      <c r="B88" s="6">
        <v>2.5000000000000001E-2</v>
      </c>
      <c r="C88" s="2" t="e">
        <f>+VLOOKUP(E88,inventario!#REF!,2,0)</f>
        <v>#REF!</v>
      </c>
      <c r="D88" t="str">
        <f t="shared" si="38"/>
        <v>716</v>
      </c>
      <c r="E88" t="s">
        <v>162</v>
      </c>
      <c r="F88" s="6" t="str">
        <f>+IFERROR(VLOOKUP(E88,#REF!,29,0),"C")</f>
        <v>C</v>
      </c>
      <c r="G88" s="6" t="str">
        <f>+IFERROR(VLOOKUP(E88,#REF!,34,0),"C")</f>
        <v>C</v>
      </c>
      <c r="H88" s="64">
        <f>+IFERROR(VLOOKUP(E88,#REF!,31,0),0)</f>
        <v>0</v>
      </c>
      <c r="I88" s="44">
        <f>+IFERROR(VLOOKUP(E88,#REF!,26,0),0)</f>
        <v>0</v>
      </c>
      <c r="J88" s="44">
        <f>+IFERROR(VLOOKUP(E88,#REF!,30,0),0)</f>
        <v>0</v>
      </c>
      <c r="K88" s="3"/>
      <c r="L88" s="25">
        <f t="shared" si="39"/>
        <v>0.7</v>
      </c>
      <c r="M88" s="26">
        <f t="shared" si="40"/>
        <v>0.52440051270804078</v>
      </c>
      <c r="O88">
        <f>+IFERROR(VLOOKUP(D88,lt!A:J,10,0),15)</f>
        <v>17</v>
      </c>
      <c r="P88">
        <v>2</v>
      </c>
      <c r="Q88">
        <v>1</v>
      </c>
      <c r="R88">
        <v>2</v>
      </c>
      <c r="S88" s="22">
        <f t="shared" si="41"/>
        <v>22</v>
      </c>
      <c r="T88" s="9">
        <v>3</v>
      </c>
      <c r="U88" s="23">
        <f t="shared" si="42"/>
        <v>0.83333333333333337</v>
      </c>
      <c r="V88" s="11">
        <f t="shared" si="43"/>
        <v>0</v>
      </c>
      <c r="W88" s="11">
        <f t="shared" si="44"/>
        <v>0</v>
      </c>
      <c r="X88" s="11">
        <f t="shared" si="45"/>
        <v>0</v>
      </c>
      <c r="Y88" s="11">
        <f t="shared" si="46"/>
        <v>0</v>
      </c>
      <c r="Z88" s="65">
        <f t="shared" si="47"/>
        <v>0</v>
      </c>
      <c r="AA88" s="24">
        <f t="shared" si="48"/>
        <v>0</v>
      </c>
      <c r="AB88">
        <f t="shared" si="49"/>
        <v>0</v>
      </c>
      <c r="AC88" s="46">
        <f>+IFERROR(VLOOKUP(E88,#REF!,24,0),0.2)</f>
        <v>0.2</v>
      </c>
      <c r="AD88" s="42">
        <f>+IFERROR(VLOOKUP(E88,h!$C:$D,2,0),0.3866)</f>
        <v>0.38610833333333339</v>
      </c>
      <c r="AE88" s="42">
        <f>+VLOOKUP(A88,k!$A$1:$G$4,5,0)</f>
        <v>0.35799365240740744</v>
      </c>
      <c r="AF88" s="47">
        <f t="shared" si="50"/>
        <v>0.94410198574074089</v>
      </c>
      <c r="AG88" s="48">
        <f t="shared" si="51"/>
        <v>0.1132922382888889</v>
      </c>
      <c r="AH88" s="20">
        <f>+IFERROR(VLOOKUP(C88,k!$A$7:$L$13,7,0),0)</f>
        <v>0</v>
      </c>
      <c r="AI88" s="20">
        <f t="shared" si="52"/>
        <v>0</v>
      </c>
      <c r="AJ88" s="5">
        <f t="shared" si="53"/>
        <v>0</v>
      </c>
      <c r="AK88" s="57">
        <f t="shared" si="54"/>
        <v>0</v>
      </c>
      <c r="AL88" s="19">
        <f t="shared" si="55"/>
        <v>0</v>
      </c>
      <c r="AM88" s="20">
        <f t="shared" si="56"/>
        <v>0</v>
      </c>
      <c r="AN88" s="27">
        <f t="shared" si="57"/>
        <v>0</v>
      </c>
      <c r="AO88" s="57">
        <f t="shared" si="58"/>
        <v>0</v>
      </c>
      <c r="AP88" s="19">
        <f t="shared" si="59"/>
        <v>0</v>
      </c>
      <c r="AQ88" s="20">
        <f t="shared" si="60"/>
        <v>0</v>
      </c>
      <c r="AR88" s="58">
        <f t="shared" si="61"/>
        <v>0</v>
      </c>
      <c r="AS88" s="1">
        <f t="shared" si="62"/>
        <v>0</v>
      </c>
      <c r="AT88" s="21">
        <f t="shared" si="63"/>
        <v>0</v>
      </c>
      <c r="AU88" s="28">
        <f t="shared" si="64"/>
        <v>0</v>
      </c>
      <c r="AV88" s="19">
        <f t="shared" si="65"/>
        <v>0</v>
      </c>
      <c r="AW88" s="19">
        <f t="shared" si="66"/>
        <v>0</v>
      </c>
      <c r="AX88" s="27">
        <f t="shared" si="67"/>
        <v>0</v>
      </c>
      <c r="AY88" s="1" t="e">
        <f t="shared" si="68"/>
        <v>#DIV/0!</v>
      </c>
      <c r="AZ88" s="1" t="e">
        <f t="shared" si="69"/>
        <v>#DIV/0!</v>
      </c>
    </row>
    <row r="89" spans="1:52" hidden="1" x14ac:dyDescent="0.35">
      <c r="A89" s="29" t="s">
        <v>423</v>
      </c>
      <c r="B89" s="6">
        <v>2.5000000000000001E-2</v>
      </c>
      <c r="C89" s="2" t="e">
        <f>+VLOOKUP(E89,inventario!#REF!,2,0)</f>
        <v>#REF!</v>
      </c>
      <c r="D89" t="str">
        <f t="shared" si="38"/>
        <v>1068</v>
      </c>
      <c r="E89" t="s">
        <v>145</v>
      </c>
      <c r="F89" s="6" t="str">
        <f>+IFERROR(VLOOKUP(E89,#REF!,29,0),"C")</f>
        <v>C</v>
      </c>
      <c r="G89" s="6" t="str">
        <f>+IFERROR(VLOOKUP(E89,#REF!,34,0),"C")</f>
        <v>C</v>
      </c>
      <c r="H89" s="64">
        <f>+IFERROR(VLOOKUP(E89,#REF!,31,0),0)</f>
        <v>0</v>
      </c>
      <c r="I89" s="44">
        <f>+IFERROR(VLOOKUP(E89,#REF!,26,0),0)</f>
        <v>0</v>
      </c>
      <c r="J89" s="44">
        <f>+IFERROR(VLOOKUP(E89,#REF!,30,0),0)</f>
        <v>0</v>
      </c>
      <c r="K89" s="3"/>
      <c r="L89" s="25">
        <f t="shared" si="39"/>
        <v>0.7</v>
      </c>
      <c r="M89" s="26">
        <f t="shared" si="40"/>
        <v>0.52440051270804078</v>
      </c>
      <c r="O89">
        <f>+IFERROR(VLOOKUP(D89,lt!A:J,10,0),15)</f>
        <v>17</v>
      </c>
      <c r="P89">
        <v>2</v>
      </c>
      <c r="Q89">
        <v>1</v>
      </c>
      <c r="R89">
        <v>2</v>
      </c>
      <c r="S89" s="22">
        <f t="shared" si="41"/>
        <v>22</v>
      </c>
      <c r="T89" s="9">
        <v>3</v>
      </c>
      <c r="U89" s="23">
        <f t="shared" si="42"/>
        <v>0.83333333333333337</v>
      </c>
      <c r="V89" s="11">
        <f t="shared" si="43"/>
        <v>0</v>
      </c>
      <c r="W89" s="11">
        <f t="shared" si="44"/>
        <v>0</v>
      </c>
      <c r="X89" s="11">
        <f t="shared" si="45"/>
        <v>0</v>
      </c>
      <c r="Y89" s="11">
        <f t="shared" si="46"/>
        <v>0</v>
      </c>
      <c r="Z89" s="65">
        <f t="shared" si="47"/>
        <v>0</v>
      </c>
      <c r="AA89" s="24">
        <f t="shared" si="48"/>
        <v>0</v>
      </c>
      <c r="AB89">
        <f t="shared" si="49"/>
        <v>0</v>
      </c>
      <c r="AC89" s="46">
        <f>+IFERROR(VLOOKUP(E89,#REF!,24,0),0.2)</f>
        <v>0.2</v>
      </c>
      <c r="AD89" s="42">
        <f>+IFERROR(VLOOKUP(E89,h!$C:$D,2,0),0.3866)</f>
        <v>0.38610833333333339</v>
      </c>
      <c r="AE89" s="42">
        <f>+VLOOKUP(A89,k!$A$1:$G$4,5,0)</f>
        <v>0.35799365240740744</v>
      </c>
      <c r="AF89" s="47">
        <f t="shared" si="50"/>
        <v>0.94410198574074089</v>
      </c>
      <c r="AG89" s="48">
        <f t="shared" si="51"/>
        <v>0.1132922382888889</v>
      </c>
      <c r="AH89" s="20">
        <f>+IFERROR(VLOOKUP(C89,k!$A$7:$L$13,7,0),0)</f>
        <v>0</v>
      </c>
      <c r="AI89" s="20">
        <f t="shared" si="52"/>
        <v>0</v>
      </c>
      <c r="AJ89" s="5">
        <f t="shared" si="53"/>
        <v>0</v>
      </c>
      <c r="AK89" s="57">
        <f t="shared" si="54"/>
        <v>0</v>
      </c>
      <c r="AL89" s="19">
        <f t="shared" si="55"/>
        <v>0</v>
      </c>
      <c r="AM89" s="20">
        <f t="shared" si="56"/>
        <v>0</v>
      </c>
      <c r="AN89" s="27">
        <f t="shared" si="57"/>
        <v>0</v>
      </c>
      <c r="AO89" s="57">
        <f t="shared" si="58"/>
        <v>0</v>
      </c>
      <c r="AP89" s="19">
        <f t="shared" si="59"/>
        <v>0</v>
      </c>
      <c r="AQ89" s="20">
        <f t="shared" si="60"/>
        <v>0</v>
      </c>
      <c r="AR89" s="58">
        <f t="shared" si="61"/>
        <v>0</v>
      </c>
      <c r="AS89" s="1">
        <f t="shared" si="62"/>
        <v>0</v>
      </c>
      <c r="AT89" s="21">
        <f t="shared" si="63"/>
        <v>0</v>
      </c>
      <c r="AU89" s="28">
        <f t="shared" si="64"/>
        <v>0</v>
      </c>
      <c r="AV89" s="19">
        <f t="shared" si="65"/>
        <v>0</v>
      </c>
      <c r="AW89" s="19">
        <f t="shared" si="66"/>
        <v>0</v>
      </c>
      <c r="AX89" s="27">
        <f t="shared" si="67"/>
        <v>0</v>
      </c>
      <c r="AY89" s="1" t="e">
        <f t="shared" si="68"/>
        <v>#DIV/0!</v>
      </c>
      <c r="AZ89" s="1" t="e">
        <f t="shared" si="69"/>
        <v>#DIV/0!</v>
      </c>
    </row>
    <row r="90" spans="1:52" hidden="1" x14ac:dyDescent="0.35">
      <c r="A90" s="29" t="s">
        <v>423</v>
      </c>
      <c r="B90" s="6">
        <v>0.03</v>
      </c>
      <c r="C90" s="2" t="e">
        <f>+VLOOKUP(E90,inventario!#REF!,2,0)</f>
        <v>#REF!</v>
      </c>
      <c r="D90" t="str">
        <f t="shared" si="38"/>
        <v>742</v>
      </c>
      <c r="E90" t="s">
        <v>147</v>
      </c>
      <c r="F90" s="6" t="str">
        <f>+IFERROR(VLOOKUP(E90,#REF!,29,0),"C")</f>
        <v>C</v>
      </c>
      <c r="G90" s="6" t="str">
        <f>+IFERROR(VLOOKUP(E90,#REF!,34,0),"C")</f>
        <v>C</v>
      </c>
      <c r="H90" s="64">
        <f>+IFERROR(VLOOKUP(E90,#REF!,31,0),0)</f>
        <v>0</v>
      </c>
      <c r="I90" s="44">
        <f>+IFERROR(VLOOKUP(E90,#REF!,26,0),0)</f>
        <v>0</v>
      </c>
      <c r="J90" s="44">
        <f>+IFERROR(VLOOKUP(E90,#REF!,30,0),0)</f>
        <v>0</v>
      </c>
      <c r="K90" s="3"/>
      <c r="L90" s="25">
        <f t="shared" si="39"/>
        <v>0.7</v>
      </c>
      <c r="M90" s="26">
        <f t="shared" si="40"/>
        <v>0.52440051270804078</v>
      </c>
      <c r="O90">
        <f>+IFERROR(VLOOKUP(D90,lt!A:J,10,0),15)</f>
        <v>17</v>
      </c>
      <c r="P90">
        <v>2</v>
      </c>
      <c r="Q90">
        <v>1</v>
      </c>
      <c r="R90">
        <v>2</v>
      </c>
      <c r="S90" s="22">
        <f t="shared" si="41"/>
        <v>22</v>
      </c>
      <c r="T90" s="9">
        <v>3</v>
      </c>
      <c r="U90" s="23">
        <f t="shared" si="42"/>
        <v>0.83333333333333337</v>
      </c>
      <c r="V90" s="11">
        <f t="shared" si="43"/>
        <v>0</v>
      </c>
      <c r="W90" s="11">
        <f t="shared" si="44"/>
        <v>0</v>
      </c>
      <c r="X90" s="11">
        <f t="shared" si="45"/>
        <v>0</v>
      </c>
      <c r="Y90" s="11">
        <f t="shared" si="46"/>
        <v>0</v>
      </c>
      <c r="Z90" s="65">
        <f t="shared" si="47"/>
        <v>0</v>
      </c>
      <c r="AA90" s="24">
        <f t="shared" si="48"/>
        <v>0</v>
      </c>
      <c r="AB90">
        <f t="shared" si="49"/>
        <v>0</v>
      </c>
      <c r="AC90" s="46">
        <f>+IFERROR(VLOOKUP(E90,#REF!,24,0),0.2)</f>
        <v>0.2</v>
      </c>
      <c r="AD90" s="42">
        <f>+IFERROR(VLOOKUP(E90,h!$C:$D,2,0),0.3866)</f>
        <v>0.38610833333333339</v>
      </c>
      <c r="AE90" s="42">
        <f>+VLOOKUP(A90,k!$A$1:$G$4,5,0)</f>
        <v>0.35799365240740744</v>
      </c>
      <c r="AF90" s="47">
        <f t="shared" si="50"/>
        <v>0.94410198574074089</v>
      </c>
      <c r="AG90" s="48">
        <f t="shared" si="51"/>
        <v>0.1132922382888889</v>
      </c>
      <c r="AH90" s="20">
        <f>+IFERROR(VLOOKUP(C90,k!$A$7:$L$13,7,0),0)</f>
        <v>0</v>
      </c>
      <c r="AI90" s="20">
        <f t="shared" si="52"/>
        <v>0</v>
      </c>
      <c r="AJ90" s="5">
        <f t="shared" si="53"/>
        <v>0</v>
      </c>
      <c r="AK90" s="57">
        <f t="shared" si="54"/>
        <v>0</v>
      </c>
      <c r="AL90" s="19">
        <f t="shared" si="55"/>
        <v>0</v>
      </c>
      <c r="AM90" s="20">
        <f t="shared" si="56"/>
        <v>0</v>
      </c>
      <c r="AN90" s="27">
        <f t="shared" si="57"/>
        <v>0</v>
      </c>
      <c r="AO90" s="57">
        <f t="shared" si="58"/>
        <v>0</v>
      </c>
      <c r="AP90" s="19">
        <f t="shared" si="59"/>
        <v>0</v>
      </c>
      <c r="AQ90" s="20">
        <f t="shared" si="60"/>
        <v>0</v>
      </c>
      <c r="AR90" s="58">
        <f t="shared" si="61"/>
        <v>0</v>
      </c>
      <c r="AS90" s="1">
        <f t="shared" si="62"/>
        <v>0</v>
      </c>
      <c r="AT90" s="21">
        <f t="shared" si="63"/>
        <v>0</v>
      </c>
      <c r="AU90" s="28">
        <f t="shared" si="64"/>
        <v>0</v>
      </c>
      <c r="AV90" s="19">
        <f t="shared" si="65"/>
        <v>0</v>
      </c>
      <c r="AW90" s="19">
        <f t="shared" si="66"/>
        <v>0</v>
      </c>
      <c r="AX90" s="27">
        <f t="shared" si="67"/>
        <v>0</v>
      </c>
      <c r="AY90" s="1" t="e">
        <f t="shared" si="68"/>
        <v>#DIV/0!</v>
      </c>
      <c r="AZ90" s="1" t="e">
        <f t="shared" si="69"/>
        <v>#DIV/0!</v>
      </c>
    </row>
    <row r="91" spans="1:52" hidden="1" x14ac:dyDescent="0.35">
      <c r="A91" s="29" t="s">
        <v>423</v>
      </c>
      <c r="B91" s="6">
        <v>0.02</v>
      </c>
      <c r="C91" s="2" t="e">
        <f>+VLOOKUP(E91,inventario!#REF!,2,0)</f>
        <v>#REF!</v>
      </c>
      <c r="D91" t="str">
        <f t="shared" si="38"/>
        <v>741</v>
      </c>
      <c r="E91" t="s">
        <v>146</v>
      </c>
      <c r="F91" s="6" t="str">
        <f>+IFERROR(VLOOKUP(E91,#REF!,29,0),"C")</f>
        <v>C</v>
      </c>
      <c r="G91" s="6" t="str">
        <f>+IFERROR(VLOOKUP(E91,#REF!,34,0),"C")</f>
        <v>C</v>
      </c>
      <c r="H91" s="64">
        <f>+IFERROR(VLOOKUP(E91,#REF!,31,0),0)</f>
        <v>0</v>
      </c>
      <c r="I91" s="44">
        <f>+IFERROR(VLOOKUP(E91,#REF!,26,0),0)</f>
        <v>0</v>
      </c>
      <c r="J91" s="44">
        <f>+IFERROR(VLOOKUP(E91,#REF!,30,0),0)</f>
        <v>0</v>
      </c>
      <c r="K91" s="3"/>
      <c r="L91" s="25">
        <f t="shared" si="39"/>
        <v>0.7</v>
      </c>
      <c r="M91" s="26">
        <f t="shared" si="40"/>
        <v>0.52440051270804078</v>
      </c>
      <c r="O91">
        <f>+IFERROR(VLOOKUP(D91,lt!A:J,10,0),15)</f>
        <v>17</v>
      </c>
      <c r="P91">
        <v>2</v>
      </c>
      <c r="Q91">
        <v>1</v>
      </c>
      <c r="R91">
        <v>2</v>
      </c>
      <c r="S91" s="22">
        <f t="shared" si="41"/>
        <v>22</v>
      </c>
      <c r="T91" s="9">
        <v>3</v>
      </c>
      <c r="U91" s="23">
        <f t="shared" si="42"/>
        <v>0.83333333333333337</v>
      </c>
      <c r="V91" s="11">
        <f t="shared" si="43"/>
        <v>0</v>
      </c>
      <c r="W91" s="11">
        <f t="shared" si="44"/>
        <v>0</v>
      </c>
      <c r="X91" s="11">
        <f t="shared" si="45"/>
        <v>0</v>
      </c>
      <c r="Y91" s="11">
        <f t="shared" si="46"/>
        <v>0</v>
      </c>
      <c r="Z91" s="65">
        <f t="shared" si="47"/>
        <v>0</v>
      </c>
      <c r="AA91" s="24">
        <f t="shared" si="48"/>
        <v>0</v>
      </c>
      <c r="AB91">
        <f t="shared" si="49"/>
        <v>0</v>
      </c>
      <c r="AC91" s="46">
        <f>+IFERROR(VLOOKUP(E91,#REF!,24,0),0.2)</f>
        <v>0.2</v>
      </c>
      <c r="AD91" s="42">
        <f>+IFERROR(VLOOKUP(E91,h!$C:$D,2,0),0.3866)</f>
        <v>0.38610833333333339</v>
      </c>
      <c r="AE91" s="42">
        <f>+VLOOKUP(A91,k!$A$1:$G$4,5,0)</f>
        <v>0.35799365240740744</v>
      </c>
      <c r="AF91" s="47">
        <f t="shared" si="50"/>
        <v>0.94410198574074089</v>
      </c>
      <c r="AG91" s="48">
        <f t="shared" si="51"/>
        <v>0.1132922382888889</v>
      </c>
      <c r="AH91" s="20">
        <f>+IFERROR(VLOOKUP(C91,k!$A$7:$L$13,7,0),0)</f>
        <v>0</v>
      </c>
      <c r="AI91" s="20">
        <f t="shared" si="52"/>
        <v>0</v>
      </c>
      <c r="AJ91" s="5">
        <f t="shared" si="53"/>
        <v>0</v>
      </c>
      <c r="AK91" s="57">
        <f t="shared" si="54"/>
        <v>0</v>
      </c>
      <c r="AL91" s="19">
        <f t="shared" si="55"/>
        <v>0</v>
      </c>
      <c r="AM91" s="20">
        <f t="shared" si="56"/>
        <v>0</v>
      </c>
      <c r="AN91" s="27">
        <f t="shared" si="57"/>
        <v>0</v>
      </c>
      <c r="AO91" s="57">
        <f t="shared" si="58"/>
        <v>0</v>
      </c>
      <c r="AP91" s="19">
        <f t="shared" si="59"/>
        <v>0</v>
      </c>
      <c r="AQ91" s="20">
        <f t="shared" si="60"/>
        <v>0</v>
      </c>
      <c r="AR91" s="58">
        <f t="shared" si="61"/>
        <v>0</v>
      </c>
      <c r="AS91" s="1">
        <f t="shared" si="62"/>
        <v>0</v>
      </c>
      <c r="AT91" s="21">
        <f t="shared" si="63"/>
        <v>0</v>
      </c>
      <c r="AU91" s="28">
        <f t="shared" si="64"/>
        <v>0</v>
      </c>
      <c r="AV91" s="19">
        <f t="shared" si="65"/>
        <v>0</v>
      </c>
      <c r="AW91" s="19">
        <f t="shared" si="66"/>
        <v>0</v>
      </c>
      <c r="AX91" s="27">
        <f t="shared" si="67"/>
        <v>0</v>
      </c>
      <c r="AY91" s="1" t="e">
        <f t="shared" si="68"/>
        <v>#DIV/0!</v>
      </c>
      <c r="AZ91" s="1" t="e">
        <f t="shared" si="69"/>
        <v>#DIV/0!</v>
      </c>
    </row>
    <row r="92" spans="1:52" hidden="1" x14ac:dyDescent="0.35">
      <c r="A92" s="29" t="s">
        <v>423</v>
      </c>
      <c r="B92" s="6">
        <v>2.5000000000000001E-2</v>
      </c>
      <c r="C92" s="2" t="e">
        <f>+VLOOKUP(E92,inventario!#REF!,2,0)</f>
        <v>#REF!</v>
      </c>
      <c r="D92" t="str">
        <f t="shared" si="38"/>
        <v>1007.5</v>
      </c>
      <c r="E92" t="s">
        <v>141</v>
      </c>
      <c r="F92" s="6" t="str">
        <f>+IFERROR(VLOOKUP(E92,#REF!,29,0),"C")</f>
        <v>C</v>
      </c>
      <c r="G92" s="6" t="str">
        <f>+IFERROR(VLOOKUP(E92,#REF!,34,0),"C")</f>
        <v>C</v>
      </c>
      <c r="H92" s="64">
        <f>+IFERROR(VLOOKUP(E92,#REF!,31,0),0)</f>
        <v>0</v>
      </c>
      <c r="I92" s="44">
        <f>+IFERROR(VLOOKUP(E92,#REF!,26,0),0)</f>
        <v>0</v>
      </c>
      <c r="J92" s="44">
        <f>+IFERROR(VLOOKUP(E92,#REF!,30,0),0)</f>
        <v>0</v>
      </c>
      <c r="K92" s="3"/>
      <c r="L92" s="25">
        <f t="shared" si="39"/>
        <v>0.7</v>
      </c>
      <c r="M92" s="26">
        <f t="shared" si="40"/>
        <v>0.52440051270804078</v>
      </c>
      <c r="O92">
        <f>+IFERROR(VLOOKUP(D92,lt!A:J,10,0),15)</f>
        <v>17</v>
      </c>
      <c r="P92">
        <v>2</v>
      </c>
      <c r="Q92">
        <v>1</v>
      </c>
      <c r="R92">
        <v>2</v>
      </c>
      <c r="S92" s="22">
        <f t="shared" si="41"/>
        <v>22</v>
      </c>
      <c r="T92" s="9">
        <v>3</v>
      </c>
      <c r="U92" s="23">
        <f t="shared" si="42"/>
        <v>0.83333333333333337</v>
      </c>
      <c r="V92" s="11">
        <f t="shared" si="43"/>
        <v>0</v>
      </c>
      <c r="W92" s="11">
        <f t="shared" si="44"/>
        <v>0</v>
      </c>
      <c r="X92" s="11">
        <f t="shared" si="45"/>
        <v>0</v>
      </c>
      <c r="Y92" s="11">
        <f t="shared" si="46"/>
        <v>0</v>
      </c>
      <c r="Z92" s="65">
        <f t="shared" si="47"/>
        <v>0</v>
      </c>
      <c r="AA92" s="24">
        <f t="shared" si="48"/>
        <v>0</v>
      </c>
      <c r="AB92">
        <f t="shared" si="49"/>
        <v>0</v>
      </c>
      <c r="AC92" s="46">
        <f>+IFERROR(VLOOKUP(E92,#REF!,24,0),0.2)</f>
        <v>0.2</v>
      </c>
      <c r="AD92" s="42">
        <f>+IFERROR(VLOOKUP(E92,h!$C:$D,2,0),0.3866)</f>
        <v>0.38610833333333339</v>
      </c>
      <c r="AE92" s="42">
        <f>+VLOOKUP(A92,k!$A$1:$G$4,5,0)</f>
        <v>0.35799365240740744</v>
      </c>
      <c r="AF92" s="47">
        <f t="shared" si="50"/>
        <v>0.94410198574074089</v>
      </c>
      <c r="AG92" s="48">
        <f t="shared" si="51"/>
        <v>0.1132922382888889</v>
      </c>
      <c r="AH92" s="20">
        <f>+IFERROR(VLOOKUP(C92,k!$A$7:$L$13,7,0),0)</f>
        <v>0</v>
      </c>
      <c r="AI92" s="20">
        <f t="shared" si="52"/>
        <v>0</v>
      </c>
      <c r="AJ92" s="5">
        <f t="shared" si="53"/>
        <v>0</v>
      </c>
      <c r="AK92" s="57">
        <f t="shared" si="54"/>
        <v>0</v>
      </c>
      <c r="AL92" s="19">
        <f t="shared" si="55"/>
        <v>0</v>
      </c>
      <c r="AM92" s="20">
        <f t="shared" si="56"/>
        <v>0</v>
      </c>
      <c r="AN92" s="27">
        <f t="shared" si="57"/>
        <v>0</v>
      </c>
      <c r="AO92" s="57">
        <f t="shared" si="58"/>
        <v>0</v>
      </c>
      <c r="AP92" s="19">
        <f t="shared" si="59"/>
        <v>0</v>
      </c>
      <c r="AQ92" s="20">
        <f t="shared" si="60"/>
        <v>0</v>
      </c>
      <c r="AR92" s="58">
        <f t="shared" si="61"/>
        <v>0</v>
      </c>
      <c r="AS92" s="1">
        <f t="shared" si="62"/>
        <v>0</v>
      </c>
      <c r="AT92" s="21">
        <f t="shared" si="63"/>
        <v>0</v>
      </c>
      <c r="AU92" s="28">
        <f t="shared" si="64"/>
        <v>0</v>
      </c>
      <c r="AV92" s="19">
        <f t="shared" si="65"/>
        <v>0</v>
      </c>
      <c r="AW92" s="19">
        <f t="shared" si="66"/>
        <v>0</v>
      </c>
      <c r="AX92" s="27">
        <f t="shared" si="67"/>
        <v>0</v>
      </c>
      <c r="AY92" s="1" t="e">
        <f t="shared" si="68"/>
        <v>#DIV/0!</v>
      </c>
      <c r="AZ92" s="1" t="e">
        <f t="shared" si="69"/>
        <v>#DIV/0!</v>
      </c>
    </row>
    <row r="93" spans="1:52" hidden="1" x14ac:dyDescent="0.35">
      <c r="A93" s="29" t="s">
        <v>423</v>
      </c>
      <c r="B93" s="6">
        <v>2.5000000000000001E-2</v>
      </c>
      <c r="C93" s="2" t="e">
        <f>+VLOOKUP(E93,inventario!#REF!,2,0)</f>
        <v>#REF!</v>
      </c>
      <c r="D93" t="str">
        <f t="shared" si="38"/>
        <v>901</v>
      </c>
      <c r="E93" t="s">
        <v>70</v>
      </c>
      <c r="F93" s="6" t="str">
        <f>+IFERROR(VLOOKUP(E93,#REF!,29,0),"C")</f>
        <v>C</v>
      </c>
      <c r="G93" s="6" t="str">
        <f>+IFERROR(VLOOKUP(E93,#REF!,34,0),"C")</f>
        <v>C</v>
      </c>
      <c r="H93" s="64">
        <f>+IFERROR(VLOOKUP(E93,#REF!,31,0),0)</f>
        <v>0</v>
      </c>
      <c r="I93" s="44">
        <f>+IFERROR(VLOOKUP(E93,#REF!,26,0),0)</f>
        <v>0</v>
      </c>
      <c r="J93" s="44">
        <f>+IFERROR(VLOOKUP(E93,#REF!,30,0),0)</f>
        <v>0</v>
      </c>
      <c r="K93" s="3"/>
      <c r="L93" s="25">
        <f t="shared" si="39"/>
        <v>0.7</v>
      </c>
      <c r="M93" s="26">
        <f t="shared" si="40"/>
        <v>0.52440051270804078</v>
      </c>
      <c r="O93">
        <f>+IFERROR(VLOOKUP(D93,lt!A:J,10,0),15)</f>
        <v>17</v>
      </c>
      <c r="P93">
        <v>2</v>
      </c>
      <c r="Q93">
        <v>1</v>
      </c>
      <c r="R93">
        <v>2</v>
      </c>
      <c r="S93" s="22">
        <f t="shared" si="41"/>
        <v>22</v>
      </c>
      <c r="T93" s="9">
        <v>3</v>
      </c>
      <c r="U93" s="23">
        <f t="shared" si="42"/>
        <v>0.83333333333333337</v>
      </c>
      <c r="V93" s="11">
        <f t="shared" si="43"/>
        <v>0</v>
      </c>
      <c r="W93" s="11">
        <f t="shared" si="44"/>
        <v>0</v>
      </c>
      <c r="X93" s="11">
        <f t="shared" si="45"/>
        <v>0</v>
      </c>
      <c r="Y93" s="11">
        <f t="shared" si="46"/>
        <v>0</v>
      </c>
      <c r="Z93" s="65">
        <f t="shared" si="47"/>
        <v>0</v>
      </c>
      <c r="AA93" s="24">
        <f t="shared" si="48"/>
        <v>0</v>
      </c>
      <c r="AB93">
        <f t="shared" si="49"/>
        <v>0</v>
      </c>
      <c r="AC93" s="46">
        <f>+IFERROR(VLOOKUP(E93,#REF!,24,0),0.2)</f>
        <v>0.2</v>
      </c>
      <c r="AD93" s="42">
        <f>+IFERROR(VLOOKUP(E93,h!$C:$D,2,0),0.3866)</f>
        <v>0.38610833333333339</v>
      </c>
      <c r="AE93" s="42">
        <f>+VLOOKUP(A93,k!$A$1:$G$4,5,0)</f>
        <v>0.35799365240740744</v>
      </c>
      <c r="AF93" s="47">
        <f t="shared" si="50"/>
        <v>0.94410198574074089</v>
      </c>
      <c r="AG93" s="48">
        <f t="shared" si="51"/>
        <v>0.1132922382888889</v>
      </c>
      <c r="AH93" s="20">
        <f>+IFERROR(VLOOKUP(C93,k!$A$7:$L$13,7,0),0)</f>
        <v>0</v>
      </c>
      <c r="AI93" s="20">
        <f t="shared" si="52"/>
        <v>0</v>
      </c>
      <c r="AJ93" s="5">
        <f t="shared" si="53"/>
        <v>0</v>
      </c>
      <c r="AK93" s="57">
        <f t="shared" si="54"/>
        <v>0</v>
      </c>
      <c r="AL93" s="19">
        <f t="shared" si="55"/>
        <v>0</v>
      </c>
      <c r="AM93" s="20">
        <f t="shared" si="56"/>
        <v>0</v>
      </c>
      <c r="AN93" s="27">
        <f t="shared" si="57"/>
        <v>0</v>
      </c>
      <c r="AO93" s="57">
        <f t="shared" si="58"/>
        <v>0</v>
      </c>
      <c r="AP93" s="19">
        <f t="shared" si="59"/>
        <v>0</v>
      </c>
      <c r="AQ93" s="20">
        <f t="shared" si="60"/>
        <v>0</v>
      </c>
      <c r="AR93" s="58">
        <f t="shared" si="61"/>
        <v>0</v>
      </c>
      <c r="AS93" s="1">
        <f t="shared" si="62"/>
        <v>0</v>
      </c>
      <c r="AT93" s="21">
        <f t="shared" si="63"/>
        <v>0</v>
      </c>
      <c r="AU93" s="28">
        <f t="shared" si="64"/>
        <v>0</v>
      </c>
      <c r="AV93" s="19">
        <f t="shared" si="65"/>
        <v>0</v>
      </c>
      <c r="AW93" s="19">
        <f t="shared" si="66"/>
        <v>0</v>
      </c>
      <c r="AX93" s="27">
        <f t="shared" si="67"/>
        <v>0</v>
      </c>
      <c r="AY93" s="1" t="e">
        <f t="shared" si="68"/>
        <v>#DIV/0!</v>
      </c>
      <c r="AZ93" s="1" t="e">
        <f t="shared" si="69"/>
        <v>#DIV/0!</v>
      </c>
    </row>
    <row r="94" spans="1:52" hidden="1" x14ac:dyDescent="0.35">
      <c r="A94" s="29" t="s">
        <v>423</v>
      </c>
      <c r="B94" s="6">
        <v>0.02</v>
      </c>
      <c r="C94" s="2" t="e">
        <f>+VLOOKUP(E94,inventario!#REF!,2,0)</f>
        <v>#REF!</v>
      </c>
      <c r="D94" t="str">
        <f t="shared" si="38"/>
        <v>173</v>
      </c>
      <c r="E94" t="s">
        <v>138</v>
      </c>
      <c r="F94" s="6" t="str">
        <f>+IFERROR(VLOOKUP(E94,#REF!,29,0),"C")</f>
        <v>C</v>
      </c>
      <c r="G94" s="6" t="str">
        <f>+IFERROR(VLOOKUP(E94,#REF!,34,0),"C")</f>
        <v>C</v>
      </c>
      <c r="H94" s="64">
        <f>+IFERROR(VLOOKUP(E94,#REF!,31,0),0)</f>
        <v>0</v>
      </c>
      <c r="I94" s="44">
        <f>+IFERROR(VLOOKUP(E94,#REF!,26,0),0)</f>
        <v>0</v>
      </c>
      <c r="J94" s="44">
        <f>+IFERROR(VLOOKUP(E94,#REF!,30,0),0)</f>
        <v>0</v>
      </c>
      <c r="K94" s="3"/>
      <c r="L94" s="25">
        <f t="shared" si="39"/>
        <v>0.7</v>
      </c>
      <c r="M94" s="26">
        <f t="shared" si="40"/>
        <v>0.52440051270804078</v>
      </c>
      <c r="O94">
        <f>+IFERROR(VLOOKUP(D94,lt!A:J,10,0),15)</f>
        <v>17</v>
      </c>
      <c r="P94">
        <v>2</v>
      </c>
      <c r="Q94">
        <v>1</v>
      </c>
      <c r="R94">
        <v>2</v>
      </c>
      <c r="S94" s="22">
        <f t="shared" si="41"/>
        <v>22</v>
      </c>
      <c r="T94" s="9">
        <v>3</v>
      </c>
      <c r="U94" s="23">
        <f t="shared" si="42"/>
        <v>0.83333333333333337</v>
      </c>
      <c r="V94" s="11">
        <f t="shared" si="43"/>
        <v>0</v>
      </c>
      <c r="W94" s="11">
        <f t="shared" si="44"/>
        <v>0</v>
      </c>
      <c r="X94" s="11">
        <f t="shared" si="45"/>
        <v>0</v>
      </c>
      <c r="Y94" s="11">
        <f t="shared" si="46"/>
        <v>0</v>
      </c>
      <c r="Z94" s="65">
        <f t="shared" si="47"/>
        <v>0</v>
      </c>
      <c r="AA94" s="24">
        <f t="shared" si="48"/>
        <v>0</v>
      </c>
      <c r="AB94">
        <f t="shared" si="49"/>
        <v>0</v>
      </c>
      <c r="AC94" s="46">
        <f>+IFERROR(VLOOKUP(E94,#REF!,24,0),0.2)</f>
        <v>0.2</v>
      </c>
      <c r="AD94" s="42">
        <f>+IFERROR(VLOOKUP(E94,h!$C:$D,2,0),0.3866)</f>
        <v>0.38610833333333339</v>
      </c>
      <c r="AE94" s="42">
        <f>+VLOOKUP(A94,k!$A$1:$G$4,5,0)</f>
        <v>0.35799365240740744</v>
      </c>
      <c r="AF94" s="47">
        <f t="shared" si="50"/>
        <v>0.94410198574074089</v>
      </c>
      <c r="AG94" s="48">
        <f t="shared" si="51"/>
        <v>0.1132922382888889</v>
      </c>
      <c r="AH94" s="20">
        <f>+IFERROR(VLOOKUP(C94,k!$A$7:$L$13,7,0),0)</f>
        <v>0</v>
      </c>
      <c r="AI94" s="20">
        <f t="shared" si="52"/>
        <v>0</v>
      </c>
      <c r="AJ94" s="5">
        <f t="shared" si="53"/>
        <v>0</v>
      </c>
      <c r="AK94" s="57">
        <f t="shared" si="54"/>
        <v>0</v>
      </c>
      <c r="AL94" s="19">
        <f t="shared" si="55"/>
        <v>0</v>
      </c>
      <c r="AM94" s="20">
        <f t="shared" si="56"/>
        <v>0</v>
      </c>
      <c r="AN94" s="27">
        <f t="shared" si="57"/>
        <v>0</v>
      </c>
      <c r="AO94" s="57">
        <f t="shared" si="58"/>
        <v>0</v>
      </c>
      <c r="AP94" s="19">
        <f t="shared" si="59"/>
        <v>0</v>
      </c>
      <c r="AQ94" s="20">
        <f t="shared" si="60"/>
        <v>0</v>
      </c>
      <c r="AR94" s="58">
        <f t="shared" si="61"/>
        <v>0</v>
      </c>
      <c r="AS94" s="1">
        <f t="shared" si="62"/>
        <v>0</v>
      </c>
      <c r="AT94" s="21">
        <f t="shared" si="63"/>
        <v>0</v>
      </c>
      <c r="AU94" s="28">
        <f t="shared" si="64"/>
        <v>0</v>
      </c>
      <c r="AV94" s="19">
        <f t="shared" si="65"/>
        <v>0</v>
      </c>
      <c r="AW94" s="19">
        <f t="shared" si="66"/>
        <v>0</v>
      </c>
      <c r="AX94" s="27">
        <f t="shared" si="67"/>
        <v>0</v>
      </c>
      <c r="AY94" s="1" t="e">
        <f t="shared" si="68"/>
        <v>#DIV/0!</v>
      </c>
      <c r="AZ94" s="1" t="e">
        <f t="shared" si="69"/>
        <v>#DIV/0!</v>
      </c>
    </row>
    <row r="95" spans="1:52" hidden="1" x14ac:dyDescent="0.35">
      <c r="A95" s="29" t="s">
        <v>423</v>
      </c>
      <c r="B95" s="6">
        <v>2.5000000000000001E-2</v>
      </c>
      <c r="C95" s="2" t="e">
        <f>+VLOOKUP(E95,inventario!#REF!,2,0)</f>
        <v>#REF!</v>
      </c>
      <c r="D95" t="str">
        <f t="shared" si="38"/>
        <v>461</v>
      </c>
      <c r="E95" t="s">
        <v>176</v>
      </c>
      <c r="F95" s="6" t="str">
        <f>+IFERROR(VLOOKUP(E95,#REF!,29,0),"C")</f>
        <v>C</v>
      </c>
      <c r="G95" s="6" t="str">
        <f>+IFERROR(VLOOKUP(E95,#REF!,34,0),"C")</f>
        <v>C</v>
      </c>
      <c r="H95" s="64">
        <f>+IFERROR(VLOOKUP(E95,#REF!,31,0),0)</f>
        <v>0</v>
      </c>
      <c r="I95" s="44">
        <f>+IFERROR(VLOOKUP(E95,#REF!,26,0),0)</f>
        <v>0</v>
      </c>
      <c r="J95" s="44">
        <f>+IFERROR(VLOOKUP(E95,#REF!,30,0),0)</f>
        <v>0</v>
      </c>
      <c r="K95" s="3"/>
      <c r="L95" s="25">
        <f t="shared" si="39"/>
        <v>0.7</v>
      </c>
      <c r="M95" s="26">
        <f t="shared" si="40"/>
        <v>0.52440051270804078</v>
      </c>
      <c r="O95">
        <f>+IFERROR(VLOOKUP(D95,lt!A:J,10,0),15)</f>
        <v>17</v>
      </c>
      <c r="P95">
        <v>2</v>
      </c>
      <c r="Q95">
        <v>1</v>
      </c>
      <c r="R95">
        <v>2</v>
      </c>
      <c r="S95" s="22">
        <f t="shared" si="41"/>
        <v>22</v>
      </c>
      <c r="T95" s="9">
        <v>3</v>
      </c>
      <c r="U95" s="23">
        <f t="shared" si="42"/>
        <v>0.83333333333333337</v>
      </c>
      <c r="V95" s="11">
        <f t="shared" si="43"/>
        <v>0</v>
      </c>
      <c r="W95" s="11">
        <f t="shared" si="44"/>
        <v>0</v>
      </c>
      <c r="X95" s="11">
        <f t="shared" si="45"/>
        <v>0</v>
      </c>
      <c r="Y95" s="11">
        <f t="shared" si="46"/>
        <v>0</v>
      </c>
      <c r="Z95" s="65">
        <f t="shared" si="47"/>
        <v>0</v>
      </c>
      <c r="AA95" s="24">
        <f t="shared" si="48"/>
        <v>0</v>
      </c>
      <c r="AB95">
        <f t="shared" si="49"/>
        <v>0</v>
      </c>
      <c r="AC95" s="46">
        <f>+IFERROR(VLOOKUP(E95,#REF!,24,0),0.2)</f>
        <v>0.2</v>
      </c>
      <c r="AD95" s="42">
        <f>+IFERROR(VLOOKUP(E95,h!$C:$D,2,0),0.3866)</f>
        <v>0.38610833333333339</v>
      </c>
      <c r="AE95" s="42">
        <f>+VLOOKUP(A95,k!$A$1:$G$4,5,0)</f>
        <v>0.35799365240740744</v>
      </c>
      <c r="AF95" s="47">
        <f t="shared" si="50"/>
        <v>0.94410198574074089</v>
      </c>
      <c r="AG95" s="48">
        <f t="shared" si="51"/>
        <v>0.1132922382888889</v>
      </c>
      <c r="AH95" s="20">
        <f>+IFERROR(VLOOKUP(C95,k!$A$7:$L$13,7,0),0)</f>
        <v>0</v>
      </c>
      <c r="AI95" s="20">
        <f t="shared" si="52"/>
        <v>0</v>
      </c>
      <c r="AJ95" s="5">
        <f t="shared" si="53"/>
        <v>0</v>
      </c>
      <c r="AK95" s="57">
        <f t="shared" si="54"/>
        <v>0</v>
      </c>
      <c r="AL95" s="19">
        <f t="shared" si="55"/>
        <v>0</v>
      </c>
      <c r="AM95" s="20">
        <f t="shared" si="56"/>
        <v>0</v>
      </c>
      <c r="AN95" s="27">
        <f t="shared" si="57"/>
        <v>0</v>
      </c>
      <c r="AO95" s="57">
        <f t="shared" si="58"/>
        <v>0</v>
      </c>
      <c r="AP95" s="19">
        <f t="shared" si="59"/>
        <v>0</v>
      </c>
      <c r="AQ95" s="20">
        <f t="shared" si="60"/>
        <v>0</v>
      </c>
      <c r="AR95" s="58">
        <f t="shared" si="61"/>
        <v>0</v>
      </c>
      <c r="AS95" s="1">
        <f t="shared" si="62"/>
        <v>0</v>
      </c>
      <c r="AT95" s="21">
        <f t="shared" si="63"/>
        <v>0</v>
      </c>
      <c r="AU95" s="28">
        <f t="shared" si="64"/>
        <v>0</v>
      </c>
      <c r="AV95" s="19">
        <f t="shared" si="65"/>
        <v>0</v>
      </c>
      <c r="AW95" s="19">
        <f t="shared" si="66"/>
        <v>0</v>
      </c>
      <c r="AX95" s="27">
        <f t="shared" si="67"/>
        <v>0</v>
      </c>
      <c r="AY95" s="1" t="e">
        <f t="shared" si="68"/>
        <v>#DIV/0!</v>
      </c>
      <c r="AZ95" s="1" t="e">
        <f t="shared" si="69"/>
        <v>#DIV/0!</v>
      </c>
    </row>
    <row r="96" spans="1:52" hidden="1" x14ac:dyDescent="0.35">
      <c r="A96" s="29" t="s">
        <v>423</v>
      </c>
      <c r="B96" s="6">
        <v>2.5000000000000001E-2</v>
      </c>
      <c r="C96" s="2" t="e">
        <f>+VLOOKUP(E96,inventario!#REF!,2,0)</f>
        <v>#REF!</v>
      </c>
      <c r="D96" t="str">
        <f t="shared" si="38"/>
        <v>459</v>
      </c>
      <c r="E96" t="s">
        <v>981</v>
      </c>
      <c r="F96" s="6" t="str">
        <f>+IFERROR(VLOOKUP(E96,#REF!,29,0),"C")</f>
        <v>C</v>
      </c>
      <c r="G96" s="6" t="str">
        <f>+IFERROR(VLOOKUP(E96,#REF!,34,0),"C")</f>
        <v>C</v>
      </c>
      <c r="H96" s="64">
        <f>+IFERROR(VLOOKUP(E96,#REF!,31,0),0)</f>
        <v>0</v>
      </c>
      <c r="I96" s="44">
        <f>+IFERROR(VLOOKUP(E96,#REF!,26,0),0)</f>
        <v>0</v>
      </c>
      <c r="J96" s="44">
        <f>+IFERROR(VLOOKUP(E96,#REF!,30,0),0)</f>
        <v>0</v>
      </c>
      <c r="K96" s="3"/>
      <c r="L96" s="25">
        <f t="shared" si="39"/>
        <v>0.7</v>
      </c>
      <c r="M96" s="26">
        <f t="shared" si="40"/>
        <v>0.52440051270804078</v>
      </c>
      <c r="O96">
        <f>+IFERROR(VLOOKUP(D96,lt!A:J,10,0),15)</f>
        <v>17</v>
      </c>
      <c r="P96">
        <v>2</v>
      </c>
      <c r="Q96">
        <v>1</v>
      </c>
      <c r="R96">
        <v>2</v>
      </c>
      <c r="S96" s="22">
        <f t="shared" si="41"/>
        <v>22</v>
      </c>
      <c r="T96" s="9">
        <v>3</v>
      </c>
      <c r="U96" s="23">
        <f t="shared" si="42"/>
        <v>0.83333333333333337</v>
      </c>
      <c r="V96" s="11">
        <f t="shared" si="43"/>
        <v>0</v>
      </c>
      <c r="W96" s="11">
        <f t="shared" si="44"/>
        <v>0</v>
      </c>
      <c r="X96" s="11">
        <f t="shared" si="45"/>
        <v>0</v>
      </c>
      <c r="Y96" s="11">
        <f t="shared" si="46"/>
        <v>0</v>
      </c>
      <c r="Z96" s="65">
        <f t="shared" si="47"/>
        <v>0</v>
      </c>
      <c r="AA96" s="24">
        <f t="shared" si="48"/>
        <v>0</v>
      </c>
      <c r="AB96">
        <f t="shared" si="49"/>
        <v>0</v>
      </c>
      <c r="AC96" s="46">
        <f>+IFERROR(VLOOKUP(E96,#REF!,24,0),0.2)</f>
        <v>0.2</v>
      </c>
      <c r="AD96" s="42">
        <f>+IFERROR(VLOOKUP(E96,h!$C:$D,2,0),0.3866)</f>
        <v>0.3866</v>
      </c>
      <c r="AE96" s="42">
        <f>+VLOOKUP(A96,k!$A$1:$G$4,5,0)</f>
        <v>0.35799365240740744</v>
      </c>
      <c r="AF96" s="47">
        <f t="shared" si="50"/>
        <v>0.94459365240740745</v>
      </c>
      <c r="AG96" s="48">
        <f t="shared" si="51"/>
        <v>0.11335123828888889</v>
      </c>
      <c r="AH96" s="20">
        <f>+IFERROR(VLOOKUP(C96,k!$A$7:$L$13,7,0),0)</f>
        <v>0</v>
      </c>
      <c r="AI96" s="20">
        <f t="shared" si="52"/>
        <v>0</v>
      </c>
      <c r="AJ96" s="5">
        <f t="shared" si="53"/>
        <v>0</v>
      </c>
      <c r="AK96" s="57">
        <f t="shared" si="54"/>
        <v>0</v>
      </c>
      <c r="AL96" s="19">
        <f t="shared" si="55"/>
        <v>0</v>
      </c>
      <c r="AM96" s="20">
        <f t="shared" si="56"/>
        <v>0</v>
      </c>
      <c r="AN96" s="27">
        <f t="shared" si="57"/>
        <v>0</v>
      </c>
      <c r="AO96" s="57">
        <f t="shared" si="58"/>
        <v>0</v>
      </c>
      <c r="AP96" s="19">
        <f t="shared" si="59"/>
        <v>0</v>
      </c>
      <c r="AQ96" s="20">
        <f t="shared" si="60"/>
        <v>0</v>
      </c>
      <c r="AR96" s="58">
        <f t="shared" si="61"/>
        <v>0</v>
      </c>
      <c r="AS96" s="1">
        <f t="shared" si="62"/>
        <v>0</v>
      </c>
      <c r="AT96" s="21">
        <f t="shared" si="63"/>
        <v>0</v>
      </c>
      <c r="AU96" s="28">
        <f t="shared" si="64"/>
        <v>0</v>
      </c>
      <c r="AV96" s="19">
        <f t="shared" si="65"/>
        <v>0</v>
      </c>
      <c r="AW96" s="19">
        <f t="shared" si="66"/>
        <v>0</v>
      </c>
      <c r="AX96" s="27">
        <f t="shared" si="67"/>
        <v>0</v>
      </c>
      <c r="AY96" s="1" t="e">
        <f t="shared" si="68"/>
        <v>#DIV/0!</v>
      </c>
      <c r="AZ96" s="1" t="e">
        <f t="shared" si="69"/>
        <v>#DIV/0!</v>
      </c>
    </row>
    <row r="97" spans="1:52" hidden="1" x14ac:dyDescent="0.35">
      <c r="A97" s="29" t="s">
        <v>423</v>
      </c>
      <c r="B97" s="6">
        <v>2.5000000000000001E-2</v>
      </c>
      <c r="C97" s="2" t="e">
        <f>+VLOOKUP(E97,inventario!#REF!,2,0)</f>
        <v>#REF!</v>
      </c>
      <c r="D97" t="str">
        <f t="shared" si="38"/>
        <v>58</v>
      </c>
      <c r="E97" t="s">
        <v>172</v>
      </c>
      <c r="F97" s="6" t="str">
        <f>+IFERROR(VLOOKUP(E97,#REF!,29,0),"C")</f>
        <v>C</v>
      </c>
      <c r="G97" s="6" t="str">
        <f>+IFERROR(VLOOKUP(E97,#REF!,34,0),"C")</f>
        <v>C</v>
      </c>
      <c r="H97" s="64">
        <f>+IFERROR(VLOOKUP(E97,#REF!,31,0),0)</f>
        <v>0</v>
      </c>
      <c r="I97" s="44">
        <f>+IFERROR(VLOOKUP(E97,#REF!,26,0),0)</f>
        <v>0</v>
      </c>
      <c r="J97" s="44">
        <f>+IFERROR(VLOOKUP(E97,#REF!,30,0),0)</f>
        <v>0</v>
      </c>
      <c r="K97" s="3"/>
      <c r="L97" s="25">
        <f t="shared" si="39"/>
        <v>0.7</v>
      </c>
      <c r="M97" s="26">
        <f t="shared" si="40"/>
        <v>0.52440051270804078</v>
      </c>
      <c r="O97">
        <f>+IFERROR(VLOOKUP(D97,lt!A:J,10,0),15)</f>
        <v>15</v>
      </c>
      <c r="P97">
        <v>2</v>
      </c>
      <c r="Q97">
        <v>1</v>
      </c>
      <c r="R97">
        <v>2</v>
      </c>
      <c r="S97" s="22">
        <f t="shared" si="41"/>
        <v>20</v>
      </c>
      <c r="T97" s="9">
        <v>3</v>
      </c>
      <c r="U97" s="23">
        <f t="shared" si="42"/>
        <v>0.76666666666666672</v>
      </c>
      <c r="V97" s="11">
        <f t="shared" si="43"/>
        <v>0</v>
      </c>
      <c r="W97" s="11">
        <f t="shared" si="44"/>
        <v>0</v>
      </c>
      <c r="X97" s="11">
        <f t="shared" si="45"/>
        <v>0</v>
      </c>
      <c r="Y97" s="11">
        <f t="shared" si="46"/>
        <v>0</v>
      </c>
      <c r="Z97" s="65">
        <f t="shared" si="47"/>
        <v>0</v>
      </c>
      <c r="AA97" s="24">
        <f t="shared" si="48"/>
        <v>0</v>
      </c>
      <c r="AB97">
        <f t="shared" si="49"/>
        <v>0</v>
      </c>
      <c r="AC97" s="46">
        <f>+IFERROR(VLOOKUP(E97,#REF!,24,0),0.2)</f>
        <v>0.2</v>
      </c>
      <c r="AD97" s="42">
        <f>+IFERROR(VLOOKUP(E97,h!$C:$D,2,0),0.3866)</f>
        <v>0.38610833333333339</v>
      </c>
      <c r="AE97" s="42">
        <f>+VLOOKUP(A97,k!$A$1:$G$4,5,0)</f>
        <v>0.35799365240740744</v>
      </c>
      <c r="AF97" s="47">
        <f t="shared" si="50"/>
        <v>0.94410198574074089</v>
      </c>
      <c r="AG97" s="48">
        <f t="shared" si="51"/>
        <v>0.1132922382888889</v>
      </c>
      <c r="AH97" s="20">
        <f>+IFERROR(VLOOKUP(C97,k!$A$7:$L$13,7,0),0)</f>
        <v>0</v>
      </c>
      <c r="AI97" s="20">
        <f t="shared" si="52"/>
        <v>0</v>
      </c>
      <c r="AJ97" s="5">
        <f t="shared" si="53"/>
        <v>0</v>
      </c>
      <c r="AK97" s="57">
        <f t="shared" si="54"/>
        <v>0</v>
      </c>
      <c r="AL97" s="19">
        <f t="shared" si="55"/>
        <v>0</v>
      </c>
      <c r="AM97" s="20">
        <f t="shared" si="56"/>
        <v>0</v>
      </c>
      <c r="AN97" s="27">
        <f t="shared" si="57"/>
        <v>0</v>
      </c>
      <c r="AO97" s="57">
        <f t="shared" si="58"/>
        <v>0</v>
      </c>
      <c r="AP97" s="19">
        <f t="shared" si="59"/>
        <v>0</v>
      </c>
      <c r="AQ97" s="20">
        <f t="shared" si="60"/>
        <v>0</v>
      </c>
      <c r="AR97" s="58">
        <f t="shared" si="61"/>
        <v>0</v>
      </c>
      <c r="AS97" s="1">
        <f t="shared" si="62"/>
        <v>0</v>
      </c>
      <c r="AT97" s="21">
        <f t="shared" si="63"/>
        <v>0</v>
      </c>
      <c r="AU97" s="28">
        <f t="shared" si="64"/>
        <v>0</v>
      </c>
      <c r="AV97" s="19">
        <f t="shared" si="65"/>
        <v>0</v>
      </c>
      <c r="AW97" s="19">
        <f t="shared" si="66"/>
        <v>0</v>
      </c>
      <c r="AX97" s="27">
        <f t="shared" si="67"/>
        <v>0</v>
      </c>
      <c r="AY97" s="1" t="e">
        <f t="shared" si="68"/>
        <v>#DIV/0!</v>
      </c>
      <c r="AZ97" s="1" t="e">
        <f t="shared" si="69"/>
        <v>#DIV/0!</v>
      </c>
    </row>
    <row r="98" spans="1:52" hidden="1" x14ac:dyDescent="0.35">
      <c r="A98" s="29" t="s">
        <v>423</v>
      </c>
      <c r="B98" s="6">
        <v>0.03</v>
      </c>
      <c r="C98" s="2" t="e">
        <f>+VLOOKUP(E98,inventario!#REF!,2,0)</f>
        <v>#REF!</v>
      </c>
      <c r="D98" t="str">
        <f t="shared" si="38"/>
        <v>456.9</v>
      </c>
      <c r="E98" t="s">
        <v>158</v>
      </c>
      <c r="F98" s="6" t="str">
        <f>+IFERROR(VLOOKUP(E98,#REF!,29,0),"C")</f>
        <v>C</v>
      </c>
      <c r="G98" s="6" t="str">
        <f>+IFERROR(VLOOKUP(E98,#REF!,34,0),"C")</f>
        <v>C</v>
      </c>
      <c r="H98" s="64">
        <f>+IFERROR(VLOOKUP(E98,#REF!,31,0),0)</f>
        <v>0</v>
      </c>
      <c r="I98" s="44">
        <f>+IFERROR(VLOOKUP(E98,#REF!,26,0),0)</f>
        <v>0</v>
      </c>
      <c r="J98" s="44">
        <f>+IFERROR(VLOOKUP(E98,#REF!,30,0),0)</f>
        <v>0</v>
      </c>
      <c r="K98" s="3"/>
      <c r="L98" s="25">
        <f t="shared" si="39"/>
        <v>0.7</v>
      </c>
      <c r="M98" s="26">
        <f t="shared" si="40"/>
        <v>0.52440051270804078</v>
      </c>
      <c r="O98">
        <f>+IFERROR(VLOOKUP(D98,lt!A:J,10,0),15)</f>
        <v>17</v>
      </c>
      <c r="P98">
        <v>2</v>
      </c>
      <c r="Q98">
        <v>1</v>
      </c>
      <c r="R98">
        <v>2</v>
      </c>
      <c r="S98" s="22">
        <f t="shared" si="41"/>
        <v>22</v>
      </c>
      <c r="T98" s="9">
        <v>3</v>
      </c>
      <c r="U98" s="23">
        <f t="shared" si="42"/>
        <v>0.83333333333333337</v>
      </c>
      <c r="V98" s="11">
        <f t="shared" si="43"/>
        <v>0</v>
      </c>
      <c r="W98" s="11">
        <f t="shared" si="44"/>
        <v>0</v>
      </c>
      <c r="X98" s="11">
        <f t="shared" si="45"/>
        <v>0</v>
      </c>
      <c r="Y98" s="11">
        <f t="shared" si="46"/>
        <v>0</v>
      </c>
      <c r="Z98" s="65">
        <f t="shared" si="47"/>
        <v>0</v>
      </c>
      <c r="AA98" s="24">
        <f t="shared" si="48"/>
        <v>0</v>
      </c>
      <c r="AB98">
        <f t="shared" si="49"/>
        <v>0</v>
      </c>
      <c r="AC98" s="46">
        <f>+IFERROR(VLOOKUP(E98,#REF!,24,0),0.2)</f>
        <v>0.2</v>
      </c>
      <c r="AD98" s="42">
        <f>+IFERROR(VLOOKUP(E98,h!$C:$D,2,0),0.3866)</f>
        <v>0.38610833333333339</v>
      </c>
      <c r="AE98" s="42">
        <f>+VLOOKUP(A98,k!$A$1:$G$4,5,0)</f>
        <v>0.35799365240740744</v>
      </c>
      <c r="AF98" s="47">
        <f t="shared" si="50"/>
        <v>0.94410198574074089</v>
      </c>
      <c r="AG98" s="48">
        <f t="shared" si="51"/>
        <v>0.1132922382888889</v>
      </c>
      <c r="AH98" s="20">
        <f>+IFERROR(VLOOKUP(C98,k!$A$7:$L$13,7,0),0)</f>
        <v>0</v>
      </c>
      <c r="AI98" s="20">
        <f t="shared" si="52"/>
        <v>0</v>
      </c>
      <c r="AJ98" s="5">
        <f t="shared" si="53"/>
        <v>0</v>
      </c>
      <c r="AK98" s="57">
        <f t="shared" si="54"/>
        <v>0</v>
      </c>
      <c r="AL98" s="19">
        <f t="shared" si="55"/>
        <v>0</v>
      </c>
      <c r="AM98" s="20">
        <f t="shared" si="56"/>
        <v>0</v>
      </c>
      <c r="AN98" s="27">
        <f t="shared" si="57"/>
        <v>0</v>
      </c>
      <c r="AO98" s="57">
        <f t="shared" si="58"/>
        <v>0</v>
      </c>
      <c r="AP98" s="19">
        <f t="shared" si="59"/>
        <v>0</v>
      </c>
      <c r="AQ98" s="20">
        <f t="shared" si="60"/>
        <v>0</v>
      </c>
      <c r="AR98" s="58">
        <f t="shared" si="61"/>
        <v>0</v>
      </c>
      <c r="AS98" s="1">
        <f t="shared" si="62"/>
        <v>0</v>
      </c>
      <c r="AT98" s="21">
        <f t="shared" si="63"/>
        <v>0</v>
      </c>
      <c r="AU98" s="28">
        <f t="shared" si="64"/>
        <v>0</v>
      </c>
      <c r="AV98" s="19">
        <f t="shared" si="65"/>
        <v>0</v>
      </c>
      <c r="AW98" s="19">
        <f t="shared" si="66"/>
        <v>0</v>
      </c>
      <c r="AX98" s="27">
        <f t="shared" si="67"/>
        <v>0</v>
      </c>
      <c r="AY98" s="1" t="e">
        <f t="shared" si="68"/>
        <v>#DIV/0!</v>
      </c>
      <c r="AZ98" s="1" t="e">
        <f t="shared" si="69"/>
        <v>#DIV/0!</v>
      </c>
    </row>
    <row r="99" spans="1:52" hidden="1" x14ac:dyDescent="0.35">
      <c r="A99" s="29" t="s">
        <v>423</v>
      </c>
      <c r="B99" s="6">
        <v>2.5000000000000001E-2</v>
      </c>
      <c r="C99" s="2" t="e">
        <f>+VLOOKUP(E99,inventario!#REF!,2,0)</f>
        <v>#REF!</v>
      </c>
      <c r="D99" t="str">
        <f t="shared" si="38"/>
        <v>170</v>
      </c>
      <c r="E99" t="s">
        <v>174</v>
      </c>
      <c r="F99" s="6" t="str">
        <f>+IFERROR(VLOOKUP(E99,#REF!,29,0),"C")</f>
        <v>C</v>
      </c>
      <c r="G99" s="6" t="str">
        <f>+IFERROR(VLOOKUP(E99,#REF!,34,0),"C")</f>
        <v>C</v>
      </c>
      <c r="H99" s="64">
        <f>+IFERROR(VLOOKUP(E99,#REF!,31,0),0)</f>
        <v>0</v>
      </c>
      <c r="I99" s="44">
        <f>+IFERROR(VLOOKUP(E99,#REF!,26,0),0)</f>
        <v>0</v>
      </c>
      <c r="J99" s="44">
        <f>+IFERROR(VLOOKUP(E99,#REF!,30,0),0)</f>
        <v>0</v>
      </c>
      <c r="K99" s="3"/>
      <c r="L99" s="25">
        <f t="shared" si="39"/>
        <v>0.7</v>
      </c>
      <c r="M99" s="26">
        <f t="shared" si="40"/>
        <v>0.52440051270804078</v>
      </c>
      <c r="O99">
        <f>+IFERROR(VLOOKUP(D99,lt!A:J,10,0),15)</f>
        <v>17</v>
      </c>
      <c r="P99">
        <v>2</v>
      </c>
      <c r="Q99">
        <v>1</v>
      </c>
      <c r="R99">
        <v>2</v>
      </c>
      <c r="S99" s="22">
        <f t="shared" si="41"/>
        <v>22</v>
      </c>
      <c r="T99" s="9">
        <v>3</v>
      </c>
      <c r="U99" s="23">
        <f t="shared" si="42"/>
        <v>0.83333333333333337</v>
      </c>
      <c r="V99" s="11">
        <f t="shared" si="43"/>
        <v>0</v>
      </c>
      <c r="W99" s="11">
        <f t="shared" si="44"/>
        <v>0</v>
      </c>
      <c r="X99" s="11">
        <f t="shared" si="45"/>
        <v>0</v>
      </c>
      <c r="Y99" s="11">
        <f t="shared" si="46"/>
        <v>0</v>
      </c>
      <c r="Z99" s="65">
        <f t="shared" si="47"/>
        <v>0</v>
      </c>
      <c r="AA99" s="24">
        <f t="shared" si="48"/>
        <v>0</v>
      </c>
      <c r="AB99">
        <f t="shared" si="49"/>
        <v>0</v>
      </c>
      <c r="AC99" s="46">
        <f>+IFERROR(VLOOKUP(E99,#REF!,24,0),0.2)</f>
        <v>0.2</v>
      </c>
      <c r="AD99" s="42">
        <f>+IFERROR(VLOOKUP(E99,h!$C:$D,2,0),0.3866)</f>
        <v>0.38610833333333339</v>
      </c>
      <c r="AE99" s="42">
        <f>+VLOOKUP(A99,k!$A$1:$G$4,5,0)</f>
        <v>0.35799365240740744</v>
      </c>
      <c r="AF99" s="47">
        <f t="shared" si="50"/>
        <v>0.94410198574074089</v>
      </c>
      <c r="AG99" s="48">
        <f t="shared" si="51"/>
        <v>0.1132922382888889</v>
      </c>
      <c r="AH99" s="20">
        <f>+IFERROR(VLOOKUP(C99,k!$A$7:$L$13,7,0),0)</f>
        <v>0</v>
      </c>
      <c r="AI99" s="20">
        <f t="shared" si="52"/>
        <v>0</v>
      </c>
      <c r="AJ99" s="5">
        <f t="shared" si="53"/>
        <v>0</v>
      </c>
      <c r="AK99" s="57">
        <f t="shared" si="54"/>
        <v>0</v>
      </c>
      <c r="AL99" s="19">
        <f t="shared" si="55"/>
        <v>0</v>
      </c>
      <c r="AM99" s="20">
        <f t="shared" si="56"/>
        <v>0</v>
      </c>
      <c r="AN99" s="27">
        <f t="shared" si="57"/>
        <v>0</v>
      </c>
      <c r="AO99" s="57">
        <f t="shared" si="58"/>
        <v>0</v>
      </c>
      <c r="AP99" s="19">
        <f t="shared" si="59"/>
        <v>0</v>
      </c>
      <c r="AQ99" s="20">
        <f t="shared" si="60"/>
        <v>0</v>
      </c>
      <c r="AR99" s="58">
        <f t="shared" si="61"/>
        <v>0</v>
      </c>
      <c r="AS99" s="1">
        <f t="shared" si="62"/>
        <v>0</v>
      </c>
      <c r="AT99" s="21">
        <f t="shared" si="63"/>
        <v>0</v>
      </c>
      <c r="AU99" s="28">
        <f t="shared" si="64"/>
        <v>0</v>
      </c>
      <c r="AV99" s="19">
        <f t="shared" si="65"/>
        <v>0</v>
      </c>
      <c r="AW99" s="19">
        <f t="shared" si="66"/>
        <v>0</v>
      </c>
      <c r="AX99" s="27">
        <f t="shared" si="67"/>
        <v>0</v>
      </c>
      <c r="AY99" s="1" t="e">
        <f t="shared" si="68"/>
        <v>#DIV/0!</v>
      </c>
      <c r="AZ99" s="1" t="e">
        <f t="shared" si="69"/>
        <v>#DIV/0!</v>
      </c>
    </row>
    <row r="100" spans="1:52" hidden="1" x14ac:dyDescent="0.35">
      <c r="A100" s="29" t="s">
        <v>423</v>
      </c>
      <c r="B100" s="6">
        <v>0.02</v>
      </c>
      <c r="C100" s="2" t="e">
        <f>+VLOOKUP(E100,inventario!#REF!,2,0)</f>
        <v>#REF!</v>
      </c>
      <c r="D100" t="str">
        <f t="shared" si="38"/>
        <v>981.2</v>
      </c>
      <c r="E100" t="s">
        <v>171</v>
      </c>
      <c r="F100" s="6" t="str">
        <f>+IFERROR(VLOOKUP(E100,#REF!,29,0),"C")</f>
        <v>C</v>
      </c>
      <c r="G100" s="6" t="str">
        <f>+IFERROR(VLOOKUP(E100,#REF!,34,0),"C")</f>
        <v>C</v>
      </c>
      <c r="H100" s="64">
        <f>+IFERROR(VLOOKUP(E100,#REF!,31,0),0)</f>
        <v>0</v>
      </c>
      <c r="I100" s="44">
        <f>+IFERROR(VLOOKUP(E100,#REF!,26,0),0)</f>
        <v>0</v>
      </c>
      <c r="J100" s="44">
        <f>+IFERROR(VLOOKUP(E100,#REF!,30,0),0)</f>
        <v>0</v>
      </c>
      <c r="K100" s="3"/>
      <c r="L100" s="25">
        <f t="shared" si="39"/>
        <v>0.7</v>
      </c>
      <c r="M100" s="26">
        <f t="shared" si="40"/>
        <v>0.52440051270804078</v>
      </c>
      <c r="O100">
        <f>+IFERROR(VLOOKUP(D100,lt!A:J,10,0),15)</f>
        <v>17</v>
      </c>
      <c r="P100">
        <v>2</v>
      </c>
      <c r="Q100">
        <v>1</v>
      </c>
      <c r="R100">
        <v>2</v>
      </c>
      <c r="S100" s="22">
        <f t="shared" si="41"/>
        <v>22</v>
      </c>
      <c r="T100" s="9">
        <v>3</v>
      </c>
      <c r="U100" s="23">
        <f t="shared" si="42"/>
        <v>0.83333333333333337</v>
      </c>
      <c r="V100" s="11">
        <f t="shared" si="43"/>
        <v>0</v>
      </c>
      <c r="W100" s="11">
        <f t="shared" si="44"/>
        <v>0</v>
      </c>
      <c r="X100" s="11">
        <f t="shared" si="45"/>
        <v>0</v>
      </c>
      <c r="Y100" s="11">
        <f t="shared" si="46"/>
        <v>0</v>
      </c>
      <c r="Z100" s="65">
        <f t="shared" si="47"/>
        <v>0</v>
      </c>
      <c r="AA100" s="24">
        <f t="shared" si="48"/>
        <v>0</v>
      </c>
      <c r="AB100">
        <f t="shared" si="49"/>
        <v>0</v>
      </c>
      <c r="AC100" s="46">
        <f>+IFERROR(VLOOKUP(E100,#REF!,24,0),0.2)</f>
        <v>0.2</v>
      </c>
      <c r="AD100" s="42">
        <f>+IFERROR(VLOOKUP(E100,h!$C:$D,2,0),0.3866)</f>
        <v>0.38610833333333339</v>
      </c>
      <c r="AE100" s="42">
        <f>+VLOOKUP(A100,k!$A$1:$G$4,5,0)</f>
        <v>0.35799365240740744</v>
      </c>
      <c r="AF100" s="47">
        <f t="shared" si="50"/>
        <v>0.94410198574074089</v>
      </c>
      <c r="AG100" s="48">
        <f t="shared" si="51"/>
        <v>0.1132922382888889</v>
      </c>
      <c r="AH100" s="20">
        <f>+IFERROR(VLOOKUP(C100,k!$A$7:$L$13,7,0),0)</f>
        <v>0</v>
      </c>
      <c r="AI100" s="20">
        <f t="shared" si="52"/>
        <v>0</v>
      </c>
      <c r="AJ100" s="5">
        <f t="shared" si="53"/>
        <v>0</v>
      </c>
      <c r="AK100" s="57">
        <f t="shared" si="54"/>
        <v>0</v>
      </c>
      <c r="AL100" s="19">
        <f t="shared" si="55"/>
        <v>0</v>
      </c>
      <c r="AM100" s="20">
        <f t="shared" si="56"/>
        <v>0</v>
      </c>
      <c r="AN100" s="27">
        <f t="shared" si="57"/>
        <v>0</v>
      </c>
      <c r="AO100" s="57">
        <f t="shared" si="58"/>
        <v>0</v>
      </c>
      <c r="AP100" s="19">
        <f t="shared" si="59"/>
        <v>0</v>
      </c>
      <c r="AQ100" s="20">
        <f t="shared" si="60"/>
        <v>0</v>
      </c>
      <c r="AR100" s="58">
        <f t="shared" si="61"/>
        <v>0</v>
      </c>
      <c r="AS100" s="1">
        <f t="shared" si="62"/>
        <v>0</v>
      </c>
      <c r="AT100" s="21">
        <f t="shared" si="63"/>
        <v>0</v>
      </c>
      <c r="AU100" s="28">
        <f t="shared" si="64"/>
        <v>0</v>
      </c>
      <c r="AV100" s="19">
        <f t="shared" si="65"/>
        <v>0</v>
      </c>
      <c r="AW100" s="19">
        <f t="shared" si="66"/>
        <v>0</v>
      </c>
      <c r="AX100" s="27">
        <f t="shared" si="67"/>
        <v>0</v>
      </c>
      <c r="AY100" s="1" t="e">
        <f t="shared" si="68"/>
        <v>#DIV/0!</v>
      </c>
      <c r="AZ100" s="1" t="e">
        <f t="shared" si="69"/>
        <v>#DIV/0!</v>
      </c>
    </row>
    <row r="101" spans="1:52" hidden="1" x14ac:dyDescent="0.35">
      <c r="A101" s="29" t="s">
        <v>423</v>
      </c>
      <c r="B101" s="6">
        <v>0.02</v>
      </c>
      <c r="C101" s="2" t="e">
        <f>+VLOOKUP(E101,inventario!#REF!,2,0)</f>
        <v>#REF!</v>
      </c>
      <c r="D101" t="str">
        <f t="shared" si="38"/>
        <v>442.4</v>
      </c>
      <c r="E101" t="s">
        <v>164</v>
      </c>
      <c r="F101" s="6" t="str">
        <f>+IFERROR(VLOOKUP(E101,#REF!,29,0),"C")</f>
        <v>C</v>
      </c>
      <c r="G101" s="6" t="str">
        <f>+IFERROR(VLOOKUP(E101,#REF!,34,0),"C")</f>
        <v>C</v>
      </c>
      <c r="H101" s="64">
        <f>+IFERROR(VLOOKUP(E101,#REF!,31,0),0)</f>
        <v>0</v>
      </c>
      <c r="I101" s="44">
        <f>+IFERROR(VLOOKUP(E101,#REF!,26,0),0)</f>
        <v>0</v>
      </c>
      <c r="J101" s="44">
        <f>+IFERROR(VLOOKUP(E101,#REF!,30,0),0)</f>
        <v>0</v>
      </c>
      <c r="K101" s="3"/>
      <c r="L101" s="25">
        <f t="shared" si="39"/>
        <v>0.7</v>
      </c>
      <c r="M101" s="26">
        <f t="shared" si="40"/>
        <v>0.52440051270804078</v>
      </c>
      <c r="O101">
        <f>+IFERROR(VLOOKUP(D101,lt!A:J,10,0),15)</f>
        <v>95</v>
      </c>
      <c r="P101">
        <v>2</v>
      </c>
      <c r="Q101">
        <v>1</v>
      </c>
      <c r="R101">
        <v>2</v>
      </c>
      <c r="S101" s="22">
        <f t="shared" si="41"/>
        <v>100</v>
      </c>
      <c r="T101" s="9">
        <v>3</v>
      </c>
      <c r="U101" s="23">
        <f t="shared" si="42"/>
        <v>3.4333333333333331</v>
      </c>
      <c r="V101" s="11">
        <f t="shared" si="43"/>
        <v>0</v>
      </c>
      <c r="W101" s="11">
        <f t="shared" si="44"/>
        <v>0</v>
      </c>
      <c r="X101" s="11">
        <f t="shared" si="45"/>
        <v>0</v>
      </c>
      <c r="Y101" s="11">
        <f t="shared" si="46"/>
        <v>0</v>
      </c>
      <c r="Z101" s="65">
        <f t="shared" si="47"/>
        <v>0</v>
      </c>
      <c r="AA101" s="24">
        <f t="shared" si="48"/>
        <v>0</v>
      </c>
      <c r="AB101">
        <f t="shared" si="49"/>
        <v>0</v>
      </c>
      <c r="AC101" s="46">
        <f>+IFERROR(VLOOKUP(E101,#REF!,24,0),0.2)</f>
        <v>0.2</v>
      </c>
      <c r="AD101" s="42">
        <f>+IFERROR(VLOOKUP(E101,h!$C:$D,2,0),0.3866)</f>
        <v>0.38610833333333339</v>
      </c>
      <c r="AE101" s="42">
        <f>+VLOOKUP(A101,k!$A$1:$G$4,5,0)</f>
        <v>0.35799365240740744</v>
      </c>
      <c r="AF101" s="47">
        <f t="shared" si="50"/>
        <v>0.94410198574074089</v>
      </c>
      <c r="AG101" s="48">
        <f t="shared" si="51"/>
        <v>0.1132922382888889</v>
      </c>
      <c r="AH101" s="20">
        <f>+IFERROR(VLOOKUP(C101,k!$A$7:$L$13,7,0),0)</f>
        <v>0</v>
      </c>
      <c r="AI101" s="20">
        <f t="shared" si="52"/>
        <v>0</v>
      </c>
      <c r="AJ101" s="5">
        <f t="shared" si="53"/>
        <v>0</v>
      </c>
      <c r="AK101" s="57">
        <f t="shared" si="54"/>
        <v>0</v>
      </c>
      <c r="AL101" s="19">
        <f t="shared" si="55"/>
        <v>0</v>
      </c>
      <c r="AM101" s="20">
        <f t="shared" si="56"/>
        <v>0</v>
      </c>
      <c r="AN101" s="27">
        <f t="shared" si="57"/>
        <v>0</v>
      </c>
      <c r="AO101" s="57">
        <f t="shared" ref="AO101:AO120" si="70">+CEILING(IFERROR(SQRT(2*AI101*I101/AG101),0),B101)</f>
        <v>0</v>
      </c>
      <c r="AP101" s="19">
        <f t="shared" si="59"/>
        <v>0</v>
      </c>
      <c r="AQ101" s="20">
        <f t="shared" si="60"/>
        <v>0</v>
      </c>
      <c r="AR101" s="58">
        <f t="shared" si="61"/>
        <v>0</v>
      </c>
      <c r="AS101" s="1">
        <f t="shared" si="62"/>
        <v>0</v>
      </c>
      <c r="AT101" s="21">
        <f t="shared" si="63"/>
        <v>0</v>
      </c>
      <c r="AU101" s="28">
        <f t="shared" si="64"/>
        <v>0</v>
      </c>
      <c r="AV101" s="19">
        <f t="shared" si="65"/>
        <v>0</v>
      </c>
      <c r="AW101" s="19">
        <f t="shared" si="66"/>
        <v>0</v>
      </c>
      <c r="AX101" s="27">
        <f t="shared" si="67"/>
        <v>0</v>
      </c>
      <c r="AY101" s="1" t="e">
        <f t="shared" si="68"/>
        <v>#DIV/0!</v>
      </c>
      <c r="AZ101" s="1" t="e">
        <f t="shared" si="69"/>
        <v>#DIV/0!</v>
      </c>
    </row>
    <row r="102" spans="1:52" hidden="1" x14ac:dyDescent="0.35">
      <c r="A102" s="29" t="s">
        <v>423</v>
      </c>
      <c r="B102" s="6">
        <v>0.02</v>
      </c>
      <c r="C102" s="2" t="e">
        <f>+VLOOKUP(E102,inventario!#REF!,2,0)</f>
        <v>#REF!</v>
      </c>
      <c r="D102" t="str">
        <f t="shared" si="38"/>
        <v>549.1</v>
      </c>
      <c r="E102" t="s">
        <v>92</v>
      </c>
      <c r="F102" s="6" t="str">
        <f>+IFERROR(VLOOKUP(E102,#REF!,29,0),"C")</f>
        <v>C</v>
      </c>
      <c r="G102" s="6" t="str">
        <f>+IFERROR(VLOOKUP(E102,#REF!,34,0),"C")</f>
        <v>C</v>
      </c>
      <c r="H102" s="64">
        <f>+IFERROR(VLOOKUP(E102,#REF!,31,0),0)</f>
        <v>0</v>
      </c>
      <c r="I102" s="44">
        <f>+IFERROR(VLOOKUP(E102,#REF!,26,0),0)</f>
        <v>0</v>
      </c>
      <c r="J102" s="44">
        <f>+IFERROR(VLOOKUP(E102,#REF!,30,0),0)</f>
        <v>0</v>
      </c>
      <c r="K102" s="3"/>
      <c r="L102" s="25">
        <f t="shared" si="39"/>
        <v>0.7</v>
      </c>
      <c r="M102" s="26">
        <f t="shared" si="40"/>
        <v>0.52440051270804078</v>
      </c>
      <c r="O102">
        <f>+IFERROR(VLOOKUP(D102,lt!A:J,10,0),15)</f>
        <v>15</v>
      </c>
      <c r="P102">
        <v>2</v>
      </c>
      <c r="Q102">
        <v>1</v>
      </c>
      <c r="R102">
        <v>2</v>
      </c>
      <c r="S102" s="22">
        <f t="shared" si="41"/>
        <v>20</v>
      </c>
      <c r="T102" s="9">
        <v>3</v>
      </c>
      <c r="U102" s="23">
        <f t="shared" si="42"/>
        <v>0.76666666666666672</v>
      </c>
      <c r="V102" s="11">
        <f t="shared" si="43"/>
        <v>0</v>
      </c>
      <c r="W102" s="11">
        <f t="shared" si="44"/>
        <v>0</v>
      </c>
      <c r="X102" s="11">
        <f t="shared" si="45"/>
        <v>0</v>
      </c>
      <c r="Y102" s="11">
        <f t="shared" si="46"/>
        <v>0</v>
      </c>
      <c r="Z102" s="65">
        <f t="shared" si="47"/>
        <v>0</v>
      </c>
      <c r="AA102" s="24">
        <f t="shared" si="48"/>
        <v>0</v>
      </c>
      <c r="AB102">
        <f t="shared" si="49"/>
        <v>0</v>
      </c>
      <c r="AC102" s="46">
        <f>+IFERROR(VLOOKUP(E102,#REF!,24,0),0.2)</f>
        <v>0.2</v>
      </c>
      <c r="AD102" s="42">
        <f>+IFERROR(VLOOKUP(E102,h!$C:$D,2,0),0.3866)</f>
        <v>0.38610833333333339</v>
      </c>
      <c r="AE102" s="42">
        <f>+VLOOKUP(A102,k!$A$1:$G$4,5,0)</f>
        <v>0.35799365240740744</v>
      </c>
      <c r="AF102" s="47">
        <f t="shared" si="50"/>
        <v>0.94410198574074089</v>
      </c>
      <c r="AG102" s="48">
        <f t="shared" si="51"/>
        <v>0.1132922382888889</v>
      </c>
      <c r="AH102" s="20">
        <f>+IFERROR(VLOOKUP(C102,k!$A$7:$L$13,7,0),0)</f>
        <v>0</v>
      </c>
      <c r="AI102" s="20">
        <f t="shared" si="52"/>
        <v>0</v>
      </c>
      <c r="AJ102" s="5">
        <f t="shared" si="53"/>
        <v>0</v>
      </c>
      <c r="AK102" s="57">
        <f t="shared" si="54"/>
        <v>0</v>
      </c>
      <c r="AL102" s="19">
        <f t="shared" si="55"/>
        <v>0</v>
      </c>
      <c r="AM102" s="20">
        <f t="shared" si="56"/>
        <v>0</v>
      </c>
      <c r="AN102" s="27">
        <f t="shared" si="57"/>
        <v>0</v>
      </c>
      <c r="AO102" s="57">
        <f t="shared" si="70"/>
        <v>0</v>
      </c>
      <c r="AP102" s="19">
        <f t="shared" si="59"/>
        <v>0</v>
      </c>
      <c r="AQ102" s="20">
        <f t="shared" si="60"/>
        <v>0</v>
      </c>
      <c r="AR102" s="58">
        <f t="shared" si="61"/>
        <v>0</v>
      </c>
      <c r="AS102" s="1">
        <f t="shared" si="62"/>
        <v>0</v>
      </c>
      <c r="AT102" s="21">
        <f t="shared" si="63"/>
        <v>0</v>
      </c>
      <c r="AU102" s="28">
        <f t="shared" si="64"/>
        <v>0</v>
      </c>
      <c r="AV102" s="19">
        <f t="shared" si="65"/>
        <v>0</v>
      </c>
      <c r="AW102" s="19">
        <f t="shared" si="66"/>
        <v>0</v>
      </c>
      <c r="AX102" s="27">
        <f t="shared" si="67"/>
        <v>0</v>
      </c>
      <c r="AY102" s="1" t="e">
        <f t="shared" si="68"/>
        <v>#DIV/0!</v>
      </c>
      <c r="AZ102" s="1" t="e">
        <f t="shared" si="69"/>
        <v>#DIV/0!</v>
      </c>
    </row>
    <row r="103" spans="1:52" hidden="1" x14ac:dyDescent="0.35">
      <c r="A103" s="29" t="s">
        <v>423</v>
      </c>
      <c r="B103" s="6">
        <v>2.5000000000000001E-2</v>
      </c>
      <c r="C103" s="2" t="e">
        <f>+VLOOKUP(E103,inventario!#REF!,2,0)</f>
        <v>#REF!</v>
      </c>
      <c r="D103" t="str">
        <f t="shared" si="38"/>
        <v>70</v>
      </c>
      <c r="E103" t="s">
        <v>159</v>
      </c>
      <c r="F103" s="6" t="str">
        <f>+IFERROR(VLOOKUP(E103,#REF!,29,0),"C")</f>
        <v>C</v>
      </c>
      <c r="G103" s="6" t="str">
        <f>+IFERROR(VLOOKUP(E103,#REF!,34,0),"C")</f>
        <v>C</v>
      </c>
      <c r="H103" s="64">
        <f>+IFERROR(VLOOKUP(E103,#REF!,31,0),0)</f>
        <v>0</v>
      </c>
      <c r="I103" s="44">
        <f>+IFERROR(VLOOKUP(E103,#REF!,26,0),0)</f>
        <v>0</v>
      </c>
      <c r="J103" s="44">
        <f>+IFERROR(VLOOKUP(E103,#REF!,30,0),0)</f>
        <v>0</v>
      </c>
      <c r="K103" s="3"/>
      <c r="L103" s="25">
        <f t="shared" si="39"/>
        <v>0.7</v>
      </c>
      <c r="M103" s="26">
        <f t="shared" si="40"/>
        <v>0.52440051270804078</v>
      </c>
      <c r="O103">
        <f>+IFERROR(VLOOKUP(D103,lt!A:J,10,0),15)</f>
        <v>17</v>
      </c>
      <c r="P103">
        <v>2</v>
      </c>
      <c r="Q103">
        <v>1</v>
      </c>
      <c r="R103">
        <v>2</v>
      </c>
      <c r="S103" s="22">
        <f t="shared" si="41"/>
        <v>22</v>
      </c>
      <c r="T103" s="9">
        <v>3</v>
      </c>
      <c r="U103" s="23">
        <f t="shared" si="42"/>
        <v>0.83333333333333337</v>
      </c>
      <c r="V103" s="11">
        <f t="shared" si="43"/>
        <v>0</v>
      </c>
      <c r="W103" s="11">
        <f t="shared" si="44"/>
        <v>0</v>
      </c>
      <c r="X103" s="11">
        <f t="shared" si="45"/>
        <v>0</v>
      </c>
      <c r="Y103" s="11">
        <f t="shared" si="46"/>
        <v>0</v>
      </c>
      <c r="Z103" s="65">
        <f t="shared" si="47"/>
        <v>0</v>
      </c>
      <c r="AA103" s="24">
        <f t="shared" si="48"/>
        <v>0</v>
      </c>
      <c r="AB103">
        <f t="shared" si="49"/>
        <v>0</v>
      </c>
      <c r="AC103" s="46">
        <f>+IFERROR(VLOOKUP(E103,#REF!,24,0),0.2)</f>
        <v>0.2</v>
      </c>
      <c r="AD103" s="42">
        <f>+IFERROR(VLOOKUP(E103,h!$C:$D,2,0),0.3866)</f>
        <v>0.38610833333333339</v>
      </c>
      <c r="AE103" s="42">
        <f>+VLOOKUP(A103,k!$A$1:$G$4,5,0)</f>
        <v>0.35799365240740744</v>
      </c>
      <c r="AF103" s="47">
        <f t="shared" si="50"/>
        <v>0.94410198574074089</v>
      </c>
      <c r="AG103" s="48">
        <f t="shared" si="51"/>
        <v>0.1132922382888889</v>
      </c>
      <c r="AH103" s="20">
        <f>+IFERROR(VLOOKUP(C103,k!$A$7:$L$13,7,0),0)</f>
        <v>0</v>
      </c>
      <c r="AI103" s="20">
        <f t="shared" si="52"/>
        <v>0</v>
      </c>
      <c r="AJ103" s="5">
        <f t="shared" si="53"/>
        <v>0</v>
      </c>
      <c r="AK103" s="57">
        <f t="shared" si="54"/>
        <v>0</v>
      </c>
      <c r="AL103" s="19">
        <f t="shared" si="55"/>
        <v>0</v>
      </c>
      <c r="AM103" s="20">
        <f t="shared" si="56"/>
        <v>0</v>
      </c>
      <c r="AN103" s="27">
        <f t="shared" si="57"/>
        <v>0</v>
      </c>
      <c r="AO103" s="57">
        <f t="shared" si="70"/>
        <v>0</v>
      </c>
      <c r="AP103" s="19">
        <f t="shared" si="59"/>
        <v>0</v>
      </c>
      <c r="AQ103" s="20">
        <f t="shared" si="60"/>
        <v>0</v>
      </c>
      <c r="AR103" s="58">
        <f t="shared" si="61"/>
        <v>0</v>
      </c>
      <c r="AS103" s="1">
        <f t="shared" si="62"/>
        <v>0</v>
      </c>
      <c r="AT103" s="21">
        <f t="shared" si="63"/>
        <v>0</v>
      </c>
      <c r="AU103" s="28">
        <f t="shared" si="64"/>
        <v>0</v>
      </c>
      <c r="AV103" s="19">
        <f t="shared" si="65"/>
        <v>0</v>
      </c>
      <c r="AW103" s="19">
        <f t="shared" si="66"/>
        <v>0</v>
      </c>
      <c r="AX103" s="27">
        <f t="shared" si="67"/>
        <v>0</v>
      </c>
      <c r="AY103" s="1" t="e">
        <f t="shared" si="68"/>
        <v>#DIV/0!</v>
      </c>
      <c r="AZ103" s="1" t="e">
        <f t="shared" si="69"/>
        <v>#DIV/0!</v>
      </c>
    </row>
    <row r="104" spans="1:52" hidden="1" x14ac:dyDescent="0.35">
      <c r="A104" s="29" t="s">
        <v>423</v>
      </c>
      <c r="B104" s="6">
        <v>2.5000000000000001E-2</v>
      </c>
      <c r="C104" s="2" t="e">
        <f>+VLOOKUP(E104,inventario!#REF!,2,0)</f>
        <v>#REF!</v>
      </c>
      <c r="D104" t="str">
        <f t="shared" si="38"/>
        <v>499.12</v>
      </c>
      <c r="E104" t="s">
        <v>972</v>
      </c>
      <c r="F104" s="6" t="str">
        <f>+IFERROR(VLOOKUP(E104,#REF!,29,0),"C")</f>
        <v>C</v>
      </c>
      <c r="G104" s="6" t="str">
        <f>+IFERROR(VLOOKUP(E104,#REF!,34,0),"C")</f>
        <v>C</v>
      </c>
      <c r="H104" s="64">
        <f>+IFERROR(VLOOKUP(E104,#REF!,31,0),0)</f>
        <v>0</v>
      </c>
      <c r="I104" s="44">
        <f>+IFERROR(VLOOKUP(E104,#REF!,26,0),0)</f>
        <v>0</v>
      </c>
      <c r="J104" s="44">
        <f>+IFERROR(VLOOKUP(E104,#REF!,30,0),0)</f>
        <v>0</v>
      </c>
      <c r="K104" s="3"/>
      <c r="L104" s="25">
        <f t="shared" si="39"/>
        <v>0.7</v>
      </c>
      <c r="M104" s="26">
        <f t="shared" si="40"/>
        <v>0.52440051270804078</v>
      </c>
      <c r="O104">
        <f>+IFERROR(VLOOKUP(D104,lt!A:J,10,0),15)</f>
        <v>17</v>
      </c>
      <c r="P104">
        <v>2</v>
      </c>
      <c r="Q104">
        <v>1</v>
      </c>
      <c r="R104">
        <v>2</v>
      </c>
      <c r="S104" s="22">
        <f t="shared" si="41"/>
        <v>22</v>
      </c>
      <c r="T104" s="9">
        <v>3</v>
      </c>
      <c r="U104" s="23">
        <f t="shared" si="42"/>
        <v>0.83333333333333337</v>
      </c>
      <c r="V104" s="11">
        <f t="shared" si="43"/>
        <v>0</v>
      </c>
      <c r="W104" s="11">
        <f t="shared" si="44"/>
        <v>0</v>
      </c>
      <c r="X104" s="11">
        <f t="shared" si="45"/>
        <v>0</v>
      </c>
      <c r="Y104" s="11">
        <f t="shared" si="46"/>
        <v>0</v>
      </c>
      <c r="Z104" s="65">
        <f t="shared" si="47"/>
        <v>0</v>
      </c>
      <c r="AA104" s="24">
        <f t="shared" si="48"/>
        <v>0</v>
      </c>
      <c r="AB104">
        <f t="shared" si="49"/>
        <v>0</v>
      </c>
      <c r="AC104" s="46">
        <f>+IFERROR(VLOOKUP(E104,#REF!,24,0),0.2)</f>
        <v>0.2</v>
      </c>
      <c r="AD104" s="42">
        <f>+IFERROR(VLOOKUP(E104,h!$C:$D,2,0),0.3866)</f>
        <v>0.38610833333333339</v>
      </c>
      <c r="AE104" s="42">
        <f>+VLOOKUP(A104,k!$A$1:$G$4,5,0)</f>
        <v>0.35799365240740744</v>
      </c>
      <c r="AF104" s="47">
        <f t="shared" si="50"/>
        <v>0.94410198574074089</v>
      </c>
      <c r="AG104" s="48">
        <f t="shared" si="51"/>
        <v>0.1132922382888889</v>
      </c>
      <c r="AH104" s="20">
        <f>+IFERROR(VLOOKUP(C104,k!$A$7:$L$13,7,0),0)</f>
        <v>0</v>
      </c>
      <c r="AI104" s="20">
        <f t="shared" si="52"/>
        <v>0</v>
      </c>
      <c r="AJ104" s="5">
        <f t="shared" si="53"/>
        <v>0</v>
      </c>
      <c r="AK104" s="57">
        <f t="shared" si="54"/>
        <v>0</v>
      </c>
      <c r="AL104" s="19">
        <f t="shared" si="55"/>
        <v>0</v>
      </c>
      <c r="AM104" s="20">
        <f t="shared" si="56"/>
        <v>0</v>
      </c>
      <c r="AN104" s="27">
        <f t="shared" si="57"/>
        <v>0</v>
      </c>
      <c r="AO104" s="57">
        <f t="shared" si="70"/>
        <v>0</v>
      </c>
      <c r="AP104" s="19">
        <f t="shared" si="59"/>
        <v>0</v>
      </c>
      <c r="AQ104" s="20">
        <f t="shared" si="60"/>
        <v>0</v>
      </c>
      <c r="AR104" s="58">
        <f t="shared" si="61"/>
        <v>0</v>
      </c>
      <c r="AS104" s="1">
        <f t="shared" si="62"/>
        <v>0</v>
      </c>
      <c r="AT104" s="21">
        <f t="shared" si="63"/>
        <v>0</v>
      </c>
      <c r="AU104" s="28">
        <f t="shared" si="64"/>
        <v>0</v>
      </c>
      <c r="AV104" s="19">
        <f t="shared" si="65"/>
        <v>0</v>
      </c>
      <c r="AW104" s="19">
        <f t="shared" si="66"/>
        <v>0</v>
      </c>
      <c r="AX104" s="27">
        <f t="shared" si="67"/>
        <v>0</v>
      </c>
      <c r="AY104" s="1" t="e">
        <f t="shared" si="68"/>
        <v>#DIV/0!</v>
      </c>
      <c r="AZ104" s="1" t="e">
        <f t="shared" si="69"/>
        <v>#DIV/0!</v>
      </c>
    </row>
    <row r="105" spans="1:52" hidden="1" x14ac:dyDescent="0.35">
      <c r="A105" s="29" t="s">
        <v>423</v>
      </c>
      <c r="B105" s="6">
        <v>0.02</v>
      </c>
      <c r="C105" s="2" t="e">
        <f>+VLOOKUP(E105,inventario!#REF!,2,0)</f>
        <v>#REF!</v>
      </c>
      <c r="D105" t="str">
        <f t="shared" si="38"/>
        <v>936</v>
      </c>
      <c r="E105" t="s">
        <v>85</v>
      </c>
      <c r="F105" s="6" t="str">
        <f>+IFERROR(VLOOKUP(E105,#REF!,29,0),"C")</f>
        <v>C</v>
      </c>
      <c r="G105" s="6" t="str">
        <f>+IFERROR(VLOOKUP(E105,#REF!,34,0),"C")</f>
        <v>C</v>
      </c>
      <c r="H105" s="64">
        <f>+IFERROR(VLOOKUP(E105,#REF!,31,0),0)</f>
        <v>0</v>
      </c>
      <c r="I105" s="44">
        <f>+IFERROR(VLOOKUP(E105,#REF!,26,0),0)</f>
        <v>0</v>
      </c>
      <c r="J105" s="44">
        <f>+IFERROR(VLOOKUP(E105,#REF!,30,0),0)</f>
        <v>0</v>
      </c>
      <c r="K105" s="3"/>
      <c r="L105" s="25">
        <f t="shared" si="39"/>
        <v>0.7</v>
      </c>
      <c r="M105" s="26">
        <f t="shared" si="40"/>
        <v>0.52440051270804078</v>
      </c>
      <c r="O105">
        <f>+IFERROR(VLOOKUP(D105,lt!A:J,10,0),15)</f>
        <v>17</v>
      </c>
      <c r="P105">
        <v>2</v>
      </c>
      <c r="Q105">
        <v>1</v>
      </c>
      <c r="R105">
        <v>2</v>
      </c>
      <c r="S105" s="22">
        <f t="shared" si="41"/>
        <v>22</v>
      </c>
      <c r="T105" s="9">
        <v>3</v>
      </c>
      <c r="U105" s="23">
        <f t="shared" si="42"/>
        <v>0.83333333333333337</v>
      </c>
      <c r="V105" s="11">
        <f t="shared" si="43"/>
        <v>0</v>
      </c>
      <c r="W105" s="11">
        <f t="shared" si="44"/>
        <v>0</v>
      </c>
      <c r="X105" s="11">
        <f t="shared" si="45"/>
        <v>0</v>
      </c>
      <c r="Y105" s="11">
        <f t="shared" si="46"/>
        <v>0</v>
      </c>
      <c r="Z105" s="65">
        <f t="shared" si="47"/>
        <v>0</v>
      </c>
      <c r="AA105" s="24">
        <f t="shared" si="48"/>
        <v>0</v>
      </c>
      <c r="AB105">
        <f t="shared" si="49"/>
        <v>0</v>
      </c>
      <c r="AC105" s="46">
        <f>+IFERROR(VLOOKUP(E105,#REF!,24,0),0.2)</f>
        <v>0.2</v>
      </c>
      <c r="AD105" s="42">
        <f>+IFERROR(VLOOKUP(E105,h!$C:$D,2,0),0.3866)</f>
        <v>0.38610833333333339</v>
      </c>
      <c r="AE105" s="42">
        <f>+VLOOKUP(A105,k!$A$1:$G$4,5,0)</f>
        <v>0.35799365240740744</v>
      </c>
      <c r="AF105" s="47">
        <f t="shared" si="50"/>
        <v>0.94410198574074089</v>
      </c>
      <c r="AG105" s="48">
        <f t="shared" si="51"/>
        <v>0.1132922382888889</v>
      </c>
      <c r="AH105" s="20">
        <f>+IFERROR(VLOOKUP(C105,k!$A$7:$L$13,7,0),0)</f>
        <v>0</v>
      </c>
      <c r="AI105" s="20">
        <f t="shared" si="52"/>
        <v>0</v>
      </c>
      <c r="AJ105" s="5">
        <f t="shared" si="53"/>
        <v>0</v>
      </c>
      <c r="AK105" s="57">
        <f t="shared" si="54"/>
        <v>0</v>
      </c>
      <c r="AL105" s="19">
        <f t="shared" si="55"/>
        <v>0</v>
      </c>
      <c r="AM105" s="20">
        <f t="shared" si="56"/>
        <v>0</v>
      </c>
      <c r="AN105" s="27">
        <f t="shared" si="57"/>
        <v>0</v>
      </c>
      <c r="AO105" s="57">
        <f t="shared" si="70"/>
        <v>0</v>
      </c>
      <c r="AP105" s="19">
        <f t="shared" si="59"/>
        <v>0</v>
      </c>
      <c r="AQ105" s="20">
        <f t="shared" si="60"/>
        <v>0</v>
      </c>
      <c r="AR105" s="58">
        <f t="shared" si="61"/>
        <v>0</v>
      </c>
      <c r="AS105" s="1">
        <f t="shared" si="62"/>
        <v>0</v>
      </c>
      <c r="AT105" s="21">
        <f t="shared" si="63"/>
        <v>0</v>
      </c>
      <c r="AU105" s="28">
        <f t="shared" si="64"/>
        <v>0</v>
      </c>
      <c r="AV105" s="19">
        <f t="shared" si="65"/>
        <v>0</v>
      </c>
      <c r="AW105" s="19">
        <f t="shared" si="66"/>
        <v>0</v>
      </c>
      <c r="AX105" s="27">
        <f t="shared" si="67"/>
        <v>0</v>
      </c>
      <c r="AY105" s="1" t="e">
        <f t="shared" si="68"/>
        <v>#DIV/0!</v>
      </c>
      <c r="AZ105" s="1" t="e">
        <f t="shared" si="69"/>
        <v>#DIV/0!</v>
      </c>
    </row>
    <row r="106" spans="1:52" hidden="1" x14ac:dyDescent="0.35">
      <c r="A106" s="29" t="s">
        <v>423</v>
      </c>
      <c r="B106" s="6">
        <v>2.5000000000000001E-2</v>
      </c>
      <c r="C106" s="2" t="e">
        <f>+VLOOKUP(E106,inventario!#REF!,2,0)</f>
        <v>#REF!</v>
      </c>
      <c r="D106" t="str">
        <f t="shared" si="38"/>
        <v>492.12</v>
      </c>
      <c r="E106" t="s">
        <v>91</v>
      </c>
      <c r="F106" s="6" t="str">
        <f>+IFERROR(VLOOKUP(E106,#REF!,29,0),"C")</f>
        <v>C</v>
      </c>
      <c r="G106" s="6" t="str">
        <f>+IFERROR(VLOOKUP(E106,#REF!,34,0),"C")</f>
        <v>C</v>
      </c>
      <c r="H106" s="64">
        <f>+IFERROR(VLOOKUP(E106,#REF!,31,0),0)</f>
        <v>0</v>
      </c>
      <c r="I106" s="44">
        <f>+IFERROR(VLOOKUP(E106,#REF!,26,0),0)</f>
        <v>0</v>
      </c>
      <c r="J106" s="44">
        <f>+IFERROR(VLOOKUP(E106,#REF!,30,0),0)</f>
        <v>0</v>
      </c>
      <c r="K106" s="3"/>
      <c r="L106" s="25">
        <f t="shared" si="39"/>
        <v>0.7</v>
      </c>
      <c r="M106" s="26">
        <f t="shared" si="40"/>
        <v>0.52440051270804078</v>
      </c>
      <c r="O106">
        <f>+IFERROR(VLOOKUP(D106,lt!A:J,10,0),15)</f>
        <v>17</v>
      </c>
      <c r="P106">
        <v>2</v>
      </c>
      <c r="Q106">
        <v>1</v>
      </c>
      <c r="R106">
        <v>2</v>
      </c>
      <c r="S106" s="22">
        <f t="shared" si="41"/>
        <v>22</v>
      </c>
      <c r="T106" s="9">
        <v>3</v>
      </c>
      <c r="U106" s="23">
        <f t="shared" si="42"/>
        <v>0.83333333333333337</v>
      </c>
      <c r="V106" s="11">
        <f t="shared" si="43"/>
        <v>0</v>
      </c>
      <c r="W106" s="11">
        <f t="shared" si="44"/>
        <v>0</v>
      </c>
      <c r="X106" s="11">
        <f t="shared" si="45"/>
        <v>0</v>
      </c>
      <c r="Y106" s="11">
        <f t="shared" si="46"/>
        <v>0</v>
      </c>
      <c r="Z106" s="65">
        <f t="shared" si="47"/>
        <v>0</v>
      </c>
      <c r="AA106" s="24">
        <f t="shared" si="48"/>
        <v>0</v>
      </c>
      <c r="AB106">
        <f t="shared" si="49"/>
        <v>0</v>
      </c>
      <c r="AC106" s="46">
        <f>+IFERROR(VLOOKUP(E106,#REF!,24,0),0.2)</f>
        <v>0.2</v>
      </c>
      <c r="AD106" s="42">
        <f>+IFERROR(VLOOKUP(E106,h!$C:$D,2,0),0.3866)</f>
        <v>0.38610833333333339</v>
      </c>
      <c r="AE106" s="42">
        <f>+VLOOKUP(A106,k!$A$1:$G$4,5,0)</f>
        <v>0.35799365240740744</v>
      </c>
      <c r="AF106" s="47">
        <f t="shared" si="50"/>
        <v>0.94410198574074089</v>
      </c>
      <c r="AG106" s="48">
        <f t="shared" si="51"/>
        <v>0.1132922382888889</v>
      </c>
      <c r="AH106" s="20">
        <f>+IFERROR(VLOOKUP(C106,k!$A$7:$L$13,7,0),0)</f>
        <v>0</v>
      </c>
      <c r="AI106" s="20">
        <f t="shared" si="52"/>
        <v>0</v>
      </c>
      <c r="AJ106" s="5">
        <f t="shared" si="53"/>
        <v>0</v>
      </c>
      <c r="AK106" s="57">
        <f t="shared" si="54"/>
        <v>0</v>
      </c>
      <c r="AL106" s="19">
        <f t="shared" si="55"/>
        <v>0</v>
      </c>
      <c r="AM106" s="20">
        <f t="shared" si="56"/>
        <v>0</v>
      </c>
      <c r="AN106" s="27">
        <f t="shared" si="57"/>
        <v>0</v>
      </c>
      <c r="AO106" s="57">
        <f t="shared" si="70"/>
        <v>0</v>
      </c>
      <c r="AP106" s="19">
        <f t="shared" si="59"/>
        <v>0</v>
      </c>
      <c r="AQ106" s="20">
        <f t="shared" si="60"/>
        <v>0</v>
      </c>
      <c r="AR106" s="58">
        <f t="shared" si="61"/>
        <v>0</v>
      </c>
      <c r="AS106" s="1">
        <f t="shared" si="62"/>
        <v>0</v>
      </c>
      <c r="AT106" s="21">
        <f t="shared" si="63"/>
        <v>0</v>
      </c>
      <c r="AU106" s="28">
        <f t="shared" si="64"/>
        <v>0</v>
      </c>
      <c r="AV106" s="19">
        <f t="shared" si="65"/>
        <v>0</v>
      </c>
      <c r="AW106" s="19">
        <f t="shared" si="66"/>
        <v>0</v>
      </c>
      <c r="AX106" s="27">
        <f t="shared" si="67"/>
        <v>0</v>
      </c>
      <c r="AY106" s="1" t="e">
        <f t="shared" si="68"/>
        <v>#DIV/0!</v>
      </c>
      <c r="AZ106" s="1" t="e">
        <f t="shared" si="69"/>
        <v>#DIV/0!</v>
      </c>
    </row>
    <row r="107" spans="1:52" hidden="1" x14ac:dyDescent="0.35">
      <c r="A107" s="29" t="s">
        <v>423</v>
      </c>
      <c r="B107" s="6">
        <v>2.5000000000000001E-2</v>
      </c>
      <c r="C107" s="2" t="e">
        <f>+VLOOKUP(E107,inventario!#REF!,2,0)</f>
        <v>#REF!</v>
      </c>
      <c r="D107" t="str">
        <f t="shared" si="38"/>
        <v>470.5</v>
      </c>
      <c r="E107" t="s">
        <v>77</v>
      </c>
      <c r="F107" s="6" t="str">
        <f>+IFERROR(VLOOKUP(E107,#REF!,29,0),"C")</f>
        <v>C</v>
      </c>
      <c r="G107" s="6" t="str">
        <f>+IFERROR(VLOOKUP(E107,#REF!,34,0),"C")</f>
        <v>C</v>
      </c>
      <c r="H107" s="64">
        <f>+IFERROR(VLOOKUP(E107,#REF!,31,0),0)</f>
        <v>0</v>
      </c>
      <c r="I107" s="44">
        <f>+IFERROR(VLOOKUP(E107,#REF!,26,0),0)</f>
        <v>0</v>
      </c>
      <c r="J107" s="44">
        <f>+IFERROR(VLOOKUP(E107,#REF!,30,0),0)</f>
        <v>0</v>
      </c>
      <c r="K107" s="3"/>
      <c r="L107" s="25">
        <f t="shared" si="39"/>
        <v>0.7</v>
      </c>
      <c r="M107" s="26">
        <f t="shared" si="40"/>
        <v>0.52440051270804078</v>
      </c>
      <c r="O107">
        <f>+IFERROR(VLOOKUP(D107,lt!A:J,10,0),15)</f>
        <v>17</v>
      </c>
      <c r="P107">
        <v>2</v>
      </c>
      <c r="Q107">
        <v>1</v>
      </c>
      <c r="R107">
        <v>2</v>
      </c>
      <c r="S107" s="22">
        <f t="shared" si="41"/>
        <v>22</v>
      </c>
      <c r="T107" s="9">
        <v>3</v>
      </c>
      <c r="U107" s="23">
        <f t="shared" si="42"/>
        <v>0.83333333333333337</v>
      </c>
      <c r="V107" s="11">
        <f t="shared" si="43"/>
        <v>0</v>
      </c>
      <c r="W107" s="11">
        <f t="shared" si="44"/>
        <v>0</v>
      </c>
      <c r="X107" s="11">
        <f t="shared" si="45"/>
        <v>0</v>
      </c>
      <c r="Y107" s="11">
        <f t="shared" si="46"/>
        <v>0</v>
      </c>
      <c r="Z107" s="65">
        <f t="shared" si="47"/>
        <v>0</v>
      </c>
      <c r="AA107" s="24">
        <f t="shared" si="48"/>
        <v>0</v>
      </c>
      <c r="AB107">
        <f t="shared" si="49"/>
        <v>0</v>
      </c>
      <c r="AC107" s="46">
        <f>+IFERROR(VLOOKUP(E107,#REF!,24,0),0.2)</f>
        <v>0.2</v>
      </c>
      <c r="AD107" s="42">
        <f>+IFERROR(VLOOKUP(E107,h!$C:$D,2,0),0.3866)</f>
        <v>0.38610833333333339</v>
      </c>
      <c r="AE107" s="42">
        <f>+VLOOKUP(A107,k!$A$1:$G$4,5,0)</f>
        <v>0.35799365240740744</v>
      </c>
      <c r="AF107" s="47">
        <f t="shared" si="50"/>
        <v>0.94410198574074089</v>
      </c>
      <c r="AG107" s="48">
        <f t="shared" si="51"/>
        <v>0.1132922382888889</v>
      </c>
      <c r="AH107" s="20">
        <f>+IFERROR(VLOOKUP(C107,k!$A$7:$L$13,7,0),0)</f>
        <v>0</v>
      </c>
      <c r="AI107" s="20">
        <f t="shared" si="52"/>
        <v>0</v>
      </c>
      <c r="AJ107" s="5">
        <f t="shared" si="53"/>
        <v>0</v>
      </c>
      <c r="AK107" s="57">
        <f t="shared" si="54"/>
        <v>0</v>
      </c>
      <c r="AL107" s="19">
        <f t="shared" si="55"/>
        <v>0</v>
      </c>
      <c r="AM107" s="20">
        <f t="shared" si="56"/>
        <v>0</v>
      </c>
      <c r="AN107" s="27">
        <f t="shared" si="57"/>
        <v>0</v>
      </c>
      <c r="AO107" s="57">
        <f t="shared" si="70"/>
        <v>0</v>
      </c>
      <c r="AP107" s="19">
        <f t="shared" si="59"/>
        <v>0</v>
      </c>
      <c r="AQ107" s="20">
        <f t="shared" si="60"/>
        <v>0</v>
      </c>
      <c r="AR107" s="58">
        <f t="shared" si="61"/>
        <v>0</v>
      </c>
      <c r="AS107" s="1">
        <f t="shared" si="62"/>
        <v>0</v>
      </c>
      <c r="AT107" s="21">
        <f t="shared" si="63"/>
        <v>0</v>
      </c>
      <c r="AU107" s="28">
        <f t="shared" si="64"/>
        <v>0</v>
      </c>
      <c r="AV107" s="19">
        <f t="shared" si="65"/>
        <v>0</v>
      </c>
      <c r="AW107" s="19">
        <f t="shared" si="66"/>
        <v>0</v>
      </c>
      <c r="AX107" s="27">
        <f t="shared" si="67"/>
        <v>0</v>
      </c>
      <c r="AY107" s="1" t="e">
        <f t="shared" si="68"/>
        <v>#DIV/0!</v>
      </c>
      <c r="AZ107" s="1" t="e">
        <f t="shared" si="69"/>
        <v>#DIV/0!</v>
      </c>
    </row>
    <row r="108" spans="1:52" hidden="1" x14ac:dyDescent="0.35">
      <c r="A108" s="29" t="s">
        <v>423</v>
      </c>
      <c r="B108" s="6">
        <v>2.5000000000000001E-2</v>
      </c>
      <c r="C108" s="2" t="e">
        <f>+VLOOKUP(E108,inventario!#REF!,2,0)</f>
        <v>#REF!</v>
      </c>
      <c r="D108" t="str">
        <f t="shared" si="38"/>
        <v>475</v>
      </c>
      <c r="E108" t="s">
        <v>82</v>
      </c>
      <c r="F108" s="6" t="str">
        <f>+IFERROR(VLOOKUP(E108,#REF!,29,0),"C")</f>
        <v>C</v>
      </c>
      <c r="G108" s="6" t="str">
        <f>+IFERROR(VLOOKUP(E108,#REF!,34,0),"C")</f>
        <v>C</v>
      </c>
      <c r="H108" s="64">
        <f>+IFERROR(VLOOKUP(E108,#REF!,31,0),0)</f>
        <v>0</v>
      </c>
      <c r="I108" s="44">
        <f>+IFERROR(VLOOKUP(E108,#REF!,26,0),0)</f>
        <v>0</v>
      </c>
      <c r="J108" s="44">
        <f>+IFERROR(VLOOKUP(E108,#REF!,30,0),0)</f>
        <v>0</v>
      </c>
      <c r="K108" s="3"/>
      <c r="L108" s="25">
        <f t="shared" si="39"/>
        <v>0.7</v>
      </c>
      <c r="M108" s="26">
        <f t="shared" si="40"/>
        <v>0.52440051270804078</v>
      </c>
      <c r="O108">
        <f>+IFERROR(VLOOKUP(D108,lt!A:J,10,0),15)</f>
        <v>17</v>
      </c>
      <c r="P108">
        <v>2</v>
      </c>
      <c r="Q108">
        <v>1</v>
      </c>
      <c r="R108">
        <v>2</v>
      </c>
      <c r="S108" s="22">
        <f t="shared" si="41"/>
        <v>22</v>
      </c>
      <c r="T108" s="9">
        <v>3</v>
      </c>
      <c r="U108" s="23">
        <f t="shared" si="42"/>
        <v>0.83333333333333337</v>
      </c>
      <c r="V108" s="11">
        <f t="shared" si="43"/>
        <v>0</v>
      </c>
      <c r="W108" s="11">
        <f t="shared" si="44"/>
        <v>0</v>
      </c>
      <c r="X108" s="11">
        <f t="shared" si="45"/>
        <v>0</v>
      </c>
      <c r="Y108" s="11">
        <f t="shared" si="46"/>
        <v>0</v>
      </c>
      <c r="Z108" s="65">
        <f t="shared" si="47"/>
        <v>0</v>
      </c>
      <c r="AA108" s="24">
        <f t="shared" si="48"/>
        <v>0</v>
      </c>
      <c r="AB108">
        <f t="shared" si="49"/>
        <v>0</v>
      </c>
      <c r="AC108" s="46">
        <f>+IFERROR(VLOOKUP(E108,#REF!,24,0),0.2)</f>
        <v>0.2</v>
      </c>
      <c r="AD108" s="42">
        <f>+IFERROR(VLOOKUP(E108,h!$C:$D,2,0),0.3866)</f>
        <v>0.38610833333333339</v>
      </c>
      <c r="AE108" s="42">
        <f>+VLOOKUP(A108,k!$A$1:$G$4,5,0)</f>
        <v>0.35799365240740744</v>
      </c>
      <c r="AF108" s="47">
        <f t="shared" si="50"/>
        <v>0.94410198574074089</v>
      </c>
      <c r="AG108" s="48">
        <f t="shared" si="51"/>
        <v>0.1132922382888889</v>
      </c>
      <c r="AH108" s="20">
        <f>+IFERROR(VLOOKUP(C108,k!$A$7:$L$13,7,0),0)</f>
        <v>0</v>
      </c>
      <c r="AI108" s="20">
        <f t="shared" si="52"/>
        <v>0</v>
      </c>
      <c r="AJ108" s="5">
        <f t="shared" si="53"/>
        <v>0</v>
      </c>
      <c r="AK108" s="57">
        <f t="shared" si="54"/>
        <v>0</v>
      </c>
      <c r="AL108" s="19">
        <f t="shared" si="55"/>
        <v>0</v>
      </c>
      <c r="AM108" s="20">
        <f t="shared" si="56"/>
        <v>0</v>
      </c>
      <c r="AN108" s="27">
        <f t="shared" si="57"/>
        <v>0</v>
      </c>
      <c r="AO108" s="57">
        <f t="shared" si="70"/>
        <v>0</v>
      </c>
      <c r="AP108" s="19">
        <f t="shared" si="59"/>
        <v>0</v>
      </c>
      <c r="AQ108" s="20">
        <f t="shared" si="60"/>
        <v>0</v>
      </c>
      <c r="AR108" s="58">
        <f t="shared" si="61"/>
        <v>0</v>
      </c>
      <c r="AS108" s="1">
        <f t="shared" si="62"/>
        <v>0</v>
      </c>
      <c r="AT108" s="21">
        <f t="shared" si="63"/>
        <v>0</v>
      </c>
      <c r="AU108" s="28">
        <f t="shared" si="64"/>
        <v>0</v>
      </c>
      <c r="AV108" s="19">
        <f t="shared" si="65"/>
        <v>0</v>
      </c>
      <c r="AW108" s="19">
        <f t="shared" si="66"/>
        <v>0</v>
      </c>
      <c r="AX108" s="27">
        <f t="shared" si="67"/>
        <v>0</v>
      </c>
      <c r="AY108" s="1" t="e">
        <f t="shared" si="68"/>
        <v>#DIV/0!</v>
      </c>
      <c r="AZ108" s="1" t="e">
        <f t="shared" si="69"/>
        <v>#DIV/0!</v>
      </c>
    </row>
    <row r="109" spans="1:52" hidden="1" x14ac:dyDescent="0.35">
      <c r="A109" s="29" t="s">
        <v>423</v>
      </c>
      <c r="B109" s="6">
        <v>2.5000000000000001E-2</v>
      </c>
      <c r="C109" s="2" t="e">
        <f>+VLOOKUP(E109,inventario!#REF!,2,0)</f>
        <v>#REF!</v>
      </c>
      <c r="D109" t="str">
        <f t="shared" si="38"/>
        <v>46.5</v>
      </c>
      <c r="E109" t="s">
        <v>161</v>
      </c>
      <c r="F109" s="6" t="str">
        <f>+IFERROR(VLOOKUP(E109,#REF!,29,0),"C")</f>
        <v>C</v>
      </c>
      <c r="G109" s="6" t="str">
        <f>+IFERROR(VLOOKUP(E109,#REF!,34,0),"C")</f>
        <v>C</v>
      </c>
      <c r="H109" s="64">
        <f>+IFERROR(VLOOKUP(E109,#REF!,31,0),0)</f>
        <v>0</v>
      </c>
      <c r="I109" s="44">
        <f>+IFERROR(VLOOKUP(E109,#REF!,26,0),0)</f>
        <v>0</v>
      </c>
      <c r="J109" s="44">
        <f>+IFERROR(VLOOKUP(E109,#REF!,30,0),0)</f>
        <v>0</v>
      </c>
      <c r="K109" s="3"/>
      <c r="L109" s="25">
        <f t="shared" si="39"/>
        <v>0.7</v>
      </c>
      <c r="M109" s="26">
        <f t="shared" si="40"/>
        <v>0.52440051270804078</v>
      </c>
      <c r="O109">
        <f>+IFERROR(VLOOKUP(D109,lt!A:J,10,0),15)</f>
        <v>17</v>
      </c>
      <c r="P109">
        <v>2</v>
      </c>
      <c r="Q109">
        <v>1</v>
      </c>
      <c r="R109">
        <v>2</v>
      </c>
      <c r="S109" s="22">
        <f t="shared" si="41"/>
        <v>22</v>
      </c>
      <c r="T109" s="9">
        <v>3</v>
      </c>
      <c r="U109" s="23">
        <f t="shared" si="42"/>
        <v>0.83333333333333337</v>
      </c>
      <c r="V109" s="11">
        <f t="shared" si="43"/>
        <v>0</v>
      </c>
      <c r="W109" s="11">
        <f t="shared" si="44"/>
        <v>0</v>
      </c>
      <c r="X109" s="11">
        <f t="shared" si="45"/>
        <v>0</v>
      </c>
      <c r="Y109" s="11">
        <f t="shared" si="46"/>
        <v>0</v>
      </c>
      <c r="Z109" s="65">
        <f t="shared" si="47"/>
        <v>0</v>
      </c>
      <c r="AA109" s="24">
        <f t="shared" si="48"/>
        <v>0</v>
      </c>
      <c r="AB109">
        <f t="shared" si="49"/>
        <v>0</v>
      </c>
      <c r="AC109" s="46">
        <f>+IFERROR(VLOOKUP(E109,#REF!,24,0),0.2)</f>
        <v>0.2</v>
      </c>
      <c r="AD109" s="42">
        <f>+IFERROR(VLOOKUP(E109,h!$C:$D,2,0),0.3866)</f>
        <v>0.38610833333333339</v>
      </c>
      <c r="AE109" s="42">
        <f>+VLOOKUP(A109,k!$A$1:$G$4,5,0)</f>
        <v>0.35799365240740744</v>
      </c>
      <c r="AF109" s="47">
        <f t="shared" si="50"/>
        <v>0.94410198574074089</v>
      </c>
      <c r="AG109" s="48">
        <f t="shared" si="51"/>
        <v>0.1132922382888889</v>
      </c>
      <c r="AH109" s="20">
        <f>+IFERROR(VLOOKUP(C109,k!$A$7:$L$13,7,0),0)</f>
        <v>0</v>
      </c>
      <c r="AI109" s="20">
        <f t="shared" si="52"/>
        <v>0</v>
      </c>
      <c r="AJ109" s="5">
        <f t="shared" si="53"/>
        <v>0</v>
      </c>
      <c r="AK109" s="57">
        <f t="shared" si="54"/>
        <v>0</v>
      </c>
      <c r="AL109" s="19">
        <f t="shared" si="55"/>
        <v>0</v>
      </c>
      <c r="AM109" s="20">
        <f t="shared" si="56"/>
        <v>0</v>
      </c>
      <c r="AN109" s="27">
        <f t="shared" si="57"/>
        <v>0</v>
      </c>
      <c r="AO109" s="57">
        <f t="shared" si="70"/>
        <v>0</v>
      </c>
      <c r="AP109" s="19">
        <f t="shared" si="59"/>
        <v>0</v>
      </c>
      <c r="AQ109" s="20">
        <f t="shared" si="60"/>
        <v>0</v>
      </c>
      <c r="AR109" s="58">
        <f t="shared" si="61"/>
        <v>0</v>
      </c>
      <c r="AS109" s="1">
        <f t="shared" si="62"/>
        <v>0</v>
      </c>
      <c r="AT109" s="21">
        <f t="shared" si="63"/>
        <v>0</v>
      </c>
      <c r="AU109" s="28">
        <f t="shared" si="64"/>
        <v>0</v>
      </c>
      <c r="AV109" s="19">
        <f t="shared" si="65"/>
        <v>0</v>
      </c>
      <c r="AW109" s="19">
        <f t="shared" si="66"/>
        <v>0</v>
      </c>
      <c r="AX109" s="27">
        <f t="shared" si="67"/>
        <v>0</v>
      </c>
      <c r="AY109" s="1" t="e">
        <f t="shared" si="68"/>
        <v>#DIV/0!</v>
      </c>
      <c r="AZ109" s="1" t="e">
        <f t="shared" si="69"/>
        <v>#DIV/0!</v>
      </c>
    </row>
    <row r="110" spans="1:52" hidden="1" x14ac:dyDescent="0.35">
      <c r="A110" s="29" t="s">
        <v>423</v>
      </c>
      <c r="B110" s="6">
        <v>2.5000000000000001E-2</v>
      </c>
      <c r="C110" s="2" t="e">
        <f>+VLOOKUP(E110,inventario!#REF!,2,0)</f>
        <v>#REF!</v>
      </c>
      <c r="D110" t="str">
        <f t="shared" si="38"/>
        <v>1059</v>
      </c>
      <c r="E110" t="s">
        <v>151</v>
      </c>
      <c r="F110" s="6" t="str">
        <f>+IFERROR(VLOOKUP(E110,#REF!,29,0),"C")</f>
        <v>C</v>
      </c>
      <c r="G110" s="6" t="str">
        <f>+IFERROR(VLOOKUP(E110,#REF!,34,0),"C")</f>
        <v>C</v>
      </c>
      <c r="H110" s="64">
        <f>+IFERROR(VLOOKUP(E110,#REF!,31,0),0)</f>
        <v>0</v>
      </c>
      <c r="I110" s="44">
        <f>+IFERROR(VLOOKUP(E110,#REF!,26,0),0)</f>
        <v>0</v>
      </c>
      <c r="J110" s="44">
        <f>+IFERROR(VLOOKUP(E110,#REF!,30,0),0)</f>
        <v>0</v>
      </c>
      <c r="K110" s="3"/>
      <c r="L110" s="25">
        <f t="shared" si="39"/>
        <v>0.7</v>
      </c>
      <c r="M110" s="26">
        <f t="shared" si="40"/>
        <v>0.52440051270804078</v>
      </c>
      <c r="O110">
        <f>+IFERROR(VLOOKUP(D110,lt!A:J,10,0),15)</f>
        <v>17</v>
      </c>
      <c r="P110">
        <v>2</v>
      </c>
      <c r="Q110">
        <v>1</v>
      </c>
      <c r="R110">
        <v>2</v>
      </c>
      <c r="S110" s="22">
        <f t="shared" si="41"/>
        <v>22</v>
      </c>
      <c r="T110" s="9">
        <v>3</v>
      </c>
      <c r="U110" s="23">
        <f t="shared" si="42"/>
        <v>0.83333333333333337</v>
      </c>
      <c r="V110" s="11">
        <f t="shared" si="43"/>
        <v>0</v>
      </c>
      <c r="W110" s="11">
        <f t="shared" si="44"/>
        <v>0</v>
      </c>
      <c r="X110" s="11">
        <f t="shared" si="45"/>
        <v>0</v>
      </c>
      <c r="Y110" s="11">
        <f t="shared" si="46"/>
        <v>0</v>
      </c>
      <c r="Z110" s="65">
        <f t="shared" si="47"/>
        <v>0</v>
      </c>
      <c r="AA110" s="24">
        <f t="shared" si="48"/>
        <v>0</v>
      </c>
      <c r="AB110">
        <f t="shared" si="49"/>
        <v>0</v>
      </c>
      <c r="AC110" s="46">
        <f>+IFERROR(VLOOKUP(E110,#REF!,24,0),0.2)</f>
        <v>0.2</v>
      </c>
      <c r="AD110" s="42">
        <f>+IFERROR(VLOOKUP(E110,h!$C:$D,2,0),0.3866)</f>
        <v>0.38610833333333339</v>
      </c>
      <c r="AE110" s="42">
        <f>+VLOOKUP(A110,k!$A$1:$G$4,5,0)</f>
        <v>0.35799365240740744</v>
      </c>
      <c r="AF110" s="47">
        <f t="shared" si="50"/>
        <v>0.94410198574074089</v>
      </c>
      <c r="AG110" s="48">
        <f t="shared" si="51"/>
        <v>0.1132922382888889</v>
      </c>
      <c r="AH110" s="20">
        <f>+IFERROR(VLOOKUP(C110,k!$A$7:$L$13,7,0),0)</f>
        <v>0</v>
      </c>
      <c r="AI110" s="20">
        <f t="shared" si="52"/>
        <v>0</v>
      </c>
      <c r="AJ110" s="5">
        <f t="shared" si="53"/>
        <v>0</v>
      </c>
      <c r="AK110" s="57">
        <f t="shared" si="54"/>
        <v>0</v>
      </c>
      <c r="AL110" s="19">
        <f t="shared" si="55"/>
        <v>0</v>
      </c>
      <c r="AM110" s="20">
        <f t="shared" si="56"/>
        <v>0</v>
      </c>
      <c r="AN110" s="27">
        <f t="shared" si="57"/>
        <v>0</v>
      </c>
      <c r="AO110" s="57">
        <f t="shared" si="70"/>
        <v>0</v>
      </c>
      <c r="AP110" s="19">
        <f t="shared" si="59"/>
        <v>0</v>
      </c>
      <c r="AQ110" s="20">
        <f t="shared" si="60"/>
        <v>0</v>
      </c>
      <c r="AR110" s="58">
        <f t="shared" si="61"/>
        <v>0</v>
      </c>
      <c r="AS110" s="1">
        <f t="shared" si="62"/>
        <v>0</v>
      </c>
      <c r="AT110" s="21">
        <f t="shared" si="63"/>
        <v>0</v>
      </c>
      <c r="AU110" s="28">
        <f t="shared" si="64"/>
        <v>0</v>
      </c>
      <c r="AV110" s="19">
        <f t="shared" si="65"/>
        <v>0</v>
      </c>
      <c r="AW110" s="19">
        <f t="shared" si="66"/>
        <v>0</v>
      </c>
      <c r="AX110" s="27">
        <f t="shared" si="67"/>
        <v>0</v>
      </c>
      <c r="AY110" s="1" t="e">
        <f t="shared" si="68"/>
        <v>#DIV/0!</v>
      </c>
      <c r="AZ110" s="1" t="e">
        <f t="shared" si="69"/>
        <v>#DIV/0!</v>
      </c>
    </row>
    <row r="111" spans="1:52" hidden="1" x14ac:dyDescent="0.35">
      <c r="A111" s="29" t="s">
        <v>423</v>
      </c>
      <c r="B111" s="6">
        <v>2.5000000000000001E-2</v>
      </c>
      <c r="C111" s="2" t="e">
        <f>+VLOOKUP(E111,inventario!#REF!,2,0)</f>
        <v>#REF!</v>
      </c>
      <c r="D111" t="str">
        <f t="shared" si="38"/>
        <v>1050</v>
      </c>
      <c r="E111" t="s">
        <v>973</v>
      </c>
      <c r="F111" s="6" t="str">
        <f>+IFERROR(VLOOKUP(E111,#REF!,29,0),"C")</f>
        <v>C</v>
      </c>
      <c r="G111" s="6" t="str">
        <f>+IFERROR(VLOOKUP(E111,#REF!,34,0),"C")</f>
        <v>C</v>
      </c>
      <c r="H111" s="64">
        <f>+IFERROR(VLOOKUP(E111,#REF!,31,0),0)</f>
        <v>0</v>
      </c>
      <c r="I111" s="44">
        <f>+IFERROR(VLOOKUP(E111,#REF!,26,0),0)</f>
        <v>0</v>
      </c>
      <c r="J111" s="44">
        <f>+IFERROR(VLOOKUP(E111,#REF!,30,0),0)</f>
        <v>0</v>
      </c>
      <c r="K111" s="3"/>
      <c r="L111" s="25">
        <f t="shared" si="39"/>
        <v>0.7</v>
      </c>
      <c r="M111" s="26">
        <f t="shared" si="40"/>
        <v>0.52440051270804078</v>
      </c>
      <c r="O111">
        <f>+IFERROR(VLOOKUP(D111,lt!A:J,10,0),15)</f>
        <v>17</v>
      </c>
      <c r="P111">
        <v>2</v>
      </c>
      <c r="Q111">
        <v>1</v>
      </c>
      <c r="R111">
        <v>2</v>
      </c>
      <c r="S111" s="22">
        <f t="shared" si="41"/>
        <v>22</v>
      </c>
      <c r="T111" s="9">
        <v>3</v>
      </c>
      <c r="U111" s="23">
        <f t="shared" si="42"/>
        <v>0.83333333333333337</v>
      </c>
      <c r="V111" s="11">
        <f t="shared" si="43"/>
        <v>0</v>
      </c>
      <c r="W111" s="11">
        <f t="shared" si="44"/>
        <v>0</v>
      </c>
      <c r="X111" s="11">
        <f t="shared" si="45"/>
        <v>0</v>
      </c>
      <c r="Y111" s="11">
        <f t="shared" si="46"/>
        <v>0</v>
      </c>
      <c r="Z111" s="65">
        <f t="shared" si="47"/>
        <v>0</v>
      </c>
      <c r="AA111" s="24">
        <f t="shared" si="48"/>
        <v>0</v>
      </c>
      <c r="AB111">
        <f t="shared" si="49"/>
        <v>0</v>
      </c>
      <c r="AC111" s="46">
        <f>+IFERROR(VLOOKUP(E111,#REF!,24,0),0.2)</f>
        <v>0.2</v>
      </c>
      <c r="AD111" s="42">
        <f>+IFERROR(VLOOKUP(E111,h!$C:$D,2,0),0.3866)</f>
        <v>0.38610833333333339</v>
      </c>
      <c r="AE111" s="42">
        <f>+VLOOKUP(A111,k!$A$1:$G$4,5,0)</f>
        <v>0.35799365240740744</v>
      </c>
      <c r="AF111" s="47">
        <f t="shared" si="50"/>
        <v>0.94410198574074089</v>
      </c>
      <c r="AG111" s="48">
        <f t="shared" si="51"/>
        <v>0.1132922382888889</v>
      </c>
      <c r="AH111" s="20">
        <f>+IFERROR(VLOOKUP(C111,k!$A$7:$L$13,7,0),0)</f>
        <v>0</v>
      </c>
      <c r="AI111" s="20">
        <f t="shared" si="52"/>
        <v>0</v>
      </c>
      <c r="AJ111" s="5">
        <f t="shared" si="53"/>
        <v>0</v>
      </c>
      <c r="AK111" s="57">
        <f t="shared" si="54"/>
        <v>0</v>
      </c>
      <c r="AL111" s="19">
        <f t="shared" si="55"/>
        <v>0</v>
      </c>
      <c r="AM111" s="20">
        <f t="shared" si="56"/>
        <v>0</v>
      </c>
      <c r="AN111" s="27">
        <f t="shared" si="57"/>
        <v>0</v>
      </c>
      <c r="AO111" s="57">
        <f t="shared" si="70"/>
        <v>0</v>
      </c>
      <c r="AP111" s="19">
        <f t="shared" si="59"/>
        <v>0</v>
      </c>
      <c r="AQ111" s="20">
        <f t="shared" si="60"/>
        <v>0</v>
      </c>
      <c r="AR111" s="58">
        <f t="shared" si="61"/>
        <v>0</v>
      </c>
      <c r="AS111" s="1">
        <f t="shared" si="62"/>
        <v>0</v>
      </c>
      <c r="AT111" s="21">
        <f t="shared" si="63"/>
        <v>0</v>
      </c>
      <c r="AU111" s="28">
        <f t="shared" si="64"/>
        <v>0</v>
      </c>
      <c r="AV111" s="19">
        <f t="shared" si="65"/>
        <v>0</v>
      </c>
      <c r="AW111" s="19">
        <f t="shared" si="66"/>
        <v>0</v>
      </c>
      <c r="AX111" s="27">
        <f t="shared" si="67"/>
        <v>0</v>
      </c>
      <c r="AY111" s="1" t="e">
        <f t="shared" si="68"/>
        <v>#DIV/0!</v>
      </c>
      <c r="AZ111" s="1" t="e">
        <f t="shared" si="69"/>
        <v>#DIV/0!</v>
      </c>
    </row>
    <row r="112" spans="1:52" hidden="1" x14ac:dyDescent="0.35">
      <c r="A112" s="29" t="s">
        <v>423</v>
      </c>
      <c r="B112" s="6">
        <v>2.5000000000000001E-2</v>
      </c>
      <c r="C112" s="2" t="e">
        <f>+VLOOKUP(E112,inventario!#REF!,2,0)</f>
        <v>#REF!</v>
      </c>
      <c r="D112" t="str">
        <f t="shared" si="38"/>
        <v>706</v>
      </c>
      <c r="E112" t="s">
        <v>156</v>
      </c>
      <c r="F112" s="6" t="str">
        <f>+IFERROR(VLOOKUP(E112,#REF!,29,0),"C")</f>
        <v>C</v>
      </c>
      <c r="G112" s="6" t="str">
        <f>+IFERROR(VLOOKUP(E112,#REF!,34,0),"C")</f>
        <v>C</v>
      </c>
      <c r="H112" s="64">
        <f>+IFERROR(VLOOKUP(E112,#REF!,31,0),0)</f>
        <v>0</v>
      </c>
      <c r="I112" s="44">
        <f>+IFERROR(VLOOKUP(E112,#REF!,26,0),0)</f>
        <v>0</v>
      </c>
      <c r="J112" s="44">
        <f>+IFERROR(VLOOKUP(E112,#REF!,30,0),0)</f>
        <v>0</v>
      </c>
      <c r="K112" s="3"/>
      <c r="L112" s="25">
        <f t="shared" si="39"/>
        <v>0.7</v>
      </c>
      <c r="M112" s="26">
        <f t="shared" si="40"/>
        <v>0.52440051270804078</v>
      </c>
      <c r="O112">
        <f>+IFERROR(VLOOKUP(D112,lt!A:J,10,0),15)</f>
        <v>17</v>
      </c>
      <c r="P112">
        <v>2</v>
      </c>
      <c r="Q112">
        <v>1</v>
      </c>
      <c r="R112">
        <v>2</v>
      </c>
      <c r="S112" s="22">
        <f t="shared" si="41"/>
        <v>22</v>
      </c>
      <c r="T112" s="9">
        <v>3</v>
      </c>
      <c r="U112" s="23">
        <f t="shared" si="42"/>
        <v>0.83333333333333337</v>
      </c>
      <c r="V112" s="11">
        <f t="shared" si="43"/>
        <v>0</v>
      </c>
      <c r="W112" s="11">
        <f t="shared" si="44"/>
        <v>0</v>
      </c>
      <c r="X112" s="11">
        <f t="shared" si="45"/>
        <v>0</v>
      </c>
      <c r="Y112" s="11">
        <f t="shared" si="46"/>
        <v>0</v>
      </c>
      <c r="Z112" s="65">
        <f t="shared" si="47"/>
        <v>0</v>
      </c>
      <c r="AA112" s="24">
        <f t="shared" si="48"/>
        <v>0</v>
      </c>
      <c r="AB112">
        <f t="shared" si="49"/>
        <v>0</v>
      </c>
      <c r="AC112" s="46">
        <f>+IFERROR(VLOOKUP(E112,#REF!,24,0),0.2)</f>
        <v>0.2</v>
      </c>
      <c r="AD112" s="42">
        <f>+IFERROR(VLOOKUP(E112,h!$C:$D,2,0),0.3866)</f>
        <v>0.38610833333333339</v>
      </c>
      <c r="AE112" s="42">
        <f>+VLOOKUP(A112,k!$A$1:$G$4,5,0)</f>
        <v>0.35799365240740744</v>
      </c>
      <c r="AF112" s="47">
        <f t="shared" si="50"/>
        <v>0.94410198574074089</v>
      </c>
      <c r="AG112" s="48">
        <f t="shared" si="51"/>
        <v>0.1132922382888889</v>
      </c>
      <c r="AH112" s="20">
        <f>+IFERROR(VLOOKUP(C112,k!$A$7:$L$13,7,0),0)</f>
        <v>0</v>
      </c>
      <c r="AI112" s="20">
        <f t="shared" si="52"/>
        <v>0</v>
      </c>
      <c r="AJ112" s="5">
        <f t="shared" si="53"/>
        <v>0</v>
      </c>
      <c r="AK112" s="57">
        <f t="shared" si="54"/>
        <v>0</v>
      </c>
      <c r="AL112" s="19">
        <f t="shared" si="55"/>
        <v>0</v>
      </c>
      <c r="AM112" s="20">
        <f t="shared" si="56"/>
        <v>0</v>
      </c>
      <c r="AN112" s="27">
        <f t="shared" si="57"/>
        <v>0</v>
      </c>
      <c r="AO112" s="57">
        <f t="shared" si="70"/>
        <v>0</v>
      </c>
      <c r="AP112" s="19">
        <f t="shared" si="59"/>
        <v>0</v>
      </c>
      <c r="AQ112" s="20">
        <f t="shared" si="60"/>
        <v>0</v>
      </c>
      <c r="AR112" s="58">
        <f t="shared" si="61"/>
        <v>0</v>
      </c>
      <c r="AS112" s="1">
        <f t="shared" si="62"/>
        <v>0</v>
      </c>
      <c r="AT112" s="21">
        <f t="shared" si="63"/>
        <v>0</v>
      </c>
      <c r="AU112" s="28">
        <f t="shared" si="64"/>
        <v>0</v>
      </c>
      <c r="AV112" s="19">
        <f t="shared" si="65"/>
        <v>0</v>
      </c>
      <c r="AW112" s="19">
        <f t="shared" si="66"/>
        <v>0</v>
      </c>
      <c r="AX112" s="27">
        <f t="shared" si="67"/>
        <v>0</v>
      </c>
      <c r="AY112" s="1" t="e">
        <f t="shared" si="68"/>
        <v>#DIV/0!</v>
      </c>
      <c r="AZ112" s="1" t="e">
        <f t="shared" si="69"/>
        <v>#DIV/0!</v>
      </c>
    </row>
    <row r="113" spans="1:52" hidden="1" x14ac:dyDescent="0.35">
      <c r="A113" s="29" t="s">
        <v>423</v>
      </c>
      <c r="B113" s="6">
        <v>2.5000000000000001E-2</v>
      </c>
      <c r="C113" s="2" t="e">
        <f>+VLOOKUP(E113,inventario!#REF!,2,0)</f>
        <v>#REF!</v>
      </c>
      <c r="D113" t="str">
        <f t="shared" si="38"/>
        <v>68</v>
      </c>
      <c r="E113" t="s">
        <v>160</v>
      </c>
      <c r="F113" s="6" t="str">
        <f>+IFERROR(VLOOKUP(E113,#REF!,29,0),"C")</f>
        <v>C</v>
      </c>
      <c r="G113" s="6" t="str">
        <f>+IFERROR(VLOOKUP(E113,#REF!,34,0),"C")</f>
        <v>C</v>
      </c>
      <c r="H113" s="64">
        <f>+IFERROR(VLOOKUP(E113,#REF!,31,0),0)</f>
        <v>0</v>
      </c>
      <c r="I113" s="44">
        <f>+IFERROR(VLOOKUP(E113,#REF!,26,0),0)</f>
        <v>0</v>
      </c>
      <c r="J113" s="44">
        <f>+IFERROR(VLOOKUP(E113,#REF!,30,0),0)</f>
        <v>0</v>
      </c>
      <c r="K113" s="3"/>
      <c r="L113" s="25">
        <f t="shared" si="39"/>
        <v>0.7</v>
      </c>
      <c r="M113" s="26">
        <f t="shared" si="40"/>
        <v>0.52440051270804078</v>
      </c>
      <c r="O113">
        <f>+IFERROR(VLOOKUP(D113,lt!A:J,10,0),15)</f>
        <v>15</v>
      </c>
      <c r="P113">
        <v>2</v>
      </c>
      <c r="Q113">
        <v>1</v>
      </c>
      <c r="R113">
        <v>2</v>
      </c>
      <c r="S113" s="22">
        <f t="shared" si="41"/>
        <v>20</v>
      </c>
      <c r="T113" s="9">
        <v>3</v>
      </c>
      <c r="U113" s="23">
        <f t="shared" si="42"/>
        <v>0.76666666666666672</v>
      </c>
      <c r="V113" s="11">
        <f t="shared" si="43"/>
        <v>0</v>
      </c>
      <c r="W113" s="11">
        <f t="shared" si="44"/>
        <v>0</v>
      </c>
      <c r="X113" s="11">
        <f t="shared" si="45"/>
        <v>0</v>
      </c>
      <c r="Y113" s="11">
        <f t="shared" si="46"/>
        <v>0</v>
      </c>
      <c r="Z113" s="65">
        <f t="shared" si="47"/>
        <v>0</v>
      </c>
      <c r="AA113" s="24">
        <f t="shared" si="48"/>
        <v>0</v>
      </c>
      <c r="AB113">
        <f t="shared" si="49"/>
        <v>0</v>
      </c>
      <c r="AC113" s="46">
        <f>+IFERROR(VLOOKUP(E113,#REF!,24,0),0.2)</f>
        <v>0.2</v>
      </c>
      <c r="AD113" s="42">
        <f>+IFERROR(VLOOKUP(E113,h!$C:$D,2,0),0.3866)</f>
        <v>0.38610833333333339</v>
      </c>
      <c r="AE113" s="42">
        <f>+VLOOKUP(A113,k!$A$1:$G$4,5,0)</f>
        <v>0.35799365240740744</v>
      </c>
      <c r="AF113" s="47">
        <f t="shared" si="50"/>
        <v>0.94410198574074089</v>
      </c>
      <c r="AG113" s="48">
        <f t="shared" si="51"/>
        <v>0.1132922382888889</v>
      </c>
      <c r="AH113" s="20">
        <f>+IFERROR(VLOOKUP(C113,k!$A$7:$L$13,7,0),0)</f>
        <v>0</v>
      </c>
      <c r="AI113" s="20">
        <f t="shared" si="52"/>
        <v>0</v>
      </c>
      <c r="AJ113" s="5">
        <f t="shared" si="53"/>
        <v>0</v>
      </c>
      <c r="AK113" s="57">
        <f t="shared" si="54"/>
        <v>0</v>
      </c>
      <c r="AL113" s="19">
        <f t="shared" si="55"/>
        <v>0</v>
      </c>
      <c r="AM113" s="20">
        <f t="shared" si="56"/>
        <v>0</v>
      </c>
      <c r="AN113" s="27">
        <f t="shared" si="57"/>
        <v>0</v>
      </c>
      <c r="AO113" s="57">
        <f t="shared" si="70"/>
        <v>0</v>
      </c>
      <c r="AP113" s="19">
        <f t="shared" si="59"/>
        <v>0</v>
      </c>
      <c r="AQ113" s="20">
        <f t="shared" si="60"/>
        <v>0</v>
      </c>
      <c r="AR113" s="58">
        <f t="shared" si="61"/>
        <v>0</v>
      </c>
      <c r="AS113" s="1">
        <f t="shared" si="62"/>
        <v>0</v>
      </c>
      <c r="AT113" s="21">
        <f t="shared" si="63"/>
        <v>0</v>
      </c>
      <c r="AU113" s="28">
        <f t="shared" si="64"/>
        <v>0</v>
      </c>
      <c r="AV113" s="19">
        <f t="shared" si="65"/>
        <v>0</v>
      </c>
      <c r="AW113" s="19">
        <f t="shared" si="66"/>
        <v>0</v>
      </c>
      <c r="AX113" s="27">
        <f t="shared" si="67"/>
        <v>0</v>
      </c>
      <c r="AY113" s="1" t="e">
        <f t="shared" si="68"/>
        <v>#DIV/0!</v>
      </c>
      <c r="AZ113" s="1" t="e">
        <f t="shared" si="69"/>
        <v>#DIV/0!</v>
      </c>
    </row>
    <row r="114" spans="1:52" hidden="1" x14ac:dyDescent="0.35">
      <c r="A114" s="29" t="s">
        <v>423</v>
      </c>
      <c r="B114" s="6">
        <v>0.02</v>
      </c>
      <c r="C114" s="2" t="e">
        <f>+VLOOKUP(E114,inventario!#REF!,2,0)</f>
        <v>#REF!</v>
      </c>
      <c r="D114" t="str">
        <f t="shared" si="38"/>
        <v>810</v>
      </c>
      <c r="E114" t="s">
        <v>144</v>
      </c>
      <c r="F114" s="6" t="str">
        <f>+IFERROR(VLOOKUP(E114,#REF!,29,0),"C")</f>
        <v>C</v>
      </c>
      <c r="G114" s="6" t="str">
        <f>+IFERROR(VLOOKUP(E114,#REF!,34,0),"C")</f>
        <v>C</v>
      </c>
      <c r="H114" s="64">
        <f>+IFERROR(VLOOKUP(E114,#REF!,31,0),0)</f>
        <v>0</v>
      </c>
      <c r="I114" s="44">
        <f>+IFERROR(VLOOKUP(E114,#REF!,26,0),0)</f>
        <v>0</v>
      </c>
      <c r="J114" s="44">
        <f>+IFERROR(VLOOKUP(E114,#REF!,30,0),0)</f>
        <v>0</v>
      </c>
      <c r="K114" s="3"/>
      <c r="L114" s="25">
        <f t="shared" si="39"/>
        <v>0.7</v>
      </c>
      <c r="M114" s="26">
        <f t="shared" si="40"/>
        <v>0.52440051270804078</v>
      </c>
      <c r="O114">
        <f>+IFERROR(VLOOKUP(D114,lt!A:J,10,0),15)</f>
        <v>17</v>
      </c>
      <c r="P114">
        <v>2</v>
      </c>
      <c r="Q114">
        <v>1</v>
      </c>
      <c r="R114">
        <v>2</v>
      </c>
      <c r="S114" s="22">
        <f t="shared" si="41"/>
        <v>22</v>
      </c>
      <c r="T114" s="9">
        <v>3</v>
      </c>
      <c r="U114" s="23">
        <f t="shared" si="42"/>
        <v>0.83333333333333337</v>
      </c>
      <c r="V114" s="11">
        <f t="shared" si="43"/>
        <v>0</v>
      </c>
      <c r="W114" s="11">
        <f t="shared" si="44"/>
        <v>0</v>
      </c>
      <c r="X114" s="11">
        <f t="shared" si="45"/>
        <v>0</v>
      </c>
      <c r="Y114" s="11">
        <f t="shared" si="46"/>
        <v>0</v>
      </c>
      <c r="Z114" s="65">
        <f t="shared" si="47"/>
        <v>0</v>
      </c>
      <c r="AA114" s="24">
        <f t="shared" si="48"/>
        <v>0</v>
      </c>
      <c r="AB114">
        <f t="shared" si="49"/>
        <v>0</v>
      </c>
      <c r="AC114" s="46">
        <f>+IFERROR(VLOOKUP(E114,#REF!,24,0),0.2)</f>
        <v>0.2</v>
      </c>
      <c r="AD114" s="42">
        <f>+IFERROR(VLOOKUP(E114,h!$C:$D,2,0),0.3866)</f>
        <v>0.38610833333333339</v>
      </c>
      <c r="AE114" s="42">
        <f>+VLOOKUP(A114,k!$A$1:$G$4,5,0)</f>
        <v>0.35799365240740744</v>
      </c>
      <c r="AF114" s="47">
        <f t="shared" si="50"/>
        <v>0.94410198574074089</v>
      </c>
      <c r="AG114" s="48">
        <f t="shared" si="51"/>
        <v>0.1132922382888889</v>
      </c>
      <c r="AH114" s="20">
        <f>+IFERROR(VLOOKUP(C114,k!$A$7:$L$13,7,0),0)</f>
        <v>0</v>
      </c>
      <c r="AI114" s="20">
        <f t="shared" si="52"/>
        <v>0</v>
      </c>
      <c r="AJ114" s="5">
        <f t="shared" si="53"/>
        <v>0</v>
      </c>
      <c r="AK114" s="57">
        <f t="shared" si="54"/>
        <v>0</v>
      </c>
      <c r="AL114" s="19">
        <f t="shared" si="55"/>
        <v>0</v>
      </c>
      <c r="AM114" s="20">
        <f t="shared" si="56"/>
        <v>0</v>
      </c>
      <c r="AN114" s="27">
        <f t="shared" si="57"/>
        <v>0</v>
      </c>
      <c r="AO114" s="57">
        <f t="shared" si="70"/>
        <v>0</v>
      </c>
      <c r="AP114" s="19">
        <f t="shared" si="59"/>
        <v>0</v>
      </c>
      <c r="AQ114" s="20">
        <f t="shared" si="60"/>
        <v>0</v>
      </c>
      <c r="AR114" s="58">
        <f t="shared" si="61"/>
        <v>0</v>
      </c>
      <c r="AS114" s="1">
        <f t="shared" si="62"/>
        <v>0</v>
      </c>
      <c r="AT114" s="21">
        <f t="shared" si="63"/>
        <v>0</v>
      </c>
      <c r="AU114" s="28">
        <f t="shared" si="64"/>
        <v>0</v>
      </c>
      <c r="AV114" s="19">
        <f t="shared" si="65"/>
        <v>0</v>
      </c>
      <c r="AW114" s="19">
        <f t="shared" si="66"/>
        <v>0</v>
      </c>
      <c r="AX114" s="27">
        <f t="shared" si="67"/>
        <v>0</v>
      </c>
      <c r="AY114" s="1" t="e">
        <f t="shared" si="68"/>
        <v>#DIV/0!</v>
      </c>
      <c r="AZ114" s="1" t="e">
        <f t="shared" si="69"/>
        <v>#DIV/0!</v>
      </c>
    </row>
    <row r="115" spans="1:52" hidden="1" x14ac:dyDescent="0.35">
      <c r="A115" s="29" t="s">
        <v>423</v>
      </c>
      <c r="B115" s="6">
        <v>2.5000000000000001E-2</v>
      </c>
      <c r="C115" s="2" t="e">
        <f>+VLOOKUP(E115,inventario!#REF!,2,0)</f>
        <v>#REF!</v>
      </c>
      <c r="D115" t="str">
        <f t="shared" si="38"/>
        <v>1039</v>
      </c>
      <c r="E115" t="s">
        <v>67</v>
      </c>
      <c r="F115" s="6" t="str">
        <f>+IFERROR(VLOOKUP(E115,#REF!,29,0),"C")</f>
        <v>C</v>
      </c>
      <c r="G115" s="6" t="str">
        <f>+IFERROR(VLOOKUP(E115,#REF!,34,0),"C")</f>
        <v>C</v>
      </c>
      <c r="H115" s="64">
        <f>+IFERROR(VLOOKUP(E115,#REF!,31,0),0)</f>
        <v>0</v>
      </c>
      <c r="I115" s="44">
        <f>+IFERROR(VLOOKUP(E115,#REF!,26,0),0)</f>
        <v>0</v>
      </c>
      <c r="J115" s="44">
        <f>+IFERROR(VLOOKUP(E115,#REF!,30,0),0)</f>
        <v>0</v>
      </c>
      <c r="K115" s="3"/>
      <c r="L115" s="25">
        <f t="shared" si="39"/>
        <v>0.7</v>
      </c>
      <c r="M115" s="26">
        <f t="shared" si="40"/>
        <v>0.52440051270804078</v>
      </c>
      <c r="O115">
        <f>+IFERROR(VLOOKUP(D115,lt!A:J,10,0),15)</f>
        <v>17</v>
      </c>
      <c r="P115">
        <v>2</v>
      </c>
      <c r="Q115">
        <v>1</v>
      </c>
      <c r="R115">
        <v>2</v>
      </c>
      <c r="S115" s="22">
        <f t="shared" si="41"/>
        <v>22</v>
      </c>
      <c r="T115" s="9">
        <v>3</v>
      </c>
      <c r="U115" s="23">
        <f t="shared" si="42"/>
        <v>0.83333333333333337</v>
      </c>
      <c r="V115" s="11">
        <f t="shared" si="43"/>
        <v>0</v>
      </c>
      <c r="W115" s="11">
        <f t="shared" si="44"/>
        <v>0</v>
      </c>
      <c r="X115" s="11">
        <f t="shared" si="45"/>
        <v>0</v>
      </c>
      <c r="Y115" s="11">
        <f t="shared" si="46"/>
        <v>0</v>
      </c>
      <c r="Z115" s="65">
        <f t="shared" si="47"/>
        <v>0</v>
      </c>
      <c r="AA115" s="24">
        <f t="shared" si="48"/>
        <v>0</v>
      </c>
      <c r="AB115">
        <f t="shared" si="49"/>
        <v>0</v>
      </c>
      <c r="AC115" s="46">
        <f>+IFERROR(VLOOKUP(E115,#REF!,24,0),0.2)</f>
        <v>0.2</v>
      </c>
      <c r="AD115" s="42">
        <f>+IFERROR(VLOOKUP(E115,h!$C:$D,2,0),0.3866)</f>
        <v>0.38610833333333339</v>
      </c>
      <c r="AE115" s="42">
        <f>+VLOOKUP(A115,k!$A$1:$G$4,5,0)</f>
        <v>0.35799365240740744</v>
      </c>
      <c r="AF115" s="47">
        <f t="shared" si="50"/>
        <v>0.94410198574074089</v>
      </c>
      <c r="AG115" s="48">
        <f t="shared" si="51"/>
        <v>0.1132922382888889</v>
      </c>
      <c r="AH115" s="20">
        <f>+IFERROR(VLOOKUP(C115,k!$A$7:$L$13,7,0),0)</f>
        <v>0</v>
      </c>
      <c r="AI115" s="20">
        <f t="shared" si="52"/>
        <v>0</v>
      </c>
      <c r="AJ115" s="5">
        <f t="shared" si="53"/>
        <v>0</v>
      </c>
      <c r="AK115" s="57">
        <f t="shared" si="54"/>
        <v>0</v>
      </c>
      <c r="AL115" s="19">
        <f t="shared" si="55"/>
        <v>0</v>
      </c>
      <c r="AM115" s="20">
        <f t="shared" si="56"/>
        <v>0</v>
      </c>
      <c r="AN115" s="27">
        <f t="shared" si="57"/>
        <v>0</v>
      </c>
      <c r="AO115" s="57">
        <f t="shared" si="70"/>
        <v>0</v>
      </c>
      <c r="AP115" s="19">
        <f t="shared" si="59"/>
        <v>0</v>
      </c>
      <c r="AQ115" s="20">
        <f t="shared" si="60"/>
        <v>0</v>
      </c>
      <c r="AR115" s="58">
        <f t="shared" si="61"/>
        <v>0</v>
      </c>
      <c r="AS115" s="1">
        <f t="shared" si="62"/>
        <v>0</v>
      </c>
      <c r="AT115" s="21">
        <f t="shared" si="63"/>
        <v>0</v>
      </c>
      <c r="AU115" s="28">
        <f t="shared" si="64"/>
        <v>0</v>
      </c>
      <c r="AV115" s="19">
        <f t="shared" si="65"/>
        <v>0</v>
      </c>
      <c r="AW115" s="19">
        <f t="shared" si="66"/>
        <v>0</v>
      </c>
      <c r="AX115" s="27">
        <f t="shared" si="67"/>
        <v>0</v>
      </c>
      <c r="AY115" s="1" t="e">
        <f t="shared" si="68"/>
        <v>#DIV/0!</v>
      </c>
      <c r="AZ115" s="1" t="e">
        <f t="shared" si="69"/>
        <v>#DIV/0!</v>
      </c>
    </row>
    <row r="116" spans="1:52" hidden="1" x14ac:dyDescent="0.35">
      <c r="A116" s="29" t="s">
        <v>423</v>
      </c>
      <c r="B116" s="6">
        <v>2.5000000000000001E-2</v>
      </c>
      <c r="C116" s="2" t="e">
        <f>+VLOOKUP(E116,inventario!#REF!,2,0)</f>
        <v>#REF!</v>
      </c>
      <c r="D116" t="str">
        <f t="shared" si="38"/>
        <v>317</v>
      </c>
      <c r="E116" t="s">
        <v>69</v>
      </c>
      <c r="F116" s="6" t="str">
        <f>+IFERROR(VLOOKUP(E116,#REF!,29,0),"C")</f>
        <v>C</v>
      </c>
      <c r="G116" s="6" t="str">
        <f>+IFERROR(VLOOKUP(E116,#REF!,34,0),"C")</f>
        <v>C</v>
      </c>
      <c r="H116" s="64">
        <f>+IFERROR(VLOOKUP(E116,#REF!,31,0),0)</f>
        <v>0</v>
      </c>
      <c r="I116" s="44">
        <f>+IFERROR(VLOOKUP(E116,#REF!,26,0),0)</f>
        <v>0</v>
      </c>
      <c r="J116" s="44">
        <f>+IFERROR(VLOOKUP(E116,#REF!,30,0),0)</f>
        <v>0</v>
      </c>
      <c r="K116" s="3"/>
      <c r="L116" s="25">
        <f t="shared" si="39"/>
        <v>0.7</v>
      </c>
      <c r="M116" s="26">
        <f t="shared" si="40"/>
        <v>0.52440051270804078</v>
      </c>
      <c r="O116">
        <f>+IFERROR(VLOOKUP(D116,lt!A:J,10,0),15)</f>
        <v>17</v>
      </c>
      <c r="P116">
        <v>2</v>
      </c>
      <c r="Q116">
        <v>1</v>
      </c>
      <c r="R116">
        <v>2</v>
      </c>
      <c r="S116" s="22">
        <f t="shared" si="41"/>
        <v>22</v>
      </c>
      <c r="T116" s="9">
        <v>3</v>
      </c>
      <c r="U116" s="23">
        <f t="shared" si="42"/>
        <v>0.83333333333333337</v>
      </c>
      <c r="V116" s="11">
        <f t="shared" si="43"/>
        <v>0</v>
      </c>
      <c r="W116" s="11">
        <f t="shared" si="44"/>
        <v>0</v>
      </c>
      <c r="X116" s="11">
        <f t="shared" si="45"/>
        <v>0</v>
      </c>
      <c r="Y116" s="11">
        <f t="shared" si="46"/>
        <v>0</v>
      </c>
      <c r="Z116" s="65">
        <f t="shared" si="47"/>
        <v>0</v>
      </c>
      <c r="AA116" s="24">
        <f t="shared" si="48"/>
        <v>0</v>
      </c>
      <c r="AB116">
        <f t="shared" si="49"/>
        <v>0</v>
      </c>
      <c r="AC116" s="46">
        <f>+IFERROR(VLOOKUP(E116,#REF!,24,0),0.2)</f>
        <v>0.2</v>
      </c>
      <c r="AD116" s="42">
        <f>+IFERROR(VLOOKUP(E116,h!$C:$D,2,0),0.3866)</f>
        <v>0.38610833333333339</v>
      </c>
      <c r="AE116" s="42">
        <f>+VLOOKUP(A116,k!$A$1:$G$4,5,0)</f>
        <v>0.35799365240740744</v>
      </c>
      <c r="AF116" s="47">
        <f t="shared" si="50"/>
        <v>0.94410198574074089</v>
      </c>
      <c r="AG116" s="48">
        <f t="shared" si="51"/>
        <v>0.1132922382888889</v>
      </c>
      <c r="AH116" s="20">
        <f>+IFERROR(VLOOKUP(C116,k!$A$7:$L$13,7,0),0)</f>
        <v>0</v>
      </c>
      <c r="AI116" s="20">
        <f t="shared" si="52"/>
        <v>0</v>
      </c>
      <c r="AJ116" s="5">
        <f t="shared" si="53"/>
        <v>0</v>
      </c>
      <c r="AK116" s="57">
        <f t="shared" si="54"/>
        <v>0</v>
      </c>
      <c r="AL116" s="19">
        <f t="shared" si="55"/>
        <v>0</v>
      </c>
      <c r="AM116" s="20">
        <f t="shared" si="56"/>
        <v>0</v>
      </c>
      <c r="AN116" s="27">
        <f t="shared" si="57"/>
        <v>0</v>
      </c>
      <c r="AO116" s="57">
        <f t="shared" si="70"/>
        <v>0</v>
      </c>
      <c r="AP116" s="19">
        <f t="shared" si="59"/>
        <v>0</v>
      </c>
      <c r="AQ116" s="20">
        <f t="shared" si="60"/>
        <v>0</v>
      </c>
      <c r="AR116" s="58">
        <f t="shared" si="61"/>
        <v>0</v>
      </c>
      <c r="AS116" s="1">
        <f t="shared" si="62"/>
        <v>0</v>
      </c>
      <c r="AT116" s="21">
        <f t="shared" si="63"/>
        <v>0</v>
      </c>
      <c r="AU116" s="28">
        <f t="shared" si="64"/>
        <v>0</v>
      </c>
      <c r="AV116" s="19">
        <f t="shared" si="65"/>
        <v>0</v>
      </c>
      <c r="AW116" s="19">
        <f t="shared" si="66"/>
        <v>0</v>
      </c>
      <c r="AX116" s="27">
        <f t="shared" si="67"/>
        <v>0</v>
      </c>
      <c r="AY116" s="1" t="e">
        <f t="shared" si="68"/>
        <v>#DIV/0!</v>
      </c>
      <c r="AZ116" s="1" t="e">
        <f t="shared" si="69"/>
        <v>#DIV/0!</v>
      </c>
    </row>
    <row r="117" spans="1:52" hidden="1" x14ac:dyDescent="0.35">
      <c r="A117" s="29" t="s">
        <v>423</v>
      </c>
      <c r="B117" s="6">
        <v>2.5000000000000001E-2</v>
      </c>
      <c r="C117" s="2" t="e">
        <f>+VLOOKUP(E117,inventario!#REF!,2,0)</f>
        <v>#REF!</v>
      </c>
      <c r="D117" t="str">
        <f t="shared" si="38"/>
        <v>388</v>
      </c>
      <c r="E117" t="s">
        <v>74</v>
      </c>
      <c r="F117" s="6" t="str">
        <f>+IFERROR(VLOOKUP(E117,#REF!,29,0),"C")</f>
        <v>C</v>
      </c>
      <c r="G117" s="6" t="str">
        <f>+IFERROR(VLOOKUP(E117,#REF!,34,0),"C")</f>
        <v>C</v>
      </c>
      <c r="H117" s="64">
        <f>+IFERROR(VLOOKUP(E117,#REF!,31,0),0)</f>
        <v>0</v>
      </c>
      <c r="I117" s="44">
        <f>+IFERROR(VLOOKUP(E117,#REF!,26,0),0)</f>
        <v>0</v>
      </c>
      <c r="J117" s="44">
        <f>+IFERROR(VLOOKUP(E117,#REF!,30,0),0)</f>
        <v>0</v>
      </c>
      <c r="K117" s="3"/>
      <c r="L117" s="25">
        <f t="shared" si="39"/>
        <v>0.7</v>
      </c>
      <c r="M117" s="26">
        <f t="shared" si="40"/>
        <v>0.52440051270804078</v>
      </c>
      <c r="O117">
        <f>+IFERROR(VLOOKUP(D117,lt!A:J,10,0),15)</f>
        <v>15</v>
      </c>
      <c r="P117">
        <v>2</v>
      </c>
      <c r="Q117">
        <v>1</v>
      </c>
      <c r="R117">
        <v>2</v>
      </c>
      <c r="S117" s="22">
        <f t="shared" si="41"/>
        <v>20</v>
      </c>
      <c r="T117" s="9">
        <v>3</v>
      </c>
      <c r="U117" s="23">
        <f t="shared" si="42"/>
        <v>0.76666666666666672</v>
      </c>
      <c r="V117" s="11">
        <f t="shared" si="43"/>
        <v>0</v>
      </c>
      <c r="W117" s="11">
        <f t="shared" si="44"/>
        <v>0</v>
      </c>
      <c r="X117" s="11">
        <f t="shared" si="45"/>
        <v>0</v>
      </c>
      <c r="Y117" s="11">
        <f t="shared" si="46"/>
        <v>0</v>
      </c>
      <c r="Z117" s="65">
        <f t="shared" si="47"/>
        <v>0</v>
      </c>
      <c r="AA117" s="24">
        <f t="shared" si="48"/>
        <v>0</v>
      </c>
      <c r="AB117">
        <f t="shared" si="49"/>
        <v>0</v>
      </c>
      <c r="AC117" s="46">
        <f>+IFERROR(VLOOKUP(E117,#REF!,24,0),0.2)</f>
        <v>0.2</v>
      </c>
      <c r="AD117" s="42">
        <f>+IFERROR(VLOOKUP(E117,h!$C:$D,2,0),0.3866)</f>
        <v>0.38610833333333339</v>
      </c>
      <c r="AE117" s="42">
        <f>+VLOOKUP(A117,k!$A$1:$G$4,5,0)</f>
        <v>0.35799365240740744</v>
      </c>
      <c r="AF117" s="47">
        <f t="shared" si="50"/>
        <v>0.94410198574074089</v>
      </c>
      <c r="AG117" s="48">
        <f t="shared" si="51"/>
        <v>0.1132922382888889</v>
      </c>
      <c r="AH117" s="20">
        <f>+IFERROR(VLOOKUP(C117,k!$A$7:$L$13,7,0),0)</f>
        <v>0</v>
      </c>
      <c r="AI117" s="20">
        <f t="shared" si="52"/>
        <v>0</v>
      </c>
      <c r="AJ117" s="5">
        <f t="shared" si="53"/>
        <v>0</v>
      </c>
      <c r="AK117" s="57">
        <f t="shared" si="54"/>
        <v>0</v>
      </c>
      <c r="AL117" s="19">
        <f t="shared" si="55"/>
        <v>0</v>
      </c>
      <c r="AM117" s="20">
        <f t="shared" si="56"/>
        <v>0</v>
      </c>
      <c r="AN117" s="27">
        <f t="shared" si="57"/>
        <v>0</v>
      </c>
      <c r="AO117" s="57">
        <f t="shared" si="70"/>
        <v>0</v>
      </c>
      <c r="AP117" s="19">
        <f t="shared" si="59"/>
        <v>0</v>
      </c>
      <c r="AQ117" s="20">
        <f t="shared" si="60"/>
        <v>0</v>
      </c>
      <c r="AR117" s="58">
        <f t="shared" si="61"/>
        <v>0</v>
      </c>
      <c r="AS117" s="1">
        <f t="shared" si="62"/>
        <v>0</v>
      </c>
      <c r="AT117" s="21">
        <f t="shared" si="63"/>
        <v>0</v>
      </c>
      <c r="AU117" s="28">
        <f t="shared" si="64"/>
        <v>0</v>
      </c>
      <c r="AV117" s="19">
        <f t="shared" si="65"/>
        <v>0</v>
      </c>
      <c r="AW117" s="19">
        <f t="shared" si="66"/>
        <v>0</v>
      </c>
      <c r="AX117" s="27">
        <f t="shared" si="67"/>
        <v>0</v>
      </c>
      <c r="AY117" s="1" t="e">
        <f t="shared" si="68"/>
        <v>#DIV/0!</v>
      </c>
      <c r="AZ117" s="1" t="e">
        <f t="shared" si="69"/>
        <v>#DIV/0!</v>
      </c>
    </row>
    <row r="118" spans="1:52" hidden="1" x14ac:dyDescent="0.35">
      <c r="A118" s="29" t="s">
        <v>423</v>
      </c>
      <c r="B118" s="6">
        <v>2.5000000000000001E-2</v>
      </c>
      <c r="C118" s="2" t="e">
        <f>+VLOOKUP(E118,inventario!#REF!,2,0)</f>
        <v>#REF!</v>
      </c>
      <c r="D118" t="str">
        <f t="shared" si="38"/>
        <v>1010</v>
      </c>
      <c r="E118" t="s">
        <v>68</v>
      </c>
      <c r="F118" s="6" t="str">
        <f>+IFERROR(VLOOKUP(E118,#REF!,29,0),"C")</f>
        <v>C</v>
      </c>
      <c r="G118" s="6" t="str">
        <f>+IFERROR(VLOOKUP(E118,#REF!,34,0),"C")</f>
        <v>C</v>
      </c>
      <c r="H118" s="64">
        <f>+IFERROR(VLOOKUP(E118,#REF!,31,0),0)</f>
        <v>0</v>
      </c>
      <c r="I118" s="44">
        <f>+IFERROR(VLOOKUP(E118,#REF!,26,0),0)</f>
        <v>0</v>
      </c>
      <c r="J118" s="44">
        <f>+IFERROR(VLOOKUP(E118,#REF!,30,0),0)</f>
        <v>0</v>
      </c>
      <c r="K118" s="3"/>
      <c r="L118" s="25">
        <f t="shared" si="39"/>
        <v>0.7</v>
      </c>
      <c r="M118" s="26">
        <f t="shared" si="40"/>
        <v>0.52440051270804078</v>
      </c>
      <c r="O118">
        <f>+IFERROR(VLOOKUP(D118,lt!A:J,10,0),15)</f>
        <v>17</v>
      </c>
      <c r="P118">
        <v>2</v>
      </c>
      <c r="Q118">
        <v>1</v>
      </c>
      <c r="R118">
        <v>2</v>
      </c>
      <c r="S118" s="22">
        <f t="shared" si="41"/>
        <v>22</v>
      </c>
      <c r="T118" s="9">
        <v>3</v>
      </c>
      <c r="U118" s="23">
        <f t="shared" si="42"/>
        <v>0.83333333333333337</v>
      </c>
      <c r="V118" s="11">
        <f t="shared" si="43"/>
        <v>0</v>
      </c>
      <c r="W118" s="11">
        <f t="shared" si="44"/>
        <v>0</v>
      </c>
      <c r="X118" s="11">
        <f t="shared" si="45"/>
        <v>0</v>
      </c>
      <c r="Y118" s="11">
        <f t="shared" si="46"/>
        <v>0</v>
      </c>
      <c r="Z118" s="65">
        <f t="shared" si="47"/>
        <v>0</v>
      </c>
      <c r="AA118" s="24">
        <f t="shared" si="48"/>
        <v>0</v>
      </c>
      <c r="AB118">
        <f t="shared" si="49"/>
        <v>0</v>
      </c>
      <c r="AC118" s="46">
        <f>+IFERROR(VLOOKUP(E118,#REF!,24,0),0.2)</f>
        <v>0.2</v>
      </c>
      <c r="AD118" s="42">
        <f>+IFERROR(VLOOKUP(E118,h!$C:$D,2,0),0.3866)</f>
        <v>0.38610833333333339</v>
      </c>
      <c r="AE118" s="42">
        <f>+VLOOKUP(A118,k!$A$1:$G$4,5,0)</f>
        <v>0.35799365240740744</v>
      </c>
      <c r="AF118" s="47">
        <f t="shared" si="50"/>
        <v>0.94410198574074089</v>
      </c>
      <c r="AG118" s="48">
        <f t="shared" si="51"/>
        <v>0.1132922382888889</v>
      </c>
      <c r="AH118" s="20">
        <f>+IFERROR(VLOOKUP(C118,k!$A$7:$L$13,7,0),0)</f>
        <v>0</v>
      </c>
      <c r="AI118" s="20">
        <f t="shared" si="52"/>
        <v>0</v>
      </c>
      <c r="AJ118" s="5">
        <f t="shared" si="53"/>
        <v>0</v>
      </c>
      <c r="AK118" s="57">
        <f t="shared" si="54"/>
        <v>0</v>
      </c>
      <c r="AL118" s="19">
        <f t="shared" si="55"/>
        <v>0</v>
      </c>
      <c r="AM118" s="20">
        <f t="shared" si="56"/>
        <v>0</v>
      </c>
      <c r="AN118" s="27">
        <f t="shared" si="57"/>
        <v>0</v>
      </c>
      <c r="AO118" s="57">
        <f t="shared" si="70"/>
        <v>0</v>
      </c>
      <c r="AP118" s="19">
        <f t="shared" si="59"/>
        <v>0</v>
      </c>
      <c r="AQ118" s="20">
        <f t="shared" si="60"/>
        <v>0</v>
      </c>
      <c r="AR118" s="58">
        <f t="shared" si="61"/>
        <v>0</v>
      </c>
      <c r="AS118" s="1">
        <f t="shared" si="62"/>
        <v>0</v>
      </c>
      <c r="AT118" s="21">
        <f t="shared" si="63"/>
        <v>0</v>
      </c>
      <c r="AU118" s="28">
        <f t="shared" si="64"/>
        <v>0</v>
      </c>
      <c r="AV118" s="19">
        <f t="shared" si="65"/>
        <v>0</v>
      </c>
      <c r="AW118" s="19">
        <f t="shared" si="66"/>
        <v>0</v>
      </c>
      <c r="AX118" s="27">
        <f t="shared" si="67"/>
        <v>0</v>
      </c>
      <c r="AY118" s="1" t="e">
        <f t="shared" si="68"/>
        <v>#DIV/0!</v>
      </c>
      <c r="AZ118" s="1" t="e">
        <f t="shared" si="69"/>
        <v>#DIV/0!</v>
      </c>
    </row>
    <row r="119" spans="1:52" hidden="1" x14ac:dyDescent="0.35">
      <c r="A119" s="29" t="s">
        <v>423</v>
      </c>
      <c r="B119" s="6">
        <v>2.5000000000000001E-2</v>
      </c>
      <c r="C119" s="2" t="e">
        <f>+VLOOKUP(E119,inventario!#REF!,2,0)</f>
        <v>#REF!</v>
      </c>
      <c r="D119" t="str">
        <f t="shared" si="38"/>
        <v>701.2</v>
      </c>
      <c r="E119" t="s">
        <v>140</v>
      </c>
      <c r="F119" s="6" t="str">
        <f>+IFERROR(VLOOKUP(E119,#REF!,29,0),"C")</f>
        <v>C</v>
      </c>
      <c r="G119" s="6" t="str">
        <f>+IFERROR(VLOOKUP(E119,#REF!,34,0),"C")</f>
        <v>C</v>
      </c>
      <c r="H119" s="64">
        <f>+IFERROR(VLOOKUP(E119,#REF!,31,0),0)</f>
        <v>0</v>
      </c>
      <c r="I119" s="44">
        <f>+IFERROR(VLOOKUP(E119,#REF!,26,0),0)</f>
        <v>0</v>
      </c>
      <c r="J119" s="44">
        <f>+IFERROR(VLOOKUP(E119,#REF!,30,0),0)</f>
        <v>0</v>
      </c>
      <c r="K119" s="3"/>
      <c r="L119" s="25">
        <f t="shared" si="39"/>
        <v>0.7</v>
      </c>
      <c r="M119" s="26">
        <f t="shared" si="40"/>
        <v>0.52440051270804078</v>
      </c>
      <c r="O119">
        <f>+IFERROR(VLOOKUP(D119,lt!A:J,10,0),15)</f>
        <v>17</v>
      </c>
      <c r="P119">
        <v>2</v>
      </c>
      <c r="Q119">
        <v>1</v>
      </c>
      <c r="R119">
        <v>2</v>
      </c>
      <c r="S119" s="22">
        <f t="shared" si="41"/>
        <v>22</v>
      </c>
      <c r="T119" s="9">
        <v>3</v>
      </c>
      <c r="U119" s="23">
        <f t="shared" si="42"/>
        <v>0.83333333333333337</v>
      </c>
      <c r="V119" s="11">
        <f t="shared" si="43"/>
        <v>0</v>
      </c>
      <c r="W119" s="11">
        <f t="shared" si="44"/>
        <v>0</v>
      </c>
      <c r="X119" s="11">
        <f t="shared" si="45"/>
        <v>0</v>
      </c>
      <c r="Y119" s="11">
        <f t="shared" si="46"/>
        <v>0</v>
      </c>
      <c r="Z119" s="65">
        <f t="shared" si="47"/>
        <v>0</v>
      </c>
      <c r="AA119" s="24">
        <f t="shared" si="48"/>
        <v>0</v>
      </c>
      <c r="AB119">
        <f t="shared" si="49"/>
        <v>0</v>
      </c>
      <c r="AC119" s="46">
        <f>+IFERROR(VLOOKUP(E119,#REF!,24,0),0.2)</f>
        <v>0.2</v>
      </c>
      <c r="AD119" s="42">
        <f>+IFERROR(VLOOKUP(E119,h!$C:$D,2,0),0.3866)</f>
        <v>0.38610833333333339</v>
      </c>
      <c r="AE119" s="42">
        <f>+VLOOKUP(A119,k!$A$1:$G$4,5,0)</f>
        <v>0.35799365240740744</v>
      </c>
      <c r="AF119" s="47">
        <f t="shared" si="50"/>
        <v>0.94410198574074089</v>
      </c>
      <c r="AG119" s="48">
        <f t="shared" si="51"/>
        <v>0.1132922382888889</v>
      </c>
      <c r="AH119" s="20">
        <f>+IFERROR(VLOOKUP(C119,k!$A$7:$L$13,7,0),0)</f>
        <v>0</v>
      </c>
      <c r="AI119" s="20">
        <f t="shared" si="52"/>
        <v>0</v>
      </c>
      <c r="AJ119" s="5">
        <f t="shared" si="53"/>
        <v>0</v>
      </c>
      <c r="AK119" s="57">
        <f t="shared" si="54"/>
        <v>0</v>
      </c>
      <c r="AL119" s="19">
        <f t="shared" si="55"/>
        <v>0</v>
      </c>
      <c r="AM119" s="20">
        <f t="shared" si="56"/>
        <v>0</v>
      </c>
      <c r="AN119" s="27">
        <f t="shared" si="57"/>
        <v>0</v>
      </c>
      <c r="AO119" s="57">
        <f t="shared" si="70"/>
        <v>0</v>
      </c>
      <c r="AP119" s="19">
        <f t="shared" si="59"/>
        <v>0</v>
      </c>
      <c r="AQ119" s="20">
        <f t="shared" si="60"/>
        <v>0</v>
      </c>
      <c r="AR119" s="58">
        <f t="shared" si="61"/>
        <v>0</v>
      </c>
      <c r="AS119" s="1">
        <f t="shared" si="62"/>
        <v>0</v>
      </c>
      <c r="AT119" s="21">
        <f t="shared" si="63"/>
        <v>0</v>
      </c>
      <c r="AU119" s="28">
        <f t="shared" si="64"/>
        <v>0</v>
      </c>
      <c r="AV119" s="19">
        <f t="shared" si="65"/>
        <v>0</v>
      </c>
      <c r="AW119" s="19">
        <f t="shared" si="66"/>
        <v>0</v>
      </c>
      <c r="AX119" s="27">
        <f t="shared" si="67"/>
        <v>0</v>
      </c>
      <c r="AY119" s="1" t="e">
        <f t="shared" si="68"/>
        <v>#DIV/0!</v>
      </c>
      <c r="AZ119" s="1" t="e">
        <f t="shared" si="69"/>
        <v>#DIV/0!</v>
      </c>
    </row>
    <row r="120" spans="1:52" hidden="1" x14ac:dyDescent="0.35">
      <c r="A120" s="29" t="s">
        <v>423</v>
      </c>
      <c r="B120" s="6">
        <v>5.0000000000000001E-3</v>
      </c>
      <c r="C120" s="2" t="e">
        <f>+VLOOKUP(E120,inventario!#REF!,2,0)</f>
        <v>#REF!</v>
      </c>
      <c r="D120" t="str">
        <f t="shared" si="38"/>
        <v>527</v>
      </c>
      <c r="E120" t="s">
        <v>1078</v>
      </c>
      <c r="F120" s="6" t="str">
        <f>+IFERROR(VLOOKUP(E120,#REF!,29,0),"C")</f>
        <v>C</v>
      </c>
      <c r="G120" s="6" t="str">
        <f>+IFERROR(VLOOKUP(E120,#REF!,34,0),"C")</f>
        <v>C</v>
      </c>
      <c r="H120" s="64">
        <f>+IFERROR(VLOOKUP(E120,#REF!,31,0),0)</f>
        <v>0</v>
      </c>
      <c r="I120" s="44">
        <f>+IFERROR(VLOOKUP(E120,#REF!,26,0),0)</f>
        <v>0</v>
      </c>
      <c r="J120" s="44">
        <f>+IFERROR(VLOOKUP(E120,#REF!,30,0),0)</f>
        <v>0</v>
      </c>
      <c r="K120" s="3"/>
      <c r="L120" s="25">
        <f t="shared" si="39"/>
        <v>0.7</v>
      </c>
      <c r="M120" s="26">
        <f t="shared" si="40"/>
        <v>0.52440051270804078</v>
      </c>
      <c r="O120">
        <f>+IFERROR(VLOOKUP(D120,lt!A:J,10,0),15)</f>
        <v>15</v>
      </c>
      <c r="P120">
        <v>2</v>
      </c>
      <c r="Q120">
        <v>1</v>
      </c>
      <c r="R120">
        <v>2</v>
      </c>
      <c r="S120" s="22">
        <f t="shared" si="41"/>
        <v>20</v>
      </c>
      <c r="T120" s="9">
        <v>3</v>
      </c>
      <c r="U120" s="23">
        <f t="shared" si="42"/>
        <v>0.76666666666666672</v>
      </c>
      <c r="V120" s="11">
        <f t="shared" si="43"/>
        <v>0</v>
      </c>
      <c r="W120" s="11">
        <f t="shared" si="44"/>
        <v>0</v>
      </c>
      <c r="X120" s="11">
        <f t="shared" si="45"/>
        <v>0</v>
      </c>
      <c r="Y120" s="11">
        <f t="shared" si="46"/>
        <v>0</v>
      </c>
      <c r="Z120" s="65">
        <f t="shared" si="47"/>
        <v>0</v>
      </c>
      <c r="AA120" s="24">
        <f t="shared" si="48"/>
        <v>0</v>
      </c>
      <c r="AB120">
        <f t="shared" si="49"/>
        <v>0</v>
      </c>
      <c r="AC120" s="46">
        <f>+IFERROR(VLOOKUP(E120,#REF!,24,0),0.2)</f>
        <v>0.2</v>
      </c>
      <c r="AD120" s="42">
        <f>+IFERROR(VLOOKUP(E120,h!$C:$D,2,0),0.3866)</f>
        <v>0.3866</v>
      </c>
      <c r="AE120" s="42">
        <f>+VLOOKUP(A120,k!$A$1:$G$4,5,0)</f>
        <v>0.35799365240740744</v>
      </c>
      <c r="AF120" s="47">
        <f t="shared" si="50"/>
        <v>0.94459365240740745</v>
      </c>
      <c r="AG120" s="48">
        <f t="shared" si="51"/>
        <v>0.11335123828888889</v>
      </c>
      <c r="AH120" s="20">
        <f>+IFERROR(VLOOKUP(C120,k!$A$7:$L$13,7,0),0)</f>
        <v>0</v>
      </c>
      <c r="AI120" s="20">
        <f t="shared" si="52"/>
        <v>0</v>
      </c>
      <c r="AJ120" s="5">
        <f t="shared" si="53"/>
        <v>0</v>
      </c>
      <c r="AK120" s="57">
        <f t="shared" si="54"/>
        <v>0</v>
      </c>
      <c r="AL120" s="19">
        <f t="shared" si="55"/>
        <v>0</v>
      </c>
      <c r="AM120" s="20">
        <f t="shared" si="56"/>
        <v>0</v>
      </c>
      <c r="AN120" s="27">
        <f t="shared" si="57"/>
        <v>0</v>
      </c>
      <c r="AO120" s="57">
        <f t="shared" si="70"/>
        <v>0</v>
      </c>
      <c r="AP120" s="19">
        <f t="shared" si="59"/>
        <v>0</v>
      </c>
      <c r="AQ120" s="20">
        <f t="shared" si="60"/>
        <v>0</v>
      </c>
      <c r="AR120" s="58">
        <f t="shared" si="61"/>
        <v>0</v>
      </c>
      <c r="AS120" s="1">
        <f t="shared" si="62"/>
        <v>0</v>
      </c>
      <c r="AT120" s="21">
        <f t="shared" si="63"/>
        <v>0</v>
      </c>
      <c r="AU120" s="28">
        <f t="shared" si="64"/>
        <v>0</v>
      </c>
      <c r="AV120" s="19">
        <f t="shared" si="65"/>
        <v>0</v>
      </c>
      <c r="AW120" s="19">
        <f t="shared" si="66"/>
        <v>0</v>
      </c>
      <c r="AX120" s="27">
        <f t="shared" si="67"/>
        <v>0</v>
      </c>
      <c r="AY120" s="1" t="e">
        <f t="shared" si="68"/>
        <v>#DIV/0!</v>
      </c>
      <c r="AZ120" s="1" t="e">
        <f t="shared" si="69"/>
        <v>#DIV/0!</v>
      </c>
    </row>
    <row r="121" spans="1:52" hidden="1" x14ac:dyDescent="0.35">
      <c r="A121" s="29" t="s">
        <v>423</v>
      </c>
      <c r="B121" s="6">
        <v>0.01</v>
      </c>
      <c r="C121" s="2" t="e">
        <f>+VLOOKUP(E121,inventario!#REF!,2,0)</f>
        <v>#REF!</v>
      </c>
      <c r="D121" t="str">
        <f t="shared" si="38"/>
        <v>498.1</v>
      </c>
      <c r="E121" t="s">
        <v>157</v>
      </c>
      <c r="F121" s="6" t="str">
        <f>+IFERROR(VLOOKUP(E121,#REF!,29,0),"C")</f>
        <v>C</v>
      </c>
      <c r="G121" s="6" t="str">
        <f>+IFERROR(VLOOKUP(E121,#REF!,34,0),"C")</f>
        <v>C</v>
      </c>
      <c r="H121" s="64">
        <f>+IFERROR(VLOOKUP(E121,#REF!,31,0),0)</f>
        <v>0</v>
      </c>
      <c r="I121" s="44">
        <f>+IFERROR(VLOOKUP(E121,#REF!,26,0),0)</f>
        <v>0</v>
      </c>
      <c r="J121" s="44">
        <f>+IFERROR(VLOOKUP(E121,#REF!,30,0),0)</f>
        <v>0</v>
      </c>
      <c r="K121" s="3"/>
      <c r="L121" s="25">
        <f t="shared" si="39"/>
        <v>0.7</v>
      </c>
      <c r="M121" s="26">
        <f t="shared" si="40"/>
        <v>0.52440051270804078</v>
      </c>
      <c r="O121">
        <f>+IFERROR(VLOOKUP(D121,lt!A:J,10,0),15)</f>
        <v>17</v>
      </c>
      <c r="P121">
        <v>2</v>
      </c>
      <c r="Q121">
        <v>1</v>
      </c>
      <c r="R121">
        <v>2</v>
      </c>
      <c r="S121" s="22">
        <f t="shared" si="41"/>
        <v>22</v>
      </c>
      <c r="T121" s="9">
        <v>3</v>
      </c>
      <c r="U121" s="23">
        <f t="shared" si="42"/>
        <v>0.83333333333333337</v>
      </c>
      <c r="V121" s="11">
        <f t="shared" si="43"/>
        <v>0</v>
      </c>
      <c r="W121" s="11">
        <f t="shared" si="44"/>
        <v>0</v>
      </c>
      <c r="X121" s="11">
        <f t="shared" si="45"/>
        <v>0</v>
      </c>
      <c r="Y121" s="11">
        <f t="shared" si="46"/>
        <v>0</v>
      </c>
      <c r="Z121" s="65">
        <f t="shared" si="47"/>
        <v>0</v>
      </c>
      <c r="AA121" s="24">
        <f t="shared" si="48"/>
        <v>0</v>
      </c>
      <c r="AB121">
        <f t="shared" si="49"/>
        <v>0</v>
      </c>
      <c r="AC121" s="46">
        <f>+IFERROR(VLOOKUP(E121,#REF!,24,0),0.2)</f>
        <v>0.2</v>
      </c>
      <c r="AD121" s="42">
        <f>+IFERROR(VLOOKUP(E121,h!$C:$D,2,0),0.3866)</f>
        <v>0.38610833333333339</v>
      </c>
      <c r="AE121" s="42">
        <f>+VLOOKUP(A121,k!$A$1:$G$4,5,0)</f>
        <v>0.35799365240740744</v>
      </c>
      <c r="AF121" s="47">
        <f t="shared" si="50"/>
        <v>0.94410198574074089</v>
      </c>
      <c r="AG121" s="48">
        <f t="shared" si="51"/>
        <v>0.1132922382888889</v>
      </c>
      <c r="AH121" s="20">
        <f>+IFERROR(VLOOKUP(C121,k!$A$7:$L$13,7,0),0)</f>
        <v>0</v>
      </c>
      <c r="AI121" s="20">
        <f t="shared" si="52"/>
        <v>0</v>
      </c>
      <c r="AJ121" s="5">
        <f t="shared" si="53"/>
        <v>0</v>
      </c>
      <c r="AK121" s="57">
        <f t="shared" si="54"/>
        <v>0</v>
      </c>
      <c r="AL121" s="19">
        <f t="shared" si="55"/>
        <v>0</v>
      </c>
      <c r="AM121" s="20">
        <f t="shared" si="56"/>
        <v>0</v>
      </c>
      <c r="AN121" s="27">
        <f t="shared" si="57"/>
        <v>0</v>
      </c>
      <c r="AO121" s="57">
        <f>+AK121</f>
        <v>0</v>
      </c>
      <c r="AP121" s="19">
        <f t="shared" si="59"/>
        <v>0</v>
      </c>
      <c r="AQ121" s="20">
        <f t="shared" si="60"/>
        <v>0</v>
      </c>
      <c r="AR121" s="58">
        <f t="shared" si="61"/>
        <v>0</v>
      </c>
      <c r="AS121" s="1">
        <f t="shared" si="62"/>
        <v>0</v>
      </c>
      <c r="AT121" s="21">
        <f t="shared" si="63"/>
        <v>0</v>
      </c>
      <c r="AU121" s="28">
        <f t="shared" si="64"/>
        <v>0</v>
      </c>
      <c r="AV121" s="19">
        <f t="shared" si="65"/>
        <v>0</v>
      </c>
      <c r="AW121" s="19">
        <f t="shared" si="66"/>
        <v>0</v>
      </c>
      <c r="AX121" s="27">
        <f t="shared" si="67"/>
        <v>0</v>
      </c>
      <c r="AY121" s="1" t="e">
        <f t="shared" si="68"/>
        <v>#DIV/0!</v>
      </c>
      <c r="AZ121" s="1" t="e">
        <f t="shared" si="69"/>
        <v>#DIV/0!</v>
      </c>
    </row>
    <row r="122" spans="1:52" hidden="1" x14ac:dyDescent="0.35">
      <c r="A122" s="29" t="s">
        <v>423</v>
      </c>
      <c r="B122" s="6">
        <v>2.5000000000000001E-2</v>
      </c>
      <c r="C122" s="2" t="e">
        <f>+VLOOKUP(E122,inventario!#REF!,2,0)</f>
        <v>#REF!</v>
      </c>
      <c r="D122" t="str">
        <f t="shared" si="38"/>
        <v>933</v>
      </c>
      <c r="E122" t="s">
        <v>163</v>
      </c>
      <c r="F122" s="6" t="str">
        <f>+IFERROR(VLOOKUP(E122,#REF!,29,0),"C")</f>
        <v>C</v>
      </c>
      <c r="G122" s="6" t="str">
        <f>+IFERROR(VLOOKUP(E122,#REF!,34,0),"C")</f>
        <v>C</v>
      </c>
      <c r="H122" s="64">
        <f>+IFERROR(VLOOKUP(E122,#REF!,31,0),0)</f>
        <v>0</v>
      </c>
      <c r="I122" s="44">
        <f>+IFERROR(VLOOKUP(E122,#REF!,26,0),0)</f>
        <v>0</v>
      </c>
      <c r="J122" s="44">
        <f>+IFERROR(VLOOKUP(E122,#REF!,30,0),0)</f>
        <v>0</v>
      </c>
      <c r="K122" s="3"/>
      <c r="L122" s="25">
        <f t="shared" si="39"/>
        <v>0.7</v>
      </c>
      <c r="M122" s="26">
        <f t="shared" si="40"/>
        <v>0.52440051270804078</v>
      </c>
      <c r="O122">
        <f>+IFERROR(VLOOKUP(D122,lt!A:J,10,0),15)</f>
        <v>17</v>
      </c>
      <c r="P122">
        <v>2</v>
      </c>
      <c r="Q122">
        <v>1</v>
      </c>
      <c r="R122">
        <v>2</v>
      </c>
      <c r="S122" s="22">
        <f t="shared" si="41"/>
        <v>22</v>
      </c>
      <c r="T122" s="9">
        <v>3</v>
      </c>
      <c r="U122" s="23">
        <f t="shared" si="42"/>
        <v>0.83333333333333337</v>
      </c>
      <c r="V122" s="11">
        <f t="shared" si="43"/>
        <v>0</v>
      </c>
      <c r="W122" s="11">
        <f t="shared" si="44"/>
        <v>0</v>
      </c>
      <c r="X122" s="11">
        <f t="shared" si="45"/>
        <v>0</v>
      </c>
      <c r="Y122" s="11">
        <f t="shared" si="46"/>
        <v>0</v>
      </c>
      <c r="Z122" s="65">
        <f t="shared" si="47"/>
        <v>0</v>
      </c>
      <c r="AA122" s="24">
        <f t="shared" si="48"/>
        <v>0</v>
      </c>
      <c r="AB122">
        <f t="shared" si="49"/>
        <v>0</v>
      </c>
      <c r="AC122" s="46">
        <f>+IFERROR(VLOOKUP(E122,#REF!,24,0),0.2)</f>
        <v>0.2</v>
      </c>
      <c r="AD122" s="42">
        <f>+IFERROR(VLOOKUP(E122,h!$C:$D,2,0),0.3866)</f>
        <v>0.38610833333333339</v>
      </c>
      <c r="AE122" s="42">
        <f>+VLOOKUP(A122,k!$A$1:$G$4,5,0)</f>
        <v>0.35799365240740744</v>
      </c>
      <c r="AF122" s="47">
        <f t="shared" si="50"/>
        <v>0.94410198574074089</v>
      </c>
      <c r="AG122" s="48">
        <f t="shared" si="51"/>
        <v>0.1132922382888889</v>
      </c>
      <c r="AH122" s="20">
        <f>+IFERROR(VLOOKUP(C122,k!$A$7:$L$13,7,0),0)</f>
        <v>0</v>
      </c>
      <c r="AI122" s="20">
        <f t="shared" si="52"/>
        <v>0</v>
      </c>
      <c r="AJ122" s="5">
        <f t="shared" si="53"/>
        <v>0</v>
      </c>
      <c r="AK122" s="57">
        <f t="shared" si="54"/>
        <v>0</v>
      </c>
      <c r="AL122" s="19">
        <f t="shared" si="55"/>
        <v>0</v>
      </c>
      <c r="AM122" s="20">
        <f t="shared" si="56"/>
        <v>0</v>
      </c>
      <c r="AN122" s="27">
        <f t="shared" si="57"/>
        <v>0</v>
      </c>
      <c r="AO122" s="57">
        <f t="shared" ref="AO122:AO160" si="71">+CEILING(IFERROR(SQRT(2*AI122*I122/AG122),0),B122)</f>
        <v>0</v>
      </c>
      <c r="AP122" s="19">
        <f t="shared" si="59"/>
        <v>0</v>
      </c>
      <c r="AQ122" s="20">
        <f t="shared" si="60"/>
        <v>0</v>
      </c>
      <c r="AR122" s="58">
        <f t="shared" si="61"/>
        <v>0</v>
      </c>
      <c r="AS122" s="1">
        <f t="shared" si="62"/>
        <v>0</v>
      </c>
      <c r="AT122" s="21">
        <f t="shared" si="63"/>
        <v>0</v>
      </c>
      <c r="AU122" s="28">
        <f t="shared" si="64"/>
        <v>0</v>
      </c>
      <c r="AV122" s="19">
        <f t="shared" si="65"/>
        <v>0</v>
      </c>
      <c r="AW122" s="19">
        <f t="shared" si="66"/>
        <v>0</v>
      </c>
      <c r="AX122" s="27">
        <f t="shared" si="67"/>
        <v>0</v>
      </c>
      <c r="AY122" s="1" t="e">
        <f t="shared" si="68"/>
        <v>#DIV/0!</v>
      </c>
      <c r="AZ122" s="1" t="e">
        <f t="shared" si="69"/>
        <v>#DIV/0!</v>
      </c>
    </row>
    <row r="123" spans="1:52" x14ac:dyDescent="0.35">
      <c r="A123" s="29" t="s">
        <v>423</v>
      </c>
      <c r="B123" s="6">
        <v>2.5000000000000001E-2</v>
      </c>
      <c r="C123" s="2" t="e">
        <f>+VLOOKUP(E123,inventario!#REF!,2,0)</f>
        <v>#REF!</v>
      </c>
      <c r="D123" t="str">
        <f>+RIGHT(E123, LEN(E123) - FIND("|", E123) - 1)</f>
        <v>600</v>
      </c>
      <c r="E123" t="s">
        <v>179</v>
      </c>
      <c r="F123" s="6" t="str">
        <f>+IFERROR(VLOOKUP(E123,#REF!,29,0),"C")</f>
        <v>C</v>
      </c>
      <c r="G123" s="6" t="str">
        <f>+IFERROR(VLOOKUP(E123,#REF!,34,0),"C")</f>
        <v>C</v>
      </c>
      <c r="H123" s="64">
        <f>+IFERROR(VLOOKUP(E123,#REF!,31,0),0)</f>
        <v>0</v>
      </c>
      <c r="I123" s="44">
        <f>+IFERROR(VLOOKUP(E123,#REF!,26,0),0)</f>
        <v>0</v>
      </c>
      <c r="J123" s="44">
        <f>+IFERROR(VLOOKUP(E123,#REF!,30,0),0)</f>
        <v>0</v>
      </c>
      <c r="K123" s="3"/>
      <c r="L123" s="25">
        <f>+IF(OR(F123="A",F123="A+"),0.95,IF(F123="B",0.75,0.7))</f>
        <v>0.7</v>
      </c>
      <c r="M123" s="26">
        <f t="shared" si="40"/>
        <v>0.52440051270804078</v>
      </c>
      <c r="O123">
        <f>+IFERROR(VLOOKUP(D123,lt!A:J,10,0),15)</f>
        <v>17</v>
      </c>
      <c r="P123">
        <v>2</v>
      </c>
      <c r="Q123">
        <v>1</v>
      </c>
      <c r="R123">
        <v>2</v>
      </c>
      <c r="S123" s="22">
        <f t="shared" si="41"/>
        <v>22</v>
      </c>
      <c r="T123" s="9">
        <v>3</v>
      </c>
      <c r="U123" s="23">
        <f t="shared" si="42"/>
        <v>0.83333333333333337</v>
      </c>
      <c r="V123" s="11">
        <f t="shared" si="43"/>
        <v>0</v>
      </c>
      <c r="W123" s="11">
        <f t="shared" si="44"/>
        <v>0</v>
      </c>
      <c r="X123" s="11">
        <f t="shared" si="45"/>
        <v>0</v>
      </c>
      <c r="Y123" s="11">
        <f t="shared" si="46"/>
        <v>0</v>
      </c>
      <c r="Z123" s="65">
        <f t="shared" si="47"/>
        <v>0</v>
      </c>
      <c r="AA123" s="24">
        <f t="shared" si="48"/>
        <v>0</v>
      </c>
      <c r="AB123">
        <f t="shared" si="49"/>
        <v>0</v>
      </c>
      <c r="AC123" s="46">
        <f>+IFERROR(VLOOKUP(E123,#REF!,24,0),0.2)</f>
        <v>0.2</v>
      </c>
      <c r="AD123" s="42">
        <f>+IFERROR(VLOOKUP(E123,h!$C:$D,2,0),0.3866)</f>
        <v>0.38610833333333339</v>
      </c>
      <c r="AE123" s="42">
        <f>+VLOOKUP(A123,k!$A$1:$G$4,5,0)</f>
        <v>0.35799365240740744</v>
      </c>
      <c r="AF123" s="47">
        <f t="shared" si="50"/>
        <v>0.94410198574074089</v>
      </c>
      <c r="AG123" s="48">
        <f t="shared" si="51"/>
        <v>0.1132922382888889</v>
      </c>
      <c r="AH123" s="20">
        <f>+IFERROR(VLOOKUP(C123,k!$A$7:$L$13,7,0),0)</f>
        <v>0</v>
      </c>
      <c r="AI123" s="20">
        <f t="shared" si="52"/>
        <v>0</v>
      </c>
      <c r="AJ123" s="5">
        <f t="shared" si="53"/>
        <v>0</v>
      </c>
      <c r="AK123" s="57">
        <f t="shared" si="54"/>
        <v>0</v>
      </c>
      <c r="AL123" s="19">
        <f t="shared" si="55"/>
        <v>0</v>
      </c>
      <c r="AM123" s="20">
        <f t="shared" si="56"/>
        <v>0</v>
      </c>
      <c r="AN123" s="27">
        <f t="shared" si="57"/>
        <v>0</v>
      </c>
      <c r="AO123" s="57">
        <f t="shared" si="71"/>
        <v>0</v>
      </c>
      <c r="AP123" s="19">
        <f t="shared" si="59"/>
        <v>0</v>
      </c>
      <c r="AQ123" s="20">
        <f t="shared" si="60"/>
        <v>0</v>
      </c>
      <c r="AR123" s="58">
        <f t="shared" si="61"/>
        <v>0</v>
      </c>
      <c r="AS123" s="1">
        <f t="shared" si="62"/>
        <v>0</v>
      </c>
      <c r="AT123" s="21">
        <f t="shared" si="63"/>
        <v>0</v>
      </c>
      <c r="AU123" s="28">
        <f t="shared" si="64"/>
        <v>0</v>
      </c>
      <c r="AV123" s="19">
        <f t="shared" si="65"/>
        <v>0</v>
      </c>
      <c r="AW123" s="19">
        <f t="shared" si="66"/>
        <v>0</v>
      </c>
      <c r="AX123" s="27">
        <f t="shared" si="67"/>
        <v>0</v>
      </c>
      <c r="AY123" s="1" t="e">
        <f t="shared" si="68"/>
        <v>#DIV/0!</v>
      </c>
      <c r="AZ123" s="1" t="e">
        <f t="shared" si="69"/>
        <v>#DIV/0!</v>
      </c>
    </row>
    <row r="124" spans="1:52" hidden="1" x14ac:dyDescent="0.35">
      <c r="A124" s="29" t="s">
        <v>423</v>
      </c>
      <c r="B124" s="6">
        <v>0.01</v>
      </c>
      <c r="C124" s="2" t="e">
        <f>+VLOOKUP(E124,inventario!#REF!,2,0)</f>
        <v>#REF!</v>
      </c>
      <c r="D124" t="str">
        <f t="shared" si="38"/>
        <v>912.5</v>
      </c>
      <c r="E124" s="73" t="s">
        <v>90</v>
      </c>
      <c r="F124" s="6" t="str">
        <f>+IFERROR(VLOOKUP(E124,#REF!,29,0),"C")</f>
        <v>C</v>
      </c>
      <c r="G124" s="6" t="str">
        <f>+IFERROR(VLOOKUP(E124,#REF!,34,0),"C")</f>
        <v>C</v>
      </c>
      <c r="H124" s="64">
        <f>+IFERROR(VLOOKUP(E124,#REF!,31,0),0)</f>
        <v>0</v>
      </c>
      <c r="I124" s="44">
        <f>+IFERROR(VLOOKUP(E124,#REF!,26,0),0)</f>
        <v>0</v>
      </c>
      <c r="J124" s="44">
        <f>+IFERROR(VLOOKUP(E124,#REF!,30,0),0)</f>
        <v>0</v>
      </c>
      <c r="L124" s="25">
        <f t="shared" si="39"/>
        <v>0.7</v>
      </c>
      <c r="M124" s="26">
        <f t="shared" si="40"/>
        <v>0.52440051270804078</v>
      </c>
      <c r="O124">
        <f>+IFERROR(VLOOKUP(D124,lt!A:J,10,0),15)</f>
        <v>17</v>
      </c>
      <c r="P124">
        <v>2</v>
      </c>
      <c r="Q124">
        <v>1</v>
      </c>
      <c r="R124">
        <v>2</v>
      </c>
      <c r="S124" s="22">
        <f t="shared" si="41"/>
        <v>22</v>
      </c>
      <c r="T124" s="9">
        <v>5</v>
      </c>
      <c r="U124" s="23">
        <f t="shared" si="42"/>
        <v>0.9</v>
      </c>
      <c r="V124" s="11">
        <f t="shared" si="43"/>
        <v>0</v>
      </c>
      <c r="W124" s="11">
        <f t="shared" si="44"/>
        <v>0</v>
      </c>
      <c r="X124" s="11">
        <f t="shared" si="45"/>
        <v>0</v>
      </c>
      <c r="Y124" s="11">
        <f t="shared" si="46"/>
        <v>0</v>
      </c>
      <c r="Z124" s="65">
        <f t="shared" si="47"/>
        <v>0</v>
      </c>
      <c r="AA124" s="24">
        <f t="shared" si="48"/>
        <v>0</v>
      </c>
      <c r="AB124">
        <f t="shared" si="49"/>
        <v>0</v>
      </c>
      <c r="AC124" s="46">
        <f>+IFERROR(VLOOKUP(E124,#REF!,24,0),0.2)</f>
        <v>0.2</v>
      </c>
      <c r="AD124" s="42">
        <f>+IFERROR(VLOOKUP(E124,h!$C:$D,2,0),0.3866)</f>
        <v>0.38610833333333339</v>
      </c>
      <c r="AE124" s="42">
        <f>+VLOOKUP(A124,k!$A$1:$G$4,5,0)</f>
        <v>0.35799365240740744</v>
      </c>
      <c r="AF124" s="47">
        <f t="shared" si="50"/>
        <v>0.94410198574074089</v>
      </c>
      <c r="AG124" s="48">
        <f t="shared" si="51"/>
        <v>0.1132922382888889</v>
      </c>
      <c r="AH124" s="20">
        <f>+IFERROR(VLOOKUP(C124,k!$A$7:$L$13,7,0),0)</f>
        <v>0</v>
      </c>
      <c r="AI124" s="20">
        <f t="shared" si="52"/>
        <v>0</v>
      </c>
      <c r="AJ124" s="5">
        <f t="shared" si="53"/>
        <v>0</v>
      </c>
      <c r="AK124" s="57">
        <f t="shared" si="54"/>
        <v>0</v>
      </c>
      <c r="AL124" s="19">
        <f t="shared" si="55"/>
        <v>0</v>
      </c>
      <c r="AM124" s="20">
        <f t="shared" si="56"/>
        <v>0</v>
      </c>
      <c r="AN124" s="27">
        <f t="shared" si="57"/>
        <v>0</v>
      </c>
      <c r="AO124" s="57">
        <f t="shared" si="71"/>
        <v>0</v>
      </c>
      <c r="AP124" s="19">
        <f t="shared" si="59"/>
        <v>0</v>
      </c>
      <c r="AQ124" s="20">
        <f t="shared" si="60"/>
        <v>0</v>
      </c>
      <c r="AR124" s="58">
        <f t="shared" si="61"/>
        <v>0</v>
      </c>
      <c r="AS124" s="1">
        <f t="shared" si="62"/>
        <v>0</v>
      </c>
      <c r="AT124" s="21">
        <f t="shared" si="63"/>
        <v>0</v>
      </c>
      <c r="AU124" s="28">
        <f t="shared" si="64"/>
        <v>0</v>
      </c>
      <c r="AV124" s="19">
        <f t="shared" si="65"/>
        <v>0</v>
      </c>
      <c r="AW124" s="19">
        <f t="shared" si="66"/>
        <v>0</v>
      </c>
      <c r="AX124" s="27">
        <f t="shared" si="67"/>
        <v>0</v>
      </c>
      <c r="AY124" s="1" t="e">
        <f t="shared" si="68"/>
        <v>#DIV/0!</v>
      </c>
      <c r="AZ124" s="1" t="e">
        <f t="shared" si="69"/>
        <v>#DIV/0!</v>
      </c>
    </row>
    <row r="125" spans="1:52" hidden="1" x14ac:dyDescent="0.35">
      <c r="A125" s="29" t="s">
        <v>423</v>
      </c>
      <c r="B125" s="6">
        <v>2.5000000000000001E-2</v>
      </c>
      <c r="C125" s="2" t="e">
        <f>+VLOOKUP(E125,inventario!#REF!,2,0)</f>
        <v>#REF!</v>
      </c>
      <c r="D125" t="str">
        <f t="shared" si="38"/>
        <v>1016</v>
      </c>
      <c r="E125" t="s">
        <v>177</v>
      </c>
      <c r="F125" s="6" t="str">
        <f>+IFERROR(VLOOKUP(E125,#REF!,29,0),"C")</f>
        <v>C</v>
      </c>
      <c r="G125" s="6" t="str">
        <f>+IFERROR(VLOOKUP(E125,#REF!,34,0),"C")</f>
        <v>C</v>
      </c>
      <c r="H125" s="64">
        <f>+IFERROR(VLOOKUP(E125,#REF!,31,0),0)</f>
        <v>0</v>
      </c>
      <c r="I125" s="44">
        <f>+IFERROR(VLOOKUP(E125,#REF!,26,0),0)</f>
        <v>0</v>
      </c>
      <c r="J125" s="44">
        <f>+IFERROR(VLOOKUP(E125,#REF!,30,0),0)</f>
        <v>0</v>
      </c>
      <c r="K125" s="3"/>
      <c r="L125" s="25">
        <f t="shared" si="39"/>
        <v>0.7</v>
      </c>
      <c r="M125" s="26">
        <f t="shared" si="40"/>
        <v>0.52440051270804078</v>
      </c>
      <c r="O125">
        <f>+IFERROR(VLOOKUP(D125,lt!A:J,10,0),15)</f>
        <v>17</v>
      </c>
      <c r="P125">
        <v>2</v>
      </c>
      <c r="Q125">
        <v>1</v>
      </c>
      <c r="R125">
        <v>2</v>
      </c>
      <c r="S125" s="22">
        <f t="shared" si="41"/>
        <v>22</v>
      </c>
      <c r="T125" s="9">
        <v>3</v>
      </c>
      <c r="U125" s="23">
        <f t="shared" si="42"/>
        <v>0.83333333333333337</v>
      </c>
      <c r="V125" s="11">
        <f t="shared" si="43"/>
        <v>0</v>
      </c>
      <c r="W125" s="11">
        <f t="shared" si="44"/>
        <v>0</v>
      </c>
      <c r="X125" s="11">
        <f t="shared" si="45"/>
        <v>0</v>
      </c>
      <c r="Y125" s="11">
        <f t="shared" si="46"/>
        <v>0</v>
      </c>
      <c r="Z125" s="65">
        <f t="shared" si="47"/>
        <v>0</v>
      </c>
      <c r="AA125" s="24">
        <f t="shared" si="48"/>
        <v>0</v>
      </c>
      <c r="AB125">
        <f t="shared" si="49"/>
        <v>0</v>
      </c>
      <c r="AC125" s="46">
        <f>+IFERROR(VLOOKUP(E125,#REF!,24,0),0.2)</f>
        <v>0.2</v>
      </c>
      <c r="AD125" s="42">
        <f>+IFERROR(VLOOKUP(E125,h!$C:$D,2,0),0.3866)</f>
        <v>0.38610833333333339</v>
      </c>
      <c r="AE125" s="42">
        <f>+VLOOKUP(A125,k!$A$1:$G$4,5,0)</f>
        <v>0.35799365240740744</v>
      </c>
      <c r="AF125" s="47">
        <f t="shared" si="50"/>
        <v>0.94410198574074089</v>
      </c>
      <c r="AG125" s="48">
        <f t="shared" si="51"/>
        <v>0.1132922382888889</v>
      </c>
      <c r="AH125" s="20">
        <f>+IFERROR(VLOOKUP(C125,k!$A$7:$L$13,7,0),0)</f>
        <v>0</v>
      </c>
      <c r="AI125" s="20">
        <f t="shared" si="52"/>
        <v>0</v>
      </c>
      <c r="AJ125" s="5">
        <f t="shared" si="53"/>
        <v>0</v>
      </c>
      <c r="AK125" s="57">
        <f t="shared" si="54"/>
        <v>0</v>
      </c>
      <c r="AL125" s="19">
        <f t="shared" si="55"/>
        <v>0</v>
      </c>
      <c r="AM125" s="20">
        <f t="shared" si="56"/>
        <v>0</v>
      </c>
      <c r="AN125" s="27">
        <f t="shared" si="57"/>
        <v>0</v>
      </c>
      <c r="AO125" s="57">
        <f t="shared" si="71"/>
        <v>0</v>
      </c>
      <c r="AP125" s="19">
        <f t="shared" si="59"/>
        <v>0</v>
      </c>
      <c r="AQ125" s="20">
        <f t="shared" si="60"/>
        <v>0</v>
      </c>
      <c r="AR125" s="58">
        <f t="shared" si="61"/>
        <v>0</v>
      </c>
      <c r="AS125" s="1">
        <f t="shared" si="62"/>
        <v>0</v>
      </c>
      <c r="AT125" s="21">
        <f t="shared" si="63"/>
        <v>0</v>
      </c>
      <c r="AU125" s="28">
        <f t="shared" si="64"/>
        <v>0</v>
      </c>
      <c r="AV125" s="19">
        <f t="shared" si="65"/>
        <v>0</v>
      </c>
      <c r="AW125" s="19">
        <f t="shared" si="66"/>
        <v>0</v>
      </c>
      <c r="AX125" s="27">
        <f t="shared" si="67"/>
        <v>0</v>
      </c>
      <c r="AY125" s="1" t="e">
        <f t="shared" si="68"/>
        <v>#DIV/0!</v>
      </c>
      <c r="AZ125" s="1" t="e">
        <f t="shared" si="69"/>
        <v>#DIV/0!</v>
      </c>
    </row>
    <row r="126" spans="1:52" hidden="1" x14ac:dyDescent="0.35">
      <c r="A126" s="29" t="s">
        <v>423</v>
      </c>
      <c r="B126" s="6">
        <v>2.5000000000000001E-2</v>
      </c>
      <c r="C126" s="2" t="e">
        <f>+VLOOKUP(E126,inventario!#REF!,2,0)</f>
        <v>#REF!</v>
      </c>
      <c r="D126" t="str">
        <f t="shared" si="38"/>
        <v>929</v>
      </c>
      <c r="E126" t="s">
        <v>71</v>
      </c>
      <c r="F126" s="6" t="str">
        <f>+IFERROR(VLOOKUP(E126,#REF!,29,0),"C")</f>
        <v>C</v>
      </c>
      <c r="G126" s="6" t="str">
        <f>+IFERROR(VLOOKUP(E126,#REF!,34,0),"C")</f>
        <v>C</v>
      </c>
      <c r="H126" s="64">
        <f>+IFERROR(VLOOKUP(E126,#REF!,31,0),0)</f>
        <v>0</v>
      </c>
      <c r="I126" s="44">
        <f>+IFERROR(VLOOKUP(E126,#REF!,26,0),0)</f>
        <v>0</v>
      </c>
      <c r="J126" s="44">
        <f>+IFERROR(VLOOKUP(E126,#REF!,30,0),0)</f>
        <v>0</v>
      </c>
      <c r="K126" s="3"/>
      <c r="L126" s="25">
        <f t="shared" si="39"/>
        <v>0.7</v>
      </c>
      <c r="M126" s="26">
        <f t="shared" si="40"/>
        <v>0.52440051270804078</v>
      </c>
      <c r="O126">
        <f>+IFERROR(VLOOKUP(D126,lt!A:J,10,0),15)</f>
        <v>17</v>
      </c>
      <c r="P126">
        <v>2</v>
      </c>
      <c r="Q126">
        <v>1</v>
      </c>
      <c r="R126">
        <v>2</v>
      </c>
      <c r="S126" s="22">
        <f t="shared" si="41"/>
        <v>22</v>
      </c>
      <c r="T126" s="9">
        <v>3</v>
      </c>
      <c r="U126" s="23">
        <f t="shared" si="42"/>
        <v>0.83333333333333337</v>
      </c>
      <c r="V126" s="11">
        <f t="shared" si="43"/>
        <v>0</v>
      </c>
      <c r="W126" s="11">
        <f t="shared" si="44"/>
        <v>0</v>
      </c>
      <c r="X126" s="11">
        <f t="shared" si="45"/>
        <v>0</v>
      </c>
      <c r="Y126" s="11">
        <f t="shared" si="46"/>
        <v>0</v>
      </c>
      <c r="Z126" s="65">
        <f t="shared" si="47"/>
        <v>0</v>
      </c>
      <c r="AA126" s="24">
        <f t="shared" si="48"/>
        <v>0</v>
      </c>
      <c r="AB126">
        <f t="shared" si="49"/>
        <v>0</v>
      </c>
      <c r="AC126" s="46">
        <f>+IFERROR(VLOOKUP(E126,#REF!,24,0),0.2)</f>
        <v>0.2</v>
      </c>
      <c r="AD126" s="42">
        <f>+IFERROR(VLOOKUP(E126,h!$C:$D,2,0),0.3866)</f>
        <v>0.38610833333333339</v>
      </c>
      <c r="AE126" s="42">
        <f>+VLOOKUP(A126,k!$A$1:$G$4,5,0)</f>
        <v>0.35799365240740744</v>
      </c>
      <c r="AF126" s="47">
        <f t="shared" si="50"/>
        <v>0.94410198574074089</v>
      </c>
      <c r="AG126" s="48">
        <f t="shared" si="51"/>
        <v>0.1132922382888889</v>
      </c>
      <c r="AH126" s="20">
        <f>+IFERROR(VLOOKUP(C126,k!$A$7:$L$13,7,0),0)</f>
        <v>0</v>
      </c>
      <c r="AI126" s="20">
        <f t="shared" si="52"/>
        <v>0</v>
      </c>
      <c r="AJ126" s="5">
        <f t="shared" si="53"/>
        <v>0</v>
      </c>
      <c r="AK126" s="57">
        <f t="shared" si="54"/>
        <v>0</v>
      </c>
      <c r="AL126" s="19">
        <f t="shared" si="55"/>
        <v>0</v>
      </c>
      <c r="AM126" s="20">
        <f t="shared" si="56"/>
        <v>0</v>
      </c>
      <c r="AN126" s="27">
        <f t="shared" si="57"/>
        <v>0</v>
      </c>
      <c r="AO126" s="57">
        <f t="shared" si="71"/>
        <v>0</v>
      </c>
      <c r="AP126" s="19">
        <f t="shared" si="59"/>
        <v>0</v>
      </c>
      <c r="AQ126" s="20">
        <f t="shared" si="60"/>
        <v>0</v>
      </c>
      <c r="AR126" s="58">
        <f t="shared" si="61"/>
        <v>0</v>
      </c>
      <c r="AS126" s="1">
        <f t="shared" si="62"/>
        <v>0</v>
      </c>
      <c r="AT126" s="21">
        <f t="shared" si="63"/>
        <v>0</v>
      </c>
      <c r="AU126" s="28">
        <f t="shared" si="64"/>
        <v>0</v>
      </c>
      <c r="AV126" s="19">
        <f t="shared" si="65"/>
        <v>0</v>
      </c>
      <c r="AW126" s="19">
        <f t="shared" si="66"/>
        <v>0</v>
      </c>
      <c r="AX126" s="27">
        <f t="shared" si="67"/>
        <v>0</v>
      </c>
      <c r="AY126" s="1" t="e">
        <f t="shared" si="68"/>
        <v>#DIV/0!</v>
      </c>
      <c r="AZ126" s="1" t="e">
        <f t="shared" si="69"/>
        <v>#DIV/0!</v>
      </c>
    </row>
    <row r="127" spans="1:52" hidden="1" x14ac:dyDescent="0.35">
      <c r="A127" s="29" t="s">
        <v>423</v>
      </c>
      <c r="B127" s="6">
        <v>0.01</v>
      </c>
      <c r="C127" s="2" t="e">
        <f>+VLOOKUP(E127,inventario!#REF!,2,0)</f>
        <v>#REF!</v>
      </c>
      <c r="D127" t="str">
        <f t="shared" si="38"/>
        <v>920</v>
      </c>
      <c r="E127" t="s">
        <v>1074</v>
      </c>
      <c r="F127" s="6" t="str">
        <f>+IFERROR(VLOOKUP(E127,#REF!,29,0),"C")</f>
        <v>C</v>
      </c>
      <c r="G127" s="6" t="str">
        <f>+IFERROR(VLOOKUP(E127,#REF!,34,0),"C")</f>
        <v>C</v>
      </c>
      <c r="H127" s="64">
        <f>+IFERROR(VLOOKUP(E127,#REF!,31,0),0)</f>
        <v>0</v>
      </c>
      <c r="I127" s="44">
        <f>+IFERROR(VLOOKUP(E127,#REF!,26,0),0)</f>
        <v>0</v>
      </c>
      <c r="J127" s="44">
        <f>+IFERROR(VLOOKUP(E127,#REF!,30,0),0)</f>
        <v>0</v>
      </c>
      <c r="K127" s="3"/>
      <c r="L127" s="25">
        <f t="shared" si="39"/>
        <v>0.7</v>
      </c>
      <c r="M127" s="26">
        <f t="shared" si="40"/>
        <v>0.52440051270804078</v>
      </c>
      <c r="O127">
        <f>+IFERROR(VLOOKUP(D127,lt!A:J,10,0),15)</f>
        <v>15</v>
      </c>
      <c r="P127">
        <v>2</v>
      </c>
      <c r="Q127">
        <v>1</v>
      </c>
      <c r="R127">
        <v>2</v>
      </c>
      <c r="S127" s="22">
        <f t="shared" si="41"/>
        <v>20</v>
      </c>
      <c r="T127" s="9">
        <v>3</v>
      </c>
      <c r="U127" s="23">
        <f t="shared" si="42"/>
        <v>0.76666666666666672</v>
      </c>
      <c r="V127" s="11">
        <f t="shared" si="43"/>
        <v>0</v>
      </c>
      <c r="W127" s="11">
        <f t="shared" si="44"/>
        <v>0</v>
      </c>
      <c r="X127" s="11">
        <f t="shared" si="45"/>
        <v>0</v>
      </c>
      <c r="Y127" s="11">
        <f t="shared" si="46"/>
        <v>0</v>
      </c>
      <c r="Z127" s="65">
        <f t="shared" si="47"/>
        <v>0</v>
      </c>
      <c r="AA127" s="24">
        <f t="shared" si="48"/>
        <v>0</v>
      </c>
      <c r="AB127">
        <f t="shared" si="49"/>
        <v>0</v>
      </c>
      <c r="AC127" s="46">
        <f>+IFERROR(VLOOKUP(E127,#REF!,24,0),0.2)</f>
        <v>0.2</v>
      </c>
      <c r="AD127" s="42">
        <f>+IFERROR(VLOOKUP(E127,h!$C:$D,2,0),0.3866)</f>
        <v>0.3866</v>
      </c>
      <c r="AE127" s="42">
        <f>+VLOOKUP(A127,k!$A$1:$G$4,5,0)</f>
        <v>0.35799365240740744</v>
      </c>
      <c r="AF127" s="47">
        <f t="shared" si="50"/>
        <v>0.94459365240740745</v>
      </c>
      <c r="AG127" s="48">
        <f t="shared" si="51"/>
        <v>0.11335123828888889</v>
      </c>
      <c r="AH127" s="20">
        <f>+IFERROR(VLOOKUP(C127,k!$A$7:$L$13,7,0),0)</f>
        <v>0</v>
      </c>
      <c r="AI127" s="20">
        <f t="shared" si="52"/>
        <v>0</v>
      </c>
      <c r="AJ127" s="5">
        <f t="shared" si="53"/>
        <v>0</v>
      </c>
      <c r="AK127" s="57">
        <f t="shared" si="54"/>
        <v>0</v>
      </c>
      <c r="AL127" s="19">
        <f t="shared" si="55"/>
        <v>0</v>
      </c>
      <c r="AM127" s="20">
        <f t="shared" si="56"/>
        <v>0</v>
      </c>
      <c r="AN127" s="27">
        <f t="shared" si="57"/>
        <v>0</v>
      </c>
      <c r="AO127" s="57">
        <f t="shared" si="71"/>
        <v>0</v>
      </c>
      <c r="AP127" s="19">
        <f t="shared" si="59"/>
        <v>0</v>
      </c>
      <c r="AQ127" s="20">
        <f t="shared" si="60"/>
        <v>0</v>
      </c>
      <c r="AR127" s="58">
        <f t="shared" si="61"/>
        <v>0</v>
      </c>
      <c r="AS127" s="1">
        <f t="shared" si="62"/>
        <v>0</v>
      </c>
      <c r="AT127" s="21">
        <f t="shared" si="63"/>
        <v>0</v>
      </c>
      <c r="AU127" s="28">
        <f t="shared" si="64"/>
        <v>0</v>
      </c>
      <c r="AV127" s="19">
        <f t="shared" si="65"/>
        <v>0</v>
      </c>
      <c r="AW127" s="19">
        <f t="shared" si="66"/>
        <v>0</v>
      </c>
      <c r="AX127" s="27">
        <f t="shared" si="67"/>
        <v>0</v>
      </c>
      <c r="AY127" s="1" t="e">
        <f t="shared" si="68"/>
        <v>#DIV/0!</v>
      </c>
      <c r="AZ127" s="1" t="e">
        <f t="shared" si="69"/>
        <v>#DIV/0!</v>
      </c>
    </row>
    <row r="128" spans="1:52" hidden="1" x14ac:dyDescent="0.35">
      <c r="A128" s="29" t="s">
        <v>423</v>
      </c>
      <c r="B128" s="6">
        <v>2.5000000000000001E-2</v>
      </c>
      <c r="C128" s="2" t="e">
        <f>+VLOOKUP(E128,inventario!#REF!,2,0)</f>
        <v>#REF!</v>
      </c>
      <c r="D128" t="str">
        <f t="shared" si="38"/>
        <v>1070</v>
      </c>
      <c r="E128" t="s">
        <v>75</v>
      </c>
      <c r="F128" s="6" t="str">
        <f>+IFERROR(VLOOKUP(E128,#REF!,29,0),"C")</f>
        <v>C</v>
      </c>
      <c r="G128" s="6" t="str">
        <f>+IFERROR(VLOOKUP(E128,#REF!,34,0),"C")</f>
        <v>C</v>
      </c>
      <c r="H128" s="64">
        <f>+IFERROR(VLOOKUP(E128,#REF!,31,0),0)</f>
        <v>0</v>
      </c>
      <c r="I128" s="44">
        <f>+IFERROR(VLOOKUP(E128,#REF!,26,0),0)</f>
        <v>0</v>
      </c>
      <c r="J128" s="44">
        <f>+IFERROR(VLOOKUP(E128,#REF!,30,0),0)</f>
        <v>0</v>
      </c>
      <c r="K128" s="3"/>
      <c r="L128" s="25">
        <f t="shared" si="39"/>
        <v>0.7</v>
      </c>
      <c r="M128" s="26">
        <f t="shared" si="40"/>
        <v>0.52440051270804078</v>
      </c>
      <c r="O128">
        <f>+IFERROR(VLOOKUP(D128,lt!A:J,10,0),15)</f>
        <v>17</v>
      </c>
      <c r="P128">
        <v>2</v>
      </c>
      <c r="Q128">
        <v>1</v>
      </c>
      <c r="R128">
        <v>2</v>
      </c>
      <c r="S128" s="22">
        <f t="shared" si="41"/>
        <v>22</v>
      </c>
      <c r="T128" s="9">
        <v>3</v>
      </c>
      <c r="U128" s="23">
        <f t="shared" si="42"/>
        <v>0.83333333333333337</v>
      </c>
      <c r="V128" s="11">
        <f t="shared" si="43"/>
        <v>0</v>
      </c>
      <c r="W128" s="11">
        <f t="shared" si="44"/>
        <v>0</v>
      </c>
      <c r="X128" s="11">
        <f t="shared" si="45"/>
        <v>0</v>
      </c>
      <c r="Y128" s="11">
        <f t="shared" si="46"/>
        <v>0</v>
      </c>
      <c r="Z128" s="65">
        <f t="shared" si="47"/>
        <v>0</v>
      </c>
      <c r="AA128" s="24">
        <f t="shared" si="48"/>
        <v>0</v>
      </c>
      <c r="AB128">
        <f t="shared" si="49"/>
        <v>0</v>
      </c>
      <c r="AC128" s="46">
        <f>+IFERROR(VLOOKUP(E128,#REF!,24,0),0.2)</f>
        <v>0.2</v>
      </c>
      <c r="AD128" s="42">
        <f>+IFERROR(VLOOKUP(E128,h!$C:$D,2,0),0.3866)</f>
        <v>0.38610833333333339</v>
      </c>
      <c r="AE128" s="42">
        <f>+VLOOKUP(A128,k!$A$1:$G$4,5,0)</f>
        <v>0.35799365240740744</v>
      </c>
      <c r="AF128" s="47">
        <f t="shared" si="50"/>
        <v>0.94410198574074089</v>
      </c>
      <c r="AG128" s="48">
        <f t="shared" si="51"/>
        <v>0.1132922382888889</v>
      </c>
      <c r="AH128" s="20">
        <f>+IFERROR(VLOOKUP(C128,k!$A$7:$L$13,7,0),0)</f>
        <v>0</v>
      </c>
      <c r="AI128" s="20">
        <f t="shared" si="52"/>
        <v>0</v>
      </c>
      <c r="AJ128" s="5">
        <f t="shared" si="53"/>
        <v>0</v>
      </c>
      <c r="AK128" s="57">
        <f t="shared" si="54"/>
        <v>0</v>
      </c>
      <c r="AL128" s="19">
        <f t="shared" si="55"/>
        <v>0</v>
      </c>
      <c r="AM128" s="20">
        <f t="shared" si="56"/>
        <v>0</v>
      </c>
      <c r="AN128" s="27">
        <f t="shared" si="57"/>
        <v>0</v>
      </c>
      <c r="AO128" s="57">
        <f t="shared" si="71"/>
        <v>0</v>
      </c>
      <c r="AP128" s="19">
        <f t="shared" si="59"/>
        <v>0</v>
      </c>
      <c r="AQ128" s="20">
        <f t="shared" si="60"/>
        <v>0</v>
      </c>
      <c r="AR128" s="58">
        <f t="shared" si="61"/>
        <v>0</v>
      </c>
      <c r="AS128" s="1">
        <f t="shared" si="62"/>
        <v>0</v>
      </c>
      <c r="AT128" s="21">
        <f t="shared" si="63"/>
        <v>0</v>
      </c>
      <c r="AU128" s="28">
        <f t="shared" si="64"/>
        <v>0</v>
      </c>
      <c r="AV128" s="19">
        <f t="shared" si="65"/>
        <v>0</v>
      </c>
      <c r="AW128" s="19">
        <f t="shared" si="66"/>
        <v>0</v>
      </c>
      <c r="AX128" s="27">
        <f t="shared" si="67"/>
        <v>0</v>
      </c>
      <c r="AY128" s="1" t="e">
        <f t="shared" si="68"/>
        <v>#DIV/0!</v>
      </c>
      <c r="AZ128" s="1" t="e">
        <f t="shared" si="69"/>
        <v>#DIV/0!</v>
      </c>
    </row>
    <row r="129" spans="1:52" hidden="1" x14ac:dyDescent="0.35">
      <c r="A129" s="29" t="s">
        <v>423</v>
      </c>
      <c r="B129" s="6">
        <v>0.02</v>
      </c>
      <c r="C129" s="2" t="e">
        <f>+VLOOKUP(E129,inventario!#REF!,2,0)</f>
        <v>#REF!</v>
      </c>
      <c r="D129" t="str">
        <f t="shared" si="38"/>
        <v>316</v>
      </c>
      <c r="E129" t="s">
        <v>165</v>
      </c>
      <c r="F129" s="6" t="str">
        <f>+IFERROR(VLOOKUP(E129,#REF!,29,0),"C")</f>
        <v>C</v>
      </c>
      <c r="G129" s="6" t="str">
        <f>+IFERROR(VLOOKUP(E129,#REF!,34,0),"C")</f>
        <v>C</v>
      </c>
      <c r="H129" s="64">
        <f>+IFERROR(VLOOKUP(E129,#REF!,31,0),0)</f>
        <v>0</v>
      </c>
      <c r="I129" s="44">
        <f>+IFERROR(VLOOKUP(E129,#REF!,26,0),0)</f>
        <v>0</v>
      </c>
      <c r="J129" s="44">
        <f>+IFERROR(VLOOKUP(E129,#REF!,30,0),0)</f>
        <v>0</v>
      </c>
      <c r="K129" s="3"/>
      <c r="L129" s="25">
        <f t="shared" si="39"/>
        <v>0.7</v>
      </c>
      <c r="M129" s="26">
        <f t="shared" si="40"/>
        <v>0.52440051270804078</v>
      </c>
      <c r="O129">
        <f>+IFERROR(VLOOKUP(D129,lt!A:J,10,0),15)</f>
        <v>17</v>
      </c>
      <c r="P129">
        <v>2</v>
      </c>
      <c r="Q129">
        <v>1</v>
      </c>
      <c r="R129">
        <v>2</v>
      </c>
      <c r="S129" s="22">
        <f t="shared" si="41"/>
        <v>22</v>
      </c>
      <c r="T129" s="9">
        <v>3</v>
      </c>
      <c r="U129" s="23">
        <f t="shared" si="42"/>
        <v>0.83333333333333337</v>
      </c>
      <c r="V129" s="11">
        <f t="shared" si="43"/>
        <v>0</v>
      </c>
      <c r="W129" s="11">
        <f t="shared" si="44"/>
        <v>0</v>
      </c>
      <c r="X129" s="11">
        <f t="shared" si="45"/>
        <v>0</v>
      </c>
      <c r="Y129" s="11">
        <f t="shared" si="46"/>
        <v>0</v>
      </c>
      <c r="Z129" s="65">
        <f t="shared" si="47"/>
        <v>0</v>
      </c>
      <c r="AA129" s="24">
        <f t="shared" si="48"/>
        <v>0</v>
      </c>
      <c r="AB129">
        <f t="shared" si="49"/>
        <v>0</v>
      </c>
      <c r="AC129" s="46">
        <f>+IFERROR(VLOOKUP(E129,#REF!,24,0),0.2)</f>
        <v>0.2</v>
      </c>
      <c r="AD129" s="42">
        <f>+IFERROR(VLOOKUP(E129,h!$C:$D,2,0),0.3866)</f>
        <v>0.38610833333333339</v>
      </c>
      <c r="AE129" s="42">
        <f>+VLOOKUP(A129,k!$A$1:$G$4,5,0)</f>
        <v>0.35799365240740744</v>
      </c>
      <c r="AF129" s="47">
        <f t="shared" si="50"/>
        <v>0.94410198574074089</v>
      </c>
      <c r="AG129" s="48">
        <f t="shared" si="51"/>
        <v>0.1132922382888889</v>
      </c>
      <c r="AH129" s="20">
        <f>+IFERROR(VLOOKUP(C129,k!$A$7:$L$13,7,0),0)</f>
        <v>0</v>
      </c>
      <c r="AI129" s="20">
        <f t="shared" si="52"/>
        <v>0</v>
      </c>
      <c r="AJ129" s="5">
        <f t="shared" si="53"/>
        <v>0</v>
      </c>
      <c r="AK129" s="57">
        <f t="shared" si="54"/>
        <v>0</v>
      </c>
      <c r="AL129" s="19">
        <f t="shared" si="55"/>
        <v>0</v>
      </c>
      <c r="AM129" s="20">
        <f t="shared" si="56"/>
        <v>0</v>
      </c>
      <c r="AN129" s="27">
        <f t="shared" si="57"/>
        <v>0</v>
      </c>
      <c r="AO129" s="57">
        <f t="shared" si="71"/>
        <v>0</v>
      </c>
      <c r="AP129" s="19">
        <f t="shared" si="59"/>
        <v>0</v>
      </c>
      <c r="AQ129" s="20">
        <f t="shared" si="60"/>
        <v>0</v>
      </c>
      <c r="AR129" s="58">
        <f t="shared" si="61"/>
        <v>0</v>
      </c>
      <c r="AS129" s="1">
        <f t="shared" si="62"/>
        <v>0</v>
      </c>
      <c r="AT129" s="21">
        <f t="shared" si="63"/>
        <v>0</v>
      </c>
      <c r="AU129" s="28">
        <f t="shared" si="64"/>
        <v>0</v>
      </c>
      <c r="AV129" s="19">
        <f t="shared" si="65"/>
        <v>0</v>
      </c>
      <c r="AW129" s="19">
        <f t="shared" si="66"/>
        <v>0</v>
      </c>
      <c r="AX129" s="27">
        <f t="shared" si="67"/>
        <v>0</v>
      </c>
      <c r="AY129" s="1" t="e">
        <f t="shared" si="68"/>
        <v>#DIV/0!</v>
      </c>
      <c r="AZ129" s="1" t="e">
        <f t="shared" si="69"/>
        <v>#DIV/0!</v>
      </c>
    </row>
    <row r="130" spans="1:52" hidden="1" x14ac:dyDescent="0.35">
      <c r="A130" s="29" t="s">
        <v>423</v>
      </c>
      <c r="B130" s="6">
        <v>0.02</v>
      </c>
      <c r="C130" s="2" t="e">
        <f>+VLOOKUP(E130,inventario!#REF!,2,0)</f>
        <v>#REF!</v>
      </c>
      <c r="D130" t="str">
        <f t="shared" si="38"/>
        <v>937</v>
      </c>
      <c r="E130" t="s">
        <v>86</v>
      </c>
      <c r="F130" s="6" t="str">
        <f>+IFERROR(VLOOKUP(E130,#REF!,29,0),"C")</f>
        <v>C</v>
      </c>
      <c r="G130" s="6" t="str">
        <f>+IFERROR(VLOOKUP(E130,#REF!,34,0),"C")</f>
        <v>C</v>
      </c>
      <c r="H130" s="64">
        <f>+IFERROR(VLOOKUP(E130,#REF!,31,0),0)</f>
        <v>0</v>
      </c>
      <c r="I130" s="44">
        <f>+IFERROR(VLOOKUP(E130,#REF!,26,0),0)</f>
        <v>0</v>
      </c>
      <c r="J130" s="44">
        <f>+IFERROR(VLOOKUP(E130,#REF!,30,0),0)</f>
        <v>0</v>
      </c>
      <c r="K130" s="3"/>
      <c r="L130" s="25">
        <f t="shared" si="39"/>
        <v>0.7</v>
      </c>
      <c r="M130" s="26">
        <f t="shared" si="40"/>
        <v>0.52440051270804078</v>
      </c>
      <c r="O130">
        <f>+IFERROR(VLOOKUP(D130,lt!A:J,10,0),15)</f>
        <v>17</v>
      </c>
      <c r="P130">
        <v>2</v>
      </c>
      <c r="Q130">
        <v>1</v>
      </c>
      <c r="R130">
        <v>2</v>
      </c>
      <c r="S130" s="22">
        <f t="shared" si="41"/>
        <v>22</v>
      </c>
      <c r="T130" s="9">
        <v>3</v>
      </c>
      <c r="U130" s="23">
        <f t="shared" si="42"/>
        <v>0.83333333333333337</v>
      </c>
      <c r="V130" s="11">
        <f t="shared" si="43"/>
        <v>0</v>
      </c>
      <c r="W130" s="11">
        <f t="shared" si="44"/>
        <v>0</v>
      </c>
      <c r="X130" s="11">
        <f t="shared" si="45"/>
        <v>0</v>
      </c>
      <c r="Y130" s="11">
        <f t="shared" si="46"/>
        <v>0</v>
      </c>
      <c r="Z130" s="65">
        <f t="shared" si="47"/>
        <v>0</v>
      </c>
      <c r="AA130" s="24">
        <f t="shared" si="48"/>
        <v>0</v>
      </c>
      <c r="AB130">
        <f t="shared" si="49"/>
        <v>0</v>
      </c>
      <c r="AC130" s="46">
        <f>+IFERROR(VLOOKUP(E130,#REF!,24,0),0.2)</f>
        <v>0.2</v>
      </c>
      <c r="AD130" s="42">
        <f>+IFERROR(VLOOKUP(E130,h!$C:$D,2,0),0.3866)</f>
        <v>0.38610833333333339</v>
      </c>
      <c r="AE130" s="42">
        <f>+VLOOKUP(A130,k!$A$1:$G$4,5,0)</f>
        <v>0.35799365240740744</v>
      </c>
      <c r="AF130" s="47">
        <f t="shared" si="50"/>
        <v>0.94410198574074089</v>
      </c>
      <c r="AG130" s="48">
        <f t="shared" si="51"/>
        <v>0.1132922382888889</v>
      </c>
      <c r="AH130" s="20">
        <f>+IFERROR(VLOOKUP(C130,k!$A$7:$L$13,7,0),0)</f>
        <v>0</v>
      </c>
      <c r="AI130" s="20">
        <f t="shared" si="52"/>
        <v>0</v>
      </c>
      <c r="AJ130" s="5">
        <f t="shared" si="53"/>
        <v>0</v>
      </c>
      <c r="AK130" s="57">
        <f t="shared" si="54"/>
        <v>0</v>
      </c>
      <c r="AL130" s="19">
        <f t="shared" si="55"/>
        <v>0</v>
      </c>
      <c r="AM130" s="20">
        <f t="shared" si="56"/>
        <v>0</v>
      </c>
      <c r="AN130" s="27">
        <f t="shared" si="57"/>
        <v>0</v>
      </c>
      <c r="AO130" s="57">
        <f t="shared" si="71"/>
        <v>0</v>
      </c>
      <c r="AP130" s="19">
        <f t="shared" si="59"/>
        <v>0</v>
      </c>
      <c r="AQ130" s="20">
        <f t="shared" si="60"/>
        <v>0</v>
      </c>
      <c r="AR130" s="58">
        <f t="shared" si="61"/>
        <v>0</v>
      </c>
      <c r="AS130" s="1">
        <f t="shared" si="62"/>
        <v>0</v>
      </c>
      <c r="AT130" s="21">
        <f t="shared" si="63"/>
        <v>0</v>
      </c>
      <c r="AU130" s="28">
        <f t="shared" si="64"/>
        <v>0</v>
      </c>
      <c r="AV130" s="19">
        <f t="shared" si="65"/>
        <v>0</v>
      </c>
      <c r="AW130" s="19">
        <f t="shared" si="66"/>
        <v>0</v>
      </c>
      <c r="AX130" s="27">
        <f t="shared" si="67"/>
        <v>0</v>
      </c>
      <c r="AY130" s="1" t="e">
        <f t="shared" si="68"/>
        <v>#DIV/0!</v>
      </c>
      <c r="AZ130" s="1" t="e">
        <f t="shared" si="69"/>
        <v>#DIV/0!</v>
      </c>
    </row>
    <row r="131" spans="1:52" hidden="1" x14ac:dyDescent="0.35">
      <c r="A131" s="29" t="s">
        <v>423</v>
      </c>
      <c r="B131" s="6">
        <v>2.5000000000000001E-2</v>
      </c>
      <c r="C131" s="2" t="e">
        <f>+VLOOKUP(E131,inventario!#REF!,2,0)</f>
        <v>#REF!</v>
      </c>
      <c r="D131" t="str">
        <f t="shared" si="38"/>
        <v>340.1</v>
      </c>
      <c r="E131" t="s">
        <v>84</v>
      </c>
      <c r="F131" s="6" t="str">
        <f>+IFERROR(VLOOKUP(E131,#REF!,29,0),"C")</f>
        <v>C</v>
      </c>
      <c r="G131" s="6" t="str">
        <f>+IFERROR(VLOOKUP(E131,#REF!,34,0),"C")</f>
        <v>C</v>
      </c>
      <c r="H131" s="64">
        <f>+IFERROR(VLOOKUP(E131,#REF!,31,0),0)</f>
        <v>0</v>
      </c>
      <c r="I131" s="44">
        <f>+IFERROR(VLOOKUP(E131,#REF!,26,0),0)</f>
        <v>0</v>
      </c>
      <c r="J131" s="44">
        <f>+IFERROR(VLOOKUP(E131,#REF!,30,0),0)</f>
        <v>0</v>
      </c>
      <c r="K131" s="3"/>
      <c r="L131" s="25">
        <f t="shared" si="39"/>
        <v>0.7</v>
      </c>
      <c r="M131" s="26">
        <f t="shared" si="40"/>
        <v>0.52440051270804078</v>
      </c>
      <c r="O131">
        <f>+IFERROR(VLOOKUP(D131,lt!A:J,10,0),15)</f>
        <v>17</v>
      </c>
      <c r="P131">
        <v>2</v>
      </c>
      <c r="Q131">
        <v>1</v>
      </c>
      <c r="R131">
        <v>2</v>
      </c>
      <c r="S131" s="22">
        <f t="shared" si="41"/>
        <v>22</v>
      </c>
      <c r="T131" s="9">
        <v>3</v>
      </c>
      <c r="U131" s="23">
        <f t="shared" si="42"/>
        <v>0.83333333333333337</v>
      </c>
      <c r="V131" s="11">
        <f t="shared" si="43"/>
        <v>0</v>
      </c>
      <c r="W131" s="11">
        <f t="shared" si="44"/>
        <v>0</v>
      </c>
      <c r="X131" s="11">
        <f t="shared" si="45"/>
        <v>0</v>
      </c>
      <c r="Y131" s="11">
        <f t="shared" si="46"/>
        <v>0</v>
      </c>
      <c r="Z131" s="65">
        <f t="shared" si="47"/>
        <v>0</v>
      </c>
      <c r="AA131" s="24">
        <f t="shared" si="48"/>
        <v>0</v>
      </c>
      <c r="AB131">
        <f t="shared" si="49"/>
        <v>0</v>
      </c>
      <c r="AC131" s="46">
        <f>+IFERROR(VLOOKUP(E131,#REF!,24,0),0.2)</f>
        <v>0.2</v>
      </c>
      <c r="AD131" s="42">
        <f>+IFERROR(VLOOKUP(E131,h!$C:$D,2,0),0.3866)</f>
        <v>0.38610833333333339</v>
      </c>
      <c r="AE131" s="42">
        <f>+VLOOKUP(A131,k!$A$1:$G$4,5,0)</f>
        <v>0.35799365240740744</v>
      </c>
      <c r="AF131" s="47">
        <f t="shared" si="50"/>
        <v>0.94410198574074089</v>
      </c>
      <c r="AG131" s="48">
        <f t="shared" si="51"/>
        <v>0.1132922382888889</v>
      </c>
      <c r="AH131" s="20">
        <f>+IFERROR(VLOOKUP(C131,k!$A$7:$L$13,7,0),0)</f>
        <v>0</v>
      </c>
      <c r="AI131" s="20">
        <f t="shared" si="52"/>
        <v>0</v>
      </c>
      <c r="AJ131" s="5">
        <f t="shared" si="53"/>
        <v>0</v>
      </c>
      <c r="AK131" s="57">
        <f t="shared" si="54"/>
        <v>0</v>
      </c>
      <c r="AL131" s="19">
        <f t="shared" si="55"/>
        <v>0</v>
      </c>
      <c r="AM131" s="20">
        <f t="shared" si="56"/>
        <v>0</v>
      </c>
      <c r="AN131" s="27">
        <f t="shared" si="57"/>
        <v>0</v>
      </c>
      <c r="AO131" s="57">
        <f t="shared" si="71"/>
        <v>0</v>
      </c>
      <c r="AP131" s="19">
        <f t="shared" si="59"/>
        <v>0</v>
      </c>
      <c r="AQ131" s="20">
        <f t="shared" si="60"/>
        <v>0</v>
      </c>
      <c r="AR131" s="58">
        <f t="shared" si="61"/>
        <v>0</v>
      </c>
      <c r="AS131" s="1">
        <f t="shared" si="62"/>
        <v>0</v>
      </c>
      <c r="AT131" s="21">
        <f t="shared" si="63"/>
        <v>0</v>
      </c>
      <c r="AU131" s="28">
        <f t="shared" si="64"/>
        <v>0</v>
      </c>
      <c r="AV131" s="19">
        <f t="shared" si="65"/>
        <v>0</v>
      </c>
      <c r="AW131" s="19">
        <f t="shared" si="66"/>
        <v>0</v>
      </c>
      <c r="AX131" s="27">
        <f t="shared" si="67"/>
        <v>0</v>
      </c>
      <c r="AY131" s="1" t="e">
        <f t="shared" si="68"/>
        <v>#DIV/0!</v>
      </c>
      <c r="AZ131" s="1" t="e">
        <f t="shared" si="69"/>
        <v>#DIV/0!</v>
      </c>
    </row>
    <row r="132" spans="1:52" hidden="1" x14ac:dyDescent="0.35">
      <c r="A132" s="29" t="s">
        <v>423</v>
      </c>
      <c r="B132" s="6">
        <v>2.5000000000000001E-2</v>
      </c>
      <c r="C132" s="2" t="e">
        <f>+VLOOKUP(E132,inventario!#REF!,2,0)</f>
        <v>#REF!</v>
      </c>
      <c r="D132" t="str">
        <f t="shared" si="38"/>
        <v>520.5</v>
      </c>
      <c r="E132" t="s">
        <v>87</v>
      </c>
      <c r="F132" s="6" t="str">
        <f>+IFERROR(VLOOKUP(E132,#REF!,29,0),"C")</f>
        <v>C</v>
      </c>
      <c r="G132" s="6" t="str">
        <f>+IFERROR(VLOOKUP(E132,#REF!,34,0),"C")</f>
        <v>C</v>
      </c>
      <c r="H132" s="64">
        <f>+IFERROR(VLOOKUP(E132,#REF!,31,0),0)</f>
        <v>0</v>
      </c>
      <c r="I132" s="44">
        <f>+IFERROR(VLOOKUP(E132,#REF!,26,0),0)</f>
        <v>0</v>
      </c>
      <c r="J132" s="44">
        <f>+IFERROR(VLOOKUP(E132,#REF!,30,0),0)</f>
        <v>0</v>
      </c>
      <c r="K132" s="3"/>
      <c r="L132" s="25">
        <f t="shared" si="39"/>
        <v>0.7</v>
      </c>
      <c r="M132" s="26">
        <f t="shared" si="40"/>
        <v>0.52440051270804078</v>
      </c>
      <c r="O132">
        <f>+IFERROR(VLOOKUP(D132,lt!A:J,10,0),15)</f>
        <v>17</v>
      </c>
      <c r="P132">
        <v>2</v>
      </c>
      <c r="Q132">
        <v>1</v>
      </c>
      <c r="R132">
        <v>2</v>
      </c>
      <c r="S132" s="22">
        <f t="shared" si="41"/>
        <v>22</v>
      </c>
      <c r="T132" s="9">
        <v>3</v>
      </c>
      <c r="U132" s="23">
        <f t="shared" si="42"/>
        <v>0.83333333333333337</v>
      </c>
      <c r="V132" s="11">
        <f t="shared" si="43"/>
        <v>0</v>
      </c>
      <c r="W132" s="11">
        <f t="shared" si="44"/>
        <v>0</v>
      </c>
      <c r="X132" s="11">
        <f t="shared" si="45"/>
        <v>0</v>
      </c>
      <c r="Y132" s="11">
        <f t="shared" si="46"/>
        <v>0</v>
      </c>
      <c r="Z132" s="65">
        <f t="shared" si="47"/>
        <v>0</v>
      </c>
      <c r="AA132" s="24">
        <f t="shared" si="48"/>
        <v>0</v>
      </c>
      <c r="AB132">
        <f t="shared" si="49"/>
        <v>0</v>
      </c>
      <c r="AC132" s="46">
        <f>+IFERROR(VLOOKUP(E132,#REF!,24,0),0.2)</f>
        <v>0.2</v>
      </c>
      <c r="AD132" s="42">
        <f>+IFERROR(VLOOKUP(E132,h!$C:$D,2,0),0.3866)</f>
        <v>0.38610833333333339</v>
      </c>
      <c r="AE132" s="42">
        <f>+VLOOKUP(A132,k!$A$1:$G$4,5,0)</f>
        <v>0.35799365240740744</v>
      </c>
      <c r="AF132" s="47">
        <f t="shared" si="50"/>
        <v>0.94410198574074089</v>
      </c>
      <c r="AG132" s="48">
        <f t="shared" si="51"/>
        <v>0.1132922382888889</v>
      </c>
      <c r="AH132" s="20">
        <f>+IFERROR(VLOOKUP(C132,k!$A$7:$L$13,7,0),0)</f>
        <v>0</v>
      </c>
      <c r="AI132" s="20">
        <f t="shared" si="52"/>
        <v>0</v>
      </c>
      <c r="AJ132" s="5">
        <f t="shared" si="53"/>
        <v>0</v>
      </c>
      <c r="AK132" s="57">
        <f t="shared" si="54"/>
        <v>0</v>
      </c>
      <c r="AL132" s="19">
        <f t="shared" si="55"/>
        <v>0</v>
      </c>
      <c r="AM132" s="20">
        <f t="shared" si="56"/>
        <v>0</v>
      </c>
      <c r="AN132" s="27">
        <f t="shared" si="57"/>
        <v>0</v>
      </c>
      <c r="AO132" s="57">
        <f t="shared" si="71"/>
        <v>0</v>
      </c>
      <c r="AP132" s="19">
        <f t="shared" si="59"/>
        <v>0</v>
      </c>
      <c r="AQ132" s="20">
        <f t="shared" si="60"/>
        <v>0</v>
      </c>
      <c r="AR132" s="58">
        <f t="shared" si="61"/>
        <v>0</v>
      </c>
      <c r="AS132" s="1">
        <f t="shared" si="62"/>
        <v>0</v>
      </c>
      <c r="AT132" s="21">
        <f t="shared" si="63"/>
        <v>0</v>
      </c>
      <c r="AU132" s="28">
        <f t="shared" si="64"/>
        <v>0</v>
      </c>
      <c r="AV132" s="19">
        <f t="shared" si="65"/>
        <v>0</v>
      </c>
      <c r="AW132" s="19">
        <f t="shared" si="66"/>
        <v>0</v>
      </c>
      <c r="AX132" s="27">
        <f t="shared" si="67"/>
        <v>0</v>
      </c>
      <c r="AY132" s="1" t="e">
        <f t="shared" si="68"/>
        <v>#DIV/0!</v>
      </c>
      <c r="AZ132" s="1" t="e">
        <f t="shared" si="69"/>
        <v>#DIV/0!</v>
      </c>
    </row>
    <row r="133" spans="1:52" hidden="1" x14ac:dyDescent="0.35">
      <c r="A133" s="29" t="s">
        <v>423</v>
      </c>
      <c r="B133" s="6">
        <v>0.02</v>
      </c>
      <c r="C133" s="2" t="e">
        <f>+VLOOKUP(E133,inventario!#REF!,2,0)</f>
        <v>#REF!</v>
      </c>
      <c r="D133" t="str">
        <f t="shared" ref="D133:D196" si="72">+RIGHT(E133, LEN(E133) - FIND("|", E133) - 1)</f>
        <v>900</v>
      </c>
      <c r="E133" t="s">
        <v>72</v>
      </c>
      <c r="F133" s="6" t="str">
        <f>+IFERROR(VLOOKUP(E133,#REF!,29,0),"C")</f>
        <v>C</v>
      </c>
      <c r="G133" s="6" t="str">
        <f>+IFERROR(VLOOKUP(E133,#REF!,34,0),"C")</f>
        <v>C</v>
      </c>
      <c r="H133" s="64">
        <f>+IFERROR(VLOOKUP(E133,#REF!,31,0),0)</f>
        <v>0</v>
      </c>
      <c r="I133" s="44">
        <f>+IFERROR(VLOOKUP(E133,#REF!,26,0),0)</f>
        <v>0</v>
      </c>
      <c r="J133" s="44">
        <f>+IFERROR(VLOOKUP(E133,#REF!,30,0),0)</f>
        <v>0</v>
      </c>
      <c r="K133" s="3"/>
      <c r="L133" s="25">
        <f t="shared" ref="L133:L196" si="73">+IF(OR(F133="A",F133="A+"),0.95,IF(F133="B",0.75,0.7))</f>
        <v>0.7</v>
      </c>
      <c r="M133" s="26">
        <f t="shared" ref="M133:M196" si="74">+NORMSINV(L133)</f>
        <v>0.52440051270804078</v>
      </c>
      <c r="O133">
        <f>+IFERROR(VLOOKUP(D133,lt!A:J,10,0),15)</f>
        <v>17</v>
      </c>
      <c r="P133">
        <v>2</v>
      </c>
      <c r="Q133">
        <v>1</v>
      </c>
      <c r="R133">
        <v>2</v>
      </c>
      <c r="S133" s="22">
        <f t="shared" ref="S133:S196" si="75">+O133+P133+Q133+R133</f>
        <v>22</v>
      </c>
      <c r="T133" s="9">
        <v>3</v>
      </c>
      <c r="U133" s="23">
        <f t="shared" ref="U133:U196" si="76">(T133+S133)/30</f>
        <v>0.83333333333333337</v>
      </c>
      <c r="V133" s="11">
        <f t="shared" ref="V133:V196" si="77">+J133*NORMSINV(L133)*SQRT((S133+T133)/30)</f>
        <v>0</v>
      </c>
      <c r="W133" s="11">
        <f t="shared" ref="W133:W196" si="78">+(S133+T133)/30*H133</f>
        <v>0</v>
      </c>
      <c r="X133" s="11">
        <f t="shared" ref="X133:X196" si="79">+(H133)/30*T133/2</f>
        <v>0</v>
      </c>
      <c r="Y133" s="11">
        <f t="shared" ref="Y133:Y196" si="80">+X133+V133</f>
        <v>0</v>
      </c>
      <c r="Z133" s="65">
        <f t="shared" ref="Z133:Z196" si="81">+CEILING(W133+V133,B133)</f>
        <v>0</v>
      </c>
      <c r="AA133" s="24">
        <f t="shared" ref="AA133:AA196" si="82">+H133/30*S133</f>
        <v>0</v>
      </c>
      <c r="AB133">
        <f t="shared" ref="AB133:AB196" si="83">+H133*T133</f>
        <v>0</v>
      </c>
      <c r="AC133" s="46">
        <f>+IFERROR(VLOOKUP(E133,#REF!,24,0),0.2)</f>
        <v>0.2</v>
      </c>
      <c r="AD133" s="42">
        <f>+IFERROR(VLOOKUP(E133,h!$C:$D,2,0),0.3866)</f>
        <v>0.38610833333333339</v>
      </c>
      <c r="AE133" s="42">
        <f>+VLOOKUP(A133,k!$A$1:$G$4,5,0)</f>
        <v>0.35799365240740744</v>
      </c>
      <c r="AF133" s="47">
        <f t="shared" ref="AF133:AF196" si="84">+SUM(AC133:AE133)</f>
        <v>0.94410198574074089</v>
      </c>
      <c r="AG133" s="48">
        <f t="shared" ref="AG133:AG196" si="85">12%*AF133</f>
        <v>0.1132922382888889</v>
      </c>
      <c r="AH133" s="20">
        <f>+IFERROR(VLOOKUP(C133,k!$A$7:$L$13,7,0),0)</f>
        <v>0</v>
      </c>
      <c r="AI133" s="20">
        <f t="shared" ref="AI133:AI196" si="86">+AL133*AH133</f>
        <v>0</v>
      </c>
      <c r="AJ133" s="5">
        <f t="shared" ref="AJ133:AJ196" si="87">AH133</f>
        <v>0</v>
      </c>
      <c r="AK133" s="57">
        <f t="shared" ref="AK133:AK196" si="88">+CEILING(IFERROR(SQRT(2*AJ133*I133/AG133),0),B133)</f>
        <v>0</v>
      </c>
      <c r="AL133" s="19">
        <f t="shared" ref="AL133:AL196" si="89">+IF(AK133=0,0,ROUNDUP(I133/AK133,0))</f>
        <v>0</v>
      </c>
      <c r="AM133" s="20">
        <f t="shared" ref="AM133:AM196" si="90">+IFERROR(AK133/H133,0)</f>
        <v>0</v>
      </c>
      <c r="AN133" s="27">
        <f t="shared" ref="AN133:AN196" si="91">+AM133*30</f>
        <v>0</v>
      </c>
      <c r="AO133" s="57">
        <f t="shared" si="71"/>
        <v>0</v>
      </c>
      <c r="AP133" s="19">
        <f t="shared" ref="AP133:AP196" si="92">+IF(AO133=0,0,I133/AO133)</f>
        <v>0</v>
      </c>
      <c r="AQ133" s="20">
        <f t="shared" ref="AQ133:AQ196" si="93">+IFERROR(AO133/H133,0)</f>
        <v>0</v>
      </c>
      <c r="AR133" s="58">
        <f t="shared" ref="AR133:AR196" si="94">+AQ133*30</f>
        <v>0</v>
      </c>
      <c r="AS133" s="1">
        <f t="shared" ref="AS133:AS196" si="95">+AU133+H133/30*S133</f>
        <v>0</v>
      </c>
      <c r="AT133" s="21">
        <f t="shared" ref="AT133:AT196" si="96">+IFERROR(AS133/H133*22,0)</f>
        <v>0</v>
      </c>
      <c r="AU133" s="28">
        <f t="shared" ref="AU133:AU196" si="97">+NORMSINV(L133)*SQRT((S133)/30)*J133</f>
        <v>0</v>
      </c>
      <c r="AV133" s="19">
        <f t="shared" ref="AV133:AV196" si="98">+AO133/2</f>
        <v>0</v>
      </c>
      <c r="AW133" s="19">
        <f t="shared" ref="AW133:AW196" si="99">+AV133+AU133</f>
        <v>0</v>
      </c>
      <c r="AX133" s="27">
        <f t="shared" ref="AX133:AX196" si="100">+H133/30*S133</f>
        <v>0</v>
      </c>
      <c r="AY133" s="1" t="e">
        <f t="shared" ref="AY133:AY196" si="101">+AU133/H133*30</f>
        <v>#DIV/0!</v>
      </c>
      <c r="AZ133" s="1" t="e">
        <f t="shared" ref="AZ133:AZ196" si="102">+AW133/H133*30</f>
        <v>#DIV/0!</v>
      </c>
    </row>
    <row r="134" spans="1:52" hidden="1" x14ac:dyDescent="0.35">
      <c r="A134" s="29" t="s">
        <v>423</v>
      </c>
      <c r="B134" s="6">
        <v>2.5000000000000001E-2</v>
      </c>
      <c r="C134" s="2" t="e">
        <f>+VLOOKUP(E134,inventario!#REF!,2,0)</f>
        <v>#REF!</v>
      </c>
      <c r="D134" t="str">
        <f t="shared" si="72"/>
        <v>945</v>
      </c>
      <c r="E134" t="s">
        <v>148</v>
      </c>
      <c r="F134" s="6" t="str">
        <f>+IFERROR(VLOOKUP(E134,#REF!,29,0),"C")</f>
        <v>C</v>
      </c>
      <c r="G134" s="6" t="str">
        <f>+IFERROR(VLOOKUP(E134,#REF!,34,0),"C")</f>
        <v>C</v>
      </c>
      <c r="H134" s="64">
        <f>+IFERROR(VLOOKUP(E134,#REF!,31,0),0)</f>
        <v>0</v>
      </c>
      <c r="I134" s="44">
        <f>+IFERROR(VLOOKUP(E134,#REF!,26,0),0)</f>
        <v>0</v>
      </c>
      <c r="J134" s="44">
        <f>+IFERROR(VLOOKUP(E134,#REF!,30,0),0)</f>
        <v>0</v>
      </c>
      <c r="K134" s="3"/>
      <c r="L134" s="25">
        <f t="shared" si="73"/>
        <v>0.7</v>
      </c>
      <c r="M134" s="26">
        <f t="shared" si="74"/>
        <v>0.52440051270804078</v>
      </c>
      <c r="O134">
        <f>+IFERROR(VLOOKUP(D134,lt!A:J,10,0),15)</f>
        <v>17</v>
      </c>
      <c r="P134">
        <v>2</v>
      </c>
      <c r="Q134">
        <v>1</v>
      </c>
      <c r="R134">
        <v>2</v>
      </c>
      <c r="S134" s="22">
        <f t="shared" si="75"/>
        <v>22</v>
      </c>
      <c r="T134" s="9">
        <v>3</v>
      </c>
      <c r="U134" s="23">
        <f t="shared" si="76"/>
        <v>0.83333333333333337</v>
      </c>
      <c r="V134" s="11">
        <f t="shared" si="77"/>
        <v>0</v>
      </c>
      <c r="W134" s="11">
        <f t="shared" si="78"/>
        <v>0</v>
      </c>
      <c r="X134" s="11">
        <f t="shared" si="79"/>
        <v>0</v>
      </c>
      <c r="Y134" s="11">
        <f t="shared" si="80"/>
        <v>0</v>
      </c>
      <c r="Z134" s="65">
        <f t="shared" si="81"/>
        <v>0</v>
      </c>
      <c r="AA134" s="24">
        <f t="shared" si="82"/>
        <v>0</v>
      </c>
      <c r="AB134">
        <f t="shared" si="83"/>
        <v>0</v>
      </c>
      <c r="AC134" s="46">
        <f>+IFERROR(VLOOKUP(E134,#REF!,24,0),0.2)</f>
        <v>0.2</v>
      </c>
      <c r="AD134" s="42">
        <f>+IFERROR(VLOOKUP(E134,h!$C:$D,2,0),0.3866)</f>
        <v>0.38610833333333339</v>
      </c>
      <c r="AE134" s="42">
        <f>+VLOOKUP(A134,k!$A$1:$G$4,5,0)</f>
        <v>0.35799365240740744</v>
      </c>
      <c r="AF134" s="47">
        <f t="shared" si="84"/>
        <v>0.94410198574074089</v>
      </c>
      <c r="AG134" s="48">
        <f t="shared" si="85"/>
        <v>0.1132922382888889</v>
      </c>
      <c r="AH134" s="20">
        <f>+IFERROR(VLOOKUP(C134,k!$A$7:$L$13,7,0),0)</f>
        <v>0</v>
      </c>
      <c r="AI134" s="20">
        <f t="shared" si="86"/>
        <v>0</v>
      </c>
      <c r="AJ134" s="5">
        <f t="shared" si="87"/>
        <v>0</v>
      </c>
      <c r="AK134" s="57">
        <f t="shared" si="88"/>
        <v>0</v>
      </c>
      <c r="AL134" s="19">
        <f t="shared" si="89"/>
        <v>0</v>
      </c>
      <c r="AM134" s="20">
        <f t="shared" si="90"/>
        <v>0</v>
      </c>
      <c r="AN134" s="27">
        <f t="shared" si="91"/>
        <v>0</v>
      </c>
      <c r="AO134" s="57">
        <f t="shared" si="71"/>
        <v>0</v>
      </c>
      <c r="AP134" s="19">
        <f t="shared" si="92"/>
        <v>0</v>
      </c>
      <c r="AQ134" s="20">
        <f t="shared" si="93"/>
        <v>0</v>
      </c>
      <c r="AR134" s="58">
        <f t="shared" si="94"/>
        <v>0</v>
      </c>
      <c r="AS134" s="1">
        <f t="shared" si="95"/>
        <v>0</v>
      </c>
      <c r="AT134" s="21">
        <f t="shared" si="96"/>
        <v>0</v>
      </c>
      <c r="AU134" s="28">
        <f t="shared" si="97"/>
        <v>0</v>
      </c>
      <c r="AV134" s="19">
        <f t="shared" si="98"/>
        <v>0</v>
      </c>
      <c r="AW134" s="19">
        <f t="shared" si="99"/>
        <v>0</v>
      </c>
      <c r="AX134" s="27">
        <f t="shared" si="100"/>
        <v>0</v>
      </c>
      <c r="AY134" s="1" t="e">
        <f t="shared" si="101"/>
        <v>#DIV/0!</v>
      </c>
      <c r="AZ134" s="1" t="e">
        <f t="shared" si="102"/>
        <v>#DIV/0!</v>
      </c>
    </row>
    <row r="135" spans="1:52" hidden="1" x14ac:dyDescent="0.35">
      <c r="A135" s="29" t="s">
        <v>423</v>
      </c>
      <c r="B135" s="6">
        <v>2.5000000000000001E-2</v>
      </c>
      <c r="C135" s="2" t="e">
        <f>+VLOOKUP(E135,inventario!#REF!,2,0)</f>
        <v>#REF!</v>
      </c>
      <c r="D135" t="str">
        <f t="shared" si="72"/>
        <v>907</v>
      </c>
      <c r="E135" t="s">
        <v>155</v>
      </c>
      <c r="F135" s="6" t="str">
        <f>+IFERROR(VLOOKUP(E135,#REF!,29,0),"C")</f>
        <v>C</v>
      </c>
      <c r="G135" s="6" t="str">
        <f>+IFERROR(VLOOKUP(E135,#REF!,34,0),"C")</f>
        <v>C</v>
      </c>
      <c r="H135" s="64">
        <f>+IFERROR(VLOOKUP(E135,#REF!,31,0),0)</f>
        <v>0</v>
      </c>
      <c r="I135" s="44">
        <f>+IFERROR(VLOOKUP(E135,#REF!,26,0),0)</f>
        <v>0</v>
      </c>
      <c r="J135" s="44">
        <f>+IFERROR(VLOOKUP(E135,#REF!,30,0),0)</f>
        <v>0</v>
      </c>
      <c r="K135" s="3"/>
      <c r="L135" s="25">
        <f t="shared" si="73"/>
        <v>0.7</v>
      </c>
      <c r="M135" s="26">
        <f t="shared" si="74"/>
        <v>0.52440051270804078</v>
      </c>
      <c r="O135">
        <f>+IFERROR(VLOOKUP(D135,lt!A:J,10,0),15)</f>
        <v>17</v>
      </c>
      <c r="P135">
        <v>2</v>
      </c>
      <c r="Q135">
        <v>1</v>
      </c>
      <c r="R135">
        <v>2</v>
      </c>
      <c r="S135" s="22">
        <f t="shared" si="75"/>
        <v>22</v>
      </c>
      <c r="T135" s="9">
        <v>3</v>
      </c>
      <c r="U135" s="23">
        <f t="shared" si="76"/>
        <v>0.83333333333333337</v>
      </c>
      <c r="V135" s="11">
        <f t="shared" si="77"/>
        <v>0</v>
      </c>
      <c r="W135" s="11">
        <f t="shared" si="78"/>
        <v>0</v>
      </c>
      <c r="X135" s="11">
        <f t="shared" si="79"/>
        <v>0</v>
      </c>
      <c r="Y135" s="11">
        <f t="shared" si="80"/>
        <v>0</v>
      </c>
      <c r="Z135" s="65">
        <f t="shared" si="81"/>
        <v>0</v>
      </c>
      <c r="AA135" s="24">
        <f t="shared" si="82"/>
        <v>0</v>
      </c>
      <c r="AB135">
        <f t="shared" si="83"/>
        <v>0</v>
      </c>
      <c r="AC135" s="46">
        <f>+IFERROR(VLOOKUP(E135,#REF!,24,0),0.2)</f>
        <v>0.2</v>
      </c>
      <c r="AD135" s="42">
        <f>+IFERROR(VLOOKUP(E135,h!$C:$D,2,0),0.3866)</f>
        <v>0.38610833333333339</v>
      </c>
      <c r="AE135" s="42">
        <f>+VLOOKUP(A135,k!$A$1:$G$4,5,0)</f>
        <v>0.35799365240740744</v>
      </c>
      <c r="AF135" s="47">
        <f t="shared" si="84"/>
        <v>0.94410198574074089</v>
      </c>
      <c r="AG135" s="48">
        <f t="shared" si="85"/>
        <v>0.1132922382888889</v>
      </c>
      <c r="AH135" s="20">
        <f>+IFERROR(VLOOKUP(C135,k!$A$7:$L$13,7,0),0)</f>
        <v>0</v>
      </c>
      <c r="AI135" s="20">
        <f t="shared" si="86"/>
        <v>0</v>
      </c>
      <c r="AJ135" s="5">
        <f t="shared" si="87"/>
        <v>0</v>
      </c>
      <c r="AK135" s="57">
        <f t="shared" si="88"/>
        <v>0</v>
      </c>
      <c r="AL135" s="19">
        <f t="shared" si="89"/>
        <v>0</v>
      </c>
      <c r="AM135" s="20">
        <f t="shared" si="90"/>
        <v>0</v>
      </c>
      <c r="AN135" s="27">
        <f t="shared" si="91"/>
        <v>0</v>
      </c>
      <c r="AO135" s="57">
        <f t="shared" si="71"/>
        <v>0</v>
      </c>
      <c r="AP135" s="19">
        <f t="shared" si="92"/>
        <v>0</v>
      </c>
      <c r="AQ135" s="20">
        <f t="shared" si="93"/>
        <v>0</v>
      </c>
      <c r="AR135" s="58">
        <f t="shared" si="94"/>
        <v>0</v>
      </c>
      <c r="AS135" s="1">
        <f t="shared" si="95"/>
        <v>0</v>
      </c>
      <c r="AT135" s="21">
        <f t="shared" si="96"/>
        <v>0</v>
      </c>
      <c r="AU135" s="28">
        <f t="shared" si="97"/>
        <v>0</v>
      </c>
      <c r="AV135" s="19">
        <f t="shared" si="98"/>
        <v>0</v>
      </c>
      <c r="AW135" s="19">
        <f t="shared" si="99"/>
        <v>0</v>
      </c>
      <c r="AX135" s="27">
        <f t="shared" si="100"/>
        <v>0</v>
      </c>
      <c r="AY135" s="1" t="e">
        <f t="shared" si="101"/>
        <v>#DIV/0!</v>
      </c>
      <c r="AZ135" s="1" t="e">
        <f t="shared" si="102"/>
        <v>#DIV/0!</v>
      </c>
    </row>
    <row r="136" spans="1:52" hidden="1" x14ac:dyDescent="0.35">
      <c r="A136" s="29" t="s">
        <v>423</v>
      </c>
      <c r="B136" s="6">
        <v>2.5000000000000001E-2</v>
      </c>
      <c r="C136" s="2" t="e">
        <f>+VLOOKUP(E136,inventario!#REF!,2,0)</f>
        <v>#REF!</v>
      </c>
      <c r="D136" t="str">
        <f t="shared" si="72"/>
        <v>685</v>
      </c>
      <c r="E136" t="s">
        <v>169</v>
      </c>
      <c r="F136" s="6" t="str">
        <f>+IFERROR(VLOOKUP(E136,#REF!,29,0),"C")</f>
        <v>C</v>
      </c>
      <c r="G136" s="6" t="str">
        <f>+IFERROR(VLOOKUP(E136,#REF!,34,0),"C")</f>
        <v>C</v>
      </c>
      <c r="H136" s="64">
        <f>+IFERROR(VLOOKUP(E136,#REF!,31,0),0)</f>
        <v>0</v>
      </c>
      <c r="I136" s="44">
        <f>+IFERROR(VLOOKUP(E136,#REF!,26,0),0)</f>
        <v>0</v>
      </c>
      <c r="J136" s="44">
        <f>+IFERROR(VLOOKUP(E136,#REF!,30,0),0)</f>
        <v>0</v>
      </c>
      <c r="K136" s="3"/>
      <c r="L136" s="25">
        <f t="shared" si="73"/>
        <v>0.7</v>
      </c>
      <c r="M136" s="26">
        <f t="shared" si="74"/>
        <v>0.52440051270804078</v>
      </c>
      <c r="O136">
        <f>+IFERROR(VLOOKUP(D136,lt!A:J,10,0),15)</f>
        <v>17</v>
      </c>
      <c r="P136">
        <v>2</v>
      </c>
      <c r="Q136">
        <v>1</v>
      </c>
      <c r="R136">
        <v>2</v>
      </c>
      <c r="S136" s="22">
        <f t="shared" si="75"/>
        <v>22</v>
      </c>
      <c r="T136" s="9">
        <v>3</v>
      </c>
      <c r="U136" s="23">
        <f t="shared" si="76"/>
        <v>0.83333333333333337</v>
      </c>
      <c r="V136" s="101">
        <f t="shared" si="77"/>
        <v>0</v>
      </c>
      <c r="W136" s="101">
        <f t="shared" si="78"/>
        <v>0</v>
      </c>
      <c r="X136" s="101">
        <f t="shared" si="79"/>
        <v>0</v>
      </c>
      <c r="Y136" s="101">
        <f t="shared" si="80"/>
        <v>0</v>
      </c>
      <c r="Z136" s="101">
        <f t="shared" si="81"/>
        <v>0</v>
      </c>
      <c r="AA136" s="24">
        <f t="shared" si="82"/>
        <v>0</v>
      </c>
      <c r="AB136">
        <f t="shared" si="83"/>
        <v>0</v>
      </c>
      <c r="AC136" s="46">
        <f>+IFERROR(VLOOKUP(E136,#REF!,24,0),0.2)</f>
        <v>0.2</v>
      </c>
      <c r="AD136" s="42">
        <f>+IFERROR(VLOOKUP(E136,h!$C:$D,2,0),0.3866)</f>
        <v>0.38610833333333339</v>
      </c>
      <c r="AE136" s="42">
        <f>+VLOOKUP(A136,k!$A$1:$G$4,5,0)</f>
        <v>0.35799365240740744</v>
      </c>
      <c r="AF136" s="47">
        <f t="shared" si="84"/>
        <v>0.94410198574074089</v>
      </c>
      <c r="AG136" s="48">
        <f t="shared" si="85"/>
        <v>0.1132922382888889</v>
      </c>
      <c r="AH136" s="20">
        <f>+IFERROR(VLOOKUP(C136,k!$A$7:$L$13,7,0),0)</f>
        <v>0</v>
      </c>
      <c r="AI136" s="20">
        <f t="shared" si="86"/>
        <v>0</v>
      </c>
      <c r="AJ136" s="5">
        <f t="shared" si="87"/>
        <v>0</v>
      </c>
      <c r="AK136" s="57">
        <f t="shared" si="88"/>
        <v>0</v>
      </c>
      <c r="AL136" s="19">
        <f t="shared" si="89"/>
        <v>0</v>
      </c>
      <c r="AM136" s="20">
        <f t="shared" si="90"/>
        <v>0</v>
      </c>
      <c r="AN136" s="27">
        <f t="shared" si="91"/>
        <v>0</v>
      </c>
      <c r="AO136" s="57">
        <f t="shared" si="71"/>
        <v>0</v>
      </c>
      <c r="AP136" s="19">
        <f t="shared" si="92"/>
        <v>0</v>
      </c>
      <c r="AQ136" s="20">
        <f t="shared" si="93"/>
        <v>0</v>
      </c>
      <c r="AR136" s="58">
        <f t="shared" si="94"/>
        <v>0</v>
      </c>
      <c r="AS136" s="1">
        <f t="shared" si="95"/>
        <v>0</v>
      </c>
      <c r="AT136" s="21">
        <f t="shared" si="96"/>
        <v>0</v>
      </c>
      <c r="AU136" s="28">
        <f t="shared" si="97"/>
        <v>0</v>
      </c>
      <c r="AV136" s="19">
        <f t="shared" si="98"/>
        <v>0</v>
      </c>
      <c r="AW136" s="19">
        <f t="shared" si="99"/>
        <v>0</v>
      </c>
      <c r="AX136" s="27">
        <f t="shared" si="100"/>
        <v>0</v>
      </c>
      <c r="AY136" s="1" t="e">
        <f t="shared" si="101"/>
        <v>#DIV/0!</v>
      </c>
      <c r="AZ136" s="1" t="e">
        <f t="shared" si="102"/>
        <v>#DIV/0!</v>
      </c>
    </row>
    <row r="137" spans="1:52" hidden="1" x14ac:dyDescent="0.35">
      <c r="A137" s="29" t="s">
        <v>423</v>
      </c>
      <c r="B137" s="6">
        <v>2.5000000000000001E-2</v>
      </c>
      <c r="C137" s="2" t="e">
        <f>+VLOOKUP(E137,inventario!#REF!,2,0)</f>
        <v>#REF!</v>
      </c>
      <c r="D137" t="str">
        <f t="shared" si="72"/>
        <v>311</v>
      </c>
      <c r="E137" t="s">
        <v>168</v>
      </c>
      <c r="F137" s="6" t="str">
        <f>+IFERROR(VLOOKUP(E137,#REF!,29,0),"C")</f>
        <v>C</v>
      </c>
      <c r="G137" s="6" t="str">
        <f>+IFERROR(VLOOKUP(E137,#REF!,34,0),"C")</f>
        <v>C</v>
      </c>
      <c r="H137" s="64">
        <f>+IFERROR(VLOOKUP(E137,#REF!,31,0),0)</f>
        <v>0</v>
      </c>
      <c r="I137" s="44">
        <f>+IFERROR(VLOOKUP(E137,#REF!,26,0),0)</f>
        <v>0</v>
      </c>
      <c r="J137" s="44">
        <f>+IFERROR(VLOOKUP(E137,#REF!,30,0),0)</f>
        <v>0</v>
      </c>
      <c r="K137" s="3"/>
      <c r="L137" s="25">
        <f t="shared" si="73"/>
        <v>0.7</v>
      </c>
      <c r="M137" s="26">
        <f t="shared" si="74"/>
        <v>0.52440051270804078</v>
      </c>
      <c r="O137">
        <f>+IFERROR(VLOOKUP(D137,lt!A:J,10,0),15)</f>
        <v>17</v>
      </c>
      <c r="P137">
        <v>2</v>
      </c>
      <c r="Q137">
        <v>1</v>
      </c>
      <c r="R137">
        <v>2</v>
      </c>
      <c r="S137" s="22">
        <f t="shared" si="75"/>
        <v>22</v>
      </c>
      <c r="T137" s="9">
        <v>3</v>
      </c>
      <c r="U137" s="23">
        <f t="shared" si="76"/>
        <v>0.83333333333333337</v>
      </c>
      <c r="V137" s="11">
        <f t="shared" si="77"/>
        <v>0</v>
      </c>
      <c r="W137" s="11">
        <f t="shared" si="78"/>
        <v>0</v>
      </c>
      <c r="X137" s="11">
        <f t="shared" si="79"/>
        <v>0</v>
      </c>
      <c r="Y137" s="11">
        <f t="shared" si="80"/>
        <v>0</v>
      </c>
      <c r="Z137" s="65">
        <f t="shared" si="81"/>
        <v>0</v>
      </c>
      <c r="AA137" s="24">
        <f t="shared" si="82"/>
        <v>0</v>
      </c>
      <c r="AB137">
        <f t="shared" si="83"/>
        <v>0</v>
      </c>
      <c r="AC137" s="46">
        <f>+IFERROR(VLOOKUP(E137,#REF!,24,0),0.2)</f>
        <v>0.2</v>
      </c>
      <c r="AD137" s="42">
        <f>+IFERROR(VLOOKUP(E137,h!$C:$D,2,0),0.3866)</f>
        <v>0.38610833333333339</v>
      </c>
      <c r="AE137" s="42">
        <f>+VLOOKUP(A137,k!$A$1:$G$4,5,0)</f>
        <v>0.35799365240740744</v>
      </c>
      <c r="AF137" s="47">
        <f t="shared" si="84"/>
        <v>0.94410198574074089</v>
      </c>
      <c r="AG137" s="48">
        <f t="shared" si="85"/>
        <v>0.1132922382888889</v>
      </c>
      <c r="AH137" s="20">
        <f>+IFERROR(VLOOKUP(C137,k!$A$7:$L$13,7,0),0)</f>
        <v>0</v>
      </c>
      <c r="AI137" s="20">
        <f t="shared" si="86"/>
        <v>0</v>
      </c>
      <c r="AJ137" s="5">
        <f t="shared" si="87"/>
        <v>0</v>
      </c>
      <c r="AK137" s="57">
        <f t="shared" si="88"/>
        <v>0</v>
      </c>
      <c r="AL137" s="19">
        <f t="shared" si="89"/>
        <v>0</v>
      </c>
      <c r="AM137" s="20">
        <f t="shared" si="90"/>
        <v>0</v>
      </c>
      <c r="AN137" s="27">
        <f t="shared" si="91"/>
        <v>0</v>
      </c>
      <c r="AO137" s="57">
        <f t="shared" si="71"/>
        <v>0</v>
      </c>
      <c r="AP137" s="19">
        <f t="shared" si="92"/>
        <v>0</v>
      </c>
      <c r="AQ137" s="20">
        <f t="shared" si="93"/>
        <v>0</v>
      </c>
      <c r="AR137" s="58">
        <f t="shared" si="94"/>
        <v>0</v>
      </c>
      <c r="AS137" s="1">
        <f t="shared" si="95"/>
        <v>0</v>
      </c>
      <c r="AT137" s="21">
        <f t="shared" si="96"/>
        <v>0</v>
      </c>
      <c r="AU137" s="28">
        <f t="shared" si="97"/>
        <v>0</v>
      </c>
      <c r="AV137" s="19">
        <f t="shared" si="98"/>
        <v>0</v>
      </c>
      <c r="AW137" s="19">
        <f t="shared" si="99"/>
        <v>0</v>
      </c>
      <c r="AX137" s="27">
        <f t="shared" si="100"/>
        <v>0</v>
      </c>
      <c r="AY137" s="1" t="e">
        <f t="shared" si="101"/>
        <v>#DIV/0!</v>
      </c>
      <c r="AZ137" s="1" t="e">
        <f t="shared" si="102"/>
        <v>#DIV/0!</v>
      </c>
    </row>
    <row r="138" spans="1:52" hidden="1" x14ac:dyDescent="0.35">
      <c r="A138" s="29" t="s">
        <v>423</v>
      </c>
      <c r="B138" s="6">
        <v>0.02</v>
      </c>
      <c r="C138" s="2" t="e">
        <f>+VLOOKUP(E138,inventario!#REF!,2,0)</f>
        <v>#REF!</v>
      </c>
      <c r="D138" t="str">
        <f t="shared" si="72"/>
        <v>913</v>
      </c>
      <c r="E138" s="55" t="s">
        <v>1048</v>
      </c>
      <c r="F138" s="6" t="str">
        <f>+IFERROR(VLOOKUP(E138,#REF!,29,0),"C")</f>
        <v>C</v>
      </c>
      <c r="G138" s="6" t="str">
        <f>+IFERROR(VLOOKUP(E138,#REF!,34,0),"C")</f>
        <v>C</v>
      </c>
      <c r="H138" s="64">
        <f>+IFERROR(VLOOKUP(E138,#REF!,31,0),0)</f>
        <v>0</v>
      </c>
      <c r="I138" s="44">
        <f>+IFERROR(VLOOKUP(E138,#REF!,26,0),0)</f>
        <v>0</v>
      </c>
      <c r="J138" s="44">
        <f>+IFERROR(VLOOKUP(E138,#REF!,30,0),0)</f>
        <v>0</v>
      </c>
      <c r="L138" s="25">
        <f t="shared" si="73"/>
        <v>0.7</v>
      </c>
      <c r="M138" s="26">
        <f t="shared" si="74"/>
        <v>0.52440051270804078</v>
      </c>
      <c r="O138">
        <f>+IFERROR(VLOOKUP(D138,lt!A:J,10,0),15)</f>
        <v>15</v>
      </c>
      <c r="P138">
        <v>2</v>
      </c>
      <c r="Q138">
        <v>1</v>
      </c>
      <c r="R138">
        <v>2</v>
      </c>
      <c r="S138" s="22">
        <f t="shared" si="75"/>
        <v>20</v>
      </c>
      <c r="T138" s="9">
        <v>3</v>
      </c>
      <c r="U138" s="23">
        <f t="shared" si="76"/>
        <v>0.76666666666666672</v>
      </c>
      <c r="V138" s="11">
        <f t="shared" si="77"/>
        <v>0</v>
      </c>
      <c r="W138" s="11">
        <f t="shared" si="78"/>
        <v>0</v>
      </c>
      <c r="X138" s="11">
        <f t="shared" si="79"/>
        <v>0</v>
      </c>
      <c r="Y138" s="11">
        <f t="shared" si="80"/>
        <v>0</v>
      </c>
      <c r="Z138" s="65">
        <f t="shared" si="81"/>
        <v>0</v>
      </c>
      <c r="AA138" s="24">
        <f t="shared" si="82"/>
        <v>0</v>
      </c>
      <c r="AB138">
        <f t="shared" si="83"/>
        <v>0</v>
      </c>
      <c r="AC138" s="46">
        <f>+IFERROR(VLOOKUP(E138,#REF!,24,0),0.2)</f>
        <v>0.2</v>
      </c>
      <c r="AD138" s="42">
        <f>+IFERROR(VLOOKUP(E138,h!$C:$D,2,0),0.3866)</f>
        <v>0.3866</v>
      </c>
      <c r="AE138" s="42">
        <f>+VLOOKUP(A138,k!$A$1:$G$4,5,0)</f>
        <v>0.35799365240740744</v>
      </c>
      <c r="AF138" s="47">
        <f t="shared" si="84"/>
        <v>0.94459365240740745</v>
      </c>
      <c r="AG138" s="48">
        <f t="shared" si="85"/>
        <v>0.11335123828888889</v>
      </c>
      <c r="AH138" s="20">
        <f>+IFERROR(VLOOKUP(C138,k!$A$7:$L$13,7,0),0)</f>
        <v>0</v>
      </c>
      <c r="AI138" s="20">
        <f t="shared" si="86"/>
        <v>0</v>
      </c>
      <c r="AJ138" s="5">
        <f t="shared" si="87"/>
        <v>0</v>
      </c>
      <c r="AK138" s="57">
        <f t="shared" si="88"/>
        <v>0</v>
      </c>
      <c r="AL138" s="19">
        <f t="shared" si="89"/>
        <v>0</v>
      </c>
      <c r="AM138" s="20">
        <f t="shared" si="90"/>
        <v>0</v>
      </c>
      <c r="AN138" s="27">
        <f t="shared" si="91"/>
        <v>0</v>
      </c>
      <c r="AO138" s="57">
        <f t="shared" si="71"/>
        <v>0</v>
      </c>
      <c r="AP138" s="19">
        <f t="shared" si="92"/>
        <v>0</v>
      </c>
      <c r="AQ138" s="20">
        <f t="shared" si="93"/>
        <v>0</v>
      </c>
      <c r="AR138" s="58">
        <f t="shared" si="94"/>
        <v>0</v>
      </c>
      <c r="AS138" s="1">
        <f t="shared" si="95"/>
        <v>0</v>
      </c>
      <c r="AT138" s="21">
        <f t="shared" si="96"/>
        <v>0</v>
      </c>
      <c r="AU138" s="28">
        <f t="shared" si="97"/>
        <v>0</v>
      </c>
      <c r="AV138" s="19">
        <f t="shared" si="98"/>
        <v>0</v>
      </c>
      <c r="AW138" s="19">
        <f t="shared" si="99"/>
        <v>0</v>
      </c>
      <c r="AX138" s="27">
        <f t="shared" si="100"/>
        <v>0</v>
      </c>
      <c r="AY138" s="1" t="e">
        <f t="shared" si="101"/>
        <v>#DIV/0!</v>
      </c>
      <c r="AZ138" s="1" t="e">
        <f t="shared" si="102"/>
        <v>#DIV/0!</v>
      </c>
    </row>
    <row r="139" spans="1:52" hidden="1" x14ac:dyDescent="0.35">
      <c r="A139" s="29" t="s">
        <v>423</v>
      </c>
      <c r="B139" s="6">
        <v>5.0000000000000001E-3</v>
      </c>
      <c r="C139" s="2" t="e">
        <f>+VLOOKUP(E139,inventario!#REF!,2,0)</f>
        <v>#REF!</v>
      </c>
      <c r="D139" t="str">
        <f t="shared" si="72"/>
        <v>601</v>
      </c>
      <c r="E139" t="s">
        <v>167</v>
      </c>
      <c r="F139" s="6" t="str">
        <f>+IFERROR(VLOOKUP(E139,#REF!,29,0),"C")</f>
        <v>C</v>
      </c>
      <c r="G139" s="6" t="str">
        <f>+IFERROR(VLOOKUP(E139,#REF!,34,0),"C")</f>
        <v>C</v>
      </c>
      <c r="H139" s="64">
        <f>+IFERROR(VLOOKUP(E139,#REF!,31,0),0)</f>
        <v>0</v>
      </c>
      <c r="I139" s="44">
        <f>+IFERROR(VLOOKUP(E139,#REF!,26,0),0)</f>
        <v>0</v>
      </c>
      <c r="J139" s="44">
        <f>+IFERROR(VLOOKUP(E139,#REF!,30,0),0)</f>
        <v>0</v>
      </c>
      <c r="K139" s="3"/>
      <c r="L139" s="25">
        <f t="shared" si="73"/>
        <v>0.7</v>
      </c>
      <c r="M139" s="26">
        <f t="shared" si="74"/>
        <v>0.52440051270804078</v>
      </c>
      <c r="O139">
        <f>+IFERROR(VLOOKUP(D139,lt!A:J,10,0),15)</f>
        <v>17</v>
      </c>
      <c r="P139">
        <v>2</v>
      </c>
      <c r="Q139">
        <v>1</v>
      </c>
      <c r="R139">
        <v>2</v>
      </c>
      <c r="S139" s="22">
        <f t="shared" si="75"/>
        <v>22</v>
      </c>
      <c r="T139" s="9">
        <v>3</v>
      </c>
      <c r="U139" s="23">
        <f t="shared" si="76"/>
        <v>0.83333333333333337</v>
      </c>
      <c r="V139" s="11">
        <f t="shared" si="77"/>
        <v>0</v>
      </c>
      <c r="W139" s="11">
        <f t="shared" si="78"/>
        <v>0</v>
      </c>
      <c r="X139" s="11">
        <f t="shared" si="79"/>
        <v>0</v>
      </c>
      <c r="Y139" s="11">
        <f t="shared" si="80"/>
        <v>0</v>
      </c>
      <c r="Z139" s="65">
        <f t="shared" si="81"/>
        <v>0</v>
      </c>
      <c r="AA139" s="24">
        <f t="shared" si="82"/>
        <v>0</v>
      </c>
      <c r="AB139">
        <f t="shared" si="83"/>
        <v>0</v>
      </c>
      <c r="AC139" s="46">
        <f>+IFERROR(VLOOKUP(E139,#REF!,24,0),0.2)</f>
        <v>0.2</v>
      </c>
      <c r="AD139" s="42">
        <f>+IFERROR(VLOOKUP(E139,h!$C:$D,2,0),0.3866)</f>
        <v>0.38610833333333339</v>
      </c>
      <c r="AE139" s="42">
        <f>+VLOOKUP(A139,k!$A$1:$G$4,5,0)</f>
        <v>0.35799365240740744</v>
      </c>
      <c r="AF139" s="47">
        <f t="shared" si="84"/>
        <v>0.94410198574074089</v>
      </c>
      <c r="AG139" s="48">
        <f t="shared" si="85"/>
        <v>0.1132922382888889</v>
      </c>
      <c r="AH139" s="20">
        <f>+IFERROR(VLOOKUP(C139,k!$A$7:$L$13,7,0),0)</f>
        <v>0</v>
      </c>
      <c r="AI139" s="20">
        <f t="shared" si="86"/>
        <v>0</v>
      </c>
      <c r="AJ139" s="5">
        <f t="shared" si="87"/>
        <v>0</v>
      </c>
      <c r="AK139" s="57">
        <f t="shared" si="88"/>
        <v>0</v>
      </c>
      <c r="AL139" s="19">
        <f t="shared" si="89"/>
        <v>0</v>
      </c>
      <c r="AM139" s="20">
        <f t="shared" si="90"/>
        <v>0</v>
      </c>
      <c r="AN139" s="27">
        <f t="shared" si="91"/>
        <v>0</v>
      </c>
      <c r="AO139" s="57">
        <f t="shared" si="71"/>
        <v>0</v>
      </c>
      <c r="AP139" s="19">
        <f t="shared" si="92"/>
        <v>0</v>
      </c>
      <c r="AQ139" s="20">
        <f t="shared" si="93"/>
        <v>0</v>
      </c>
      <c r="AR139" s="58">
        <f t="shared" si="94"/>
        <v>0</v>
      </c>
      <c r="AS139" s="1">
        <f t="shared" si="95"/>
        <v>0</v>
      </c>
      <c r="AT139" s="21">
        <f t="shared" si="96"/>
        <v>0</v>
      </c>
      <c r="AU139" s="28">
        <f t="shared" si="97"/>
        <v>0</v>
      </c>
      <c r="AV139" s="19">
        <f t="shared" si="98"/>
        <v>0</v>
      </c>
      <c r="AW139" s="19">
        <f t="shared" si="99"/>
        <v>0</v>
      </c>
      <c r="AX139" s="27">
        <f t="shared" si="100"/>
        <v>0</v>
      </c>
      <c r="AY139" s="1" t="e">
        <f t="shared" si="101"/>
        <v>#DIV/0!</v>
      </c>
      <c r="AZ139" s="1" t="e">
        <f t="shared" si="102"/>
        <v>#DIV/0!</v>
      </c>
    </row>
    <row r="140" spans="1:52" hidden="1" x14ac:dyDescent="0.35">
      <c r="A140" s="29" t="s">
        <v>423</v>
      </c>
      <c r="B140" s="6">
        <v>5.0000000000000001E-3</v>
      </c>
      <c r="C140" s="2" t="e">
        <f>+VLOOKUP(E140,inventario!#REF!,2,0)</f>
        <v>#REF!</v>
      </c>
      <c r="D140" t="str">
        <f t="shared" si="72"/>
        <v>1051</v>
      </c>
      <c r="E140" t="s">
        <v>173</v>
      </c>
      <c r="F140" s="6" t="str">
        <f>+IFERROR(VLOOKUP(E140,#REF!,29,0),"C")</f>
        <v>C</v>
      </c>
      <c r="G140" s="6" t="str">
        <f>+IFERROR(VLOOKUP(E140,#REF!,34,0),"C")</f>
        <v>C</v>
      </c>
      <c r="H140" s="64">
        <f>+IFERROR(VLOOKUP(E140,#REF!,31,0),0)</f>
        <v>0</v>
      </c>
      <c r="I140" s="44">
        <f>+IFERROR(VLOOKUP(E140,#REF!,26,0),0)</f>
        <v>0</v>
      </c>
      <c r="J140" s="44">
        <f>+IFERROR(VLOOKUP(E140,#REF!,30,0),0)</f>
        <v>0</v>
      </c>
      <c r="K140" s="3"/>
      <c r="L140" s="25">
        <f t="shared" si="73"/>
        <v>0.7</v>
      </c>
      <c r="M140" s="26">
        <f t="shared" si="74"/>
        <v>0.52440051270804078</v>
      </c>
      <c r="O140">
        <f>+IFERROR(VLOOKUP(D140,lt!A:J,10,0),15)</f>
        <v>17</v>
      </c>
      <c r="P140">
        <v>2</v>
      </c>
      <c r="Q140">
        <v>1</v>
      </c>
      <c r="R140">
        <v>2</v>
      </c>
      <c r="S140" s="22">
        <f t="shared" si="75"/>
        <v>22</v>
      </c>
      <c r="T140" s="9">
        <v>3</v>
      </c>
      <c r="U140" s="23">
        <f t="shared" si="76"/>
        <v>0.83333333333333337</v>
      </c>
      <c r="V140" s="11">
        <f t="shared" si="77"/>
        <v>0</v>
      </c>
      <c r="W140" s="11">
        <f t="shared" si="78"/>
        <v>0</v>
      </c>
      <c r="X140" s="11">
        <f t="shared" si="79"/>
        <v>0</v>
      </c>
      <c r="Y140" s="11">
        <f t="shared" si="80"/>
        <v>0</v>
      </c>
      <c r="Z140" s="65">
        <f t="shared" si="81"/>
        <v>0</v>
      </c>
      <c r="AA140" s="24">
        <f t="shared" si="82"/>
        <v>0</v>
      </c>
      <c r="AB140">
        <f t="shared" si="83"/>
        <v>0</v>
      </c>
      <c r="AC140" s="46">
        <f>+IFERROR(VLOOKUP(E140,#REF!,24,0),0.2)</f>
        <v>0.2</v>
      </c>
      <c r="AD140" s="42">
        <f>+IFERROR(VLOOKUP(E140,h!$C:$D,2,0),0.3866)</f>
        <v>0.38610833333333339</v>
      </c>
      <c r="AE140" s="42">
        <f>+VLOOKUP(A140,k!$A$1:$G$4,5,0)</f>
        <v>0.35799365240740744</v>
      </c>
      <c r="AF140" s="47">
        <f t="shared" si="84"/>
        <v>0.94410198574074089</v>
      </c>
      <c r="AG140" s="48">
        <f t="shared" si="85"/>
        <v>0.1132922382888889</v>
      </c>
      <c r="AH140" s="20">
        <f>+IFERROR(VLOOKUP(C140,k!$A$7:$L$13,7,0),0)</f>
        <v>0</v>
      </c>
      <c r="AI140" s="20">
        <f t="shared" si="86"/>
        <v>0</v>
      </c>
      <c r="AJ140" s="5">
        <f t="shared" si="87"/>
        <v>0</v>
      </c>
      <c r="AK140" s="57">
        <f t="shared" si="88"/>
        <v>0</v>
      </c>
      <c r="AL140" s="19">
        <f t="shared" si="89"/>
        <v>0</v>
      </c>
      <c r="AM140" s="20">
        <f t="shared" si="90"/>
        <v>0</v>
      </c>
      <c r="AN140" s="27">
        <f t="shared" si="91"/>
        <v>0</v>
      </c>
      <c r="AO140" s="57">
        <f t="shared" si="71"/>
        <v>0</v>
      </c>
      <c r="AP140" s="19">
        <f t="shared" si="92"/>
        <v>0</v>
      </c>
      <c r="AQ140" s="20">
        <f t="shared" si="93"/>
        <v>0</v>
      </c>
      <c r="AR140" s="58">
        <f t="shared" si="94"/>
        <v>0</v>
      </c>
      <c r="AS140" s="1">
        <f t="shared" si="95"/>
        <v>0</v>
      </c>
      <c r="AT140" s="21">
        <f t="shared" si="96"/>
        <v>0</v>
      </c>
      <c r="AU140" s="28">
        <f t="shared" si="97"/>
        <v>0</v>
      </c>
      <c r="AV140" s="19">
        <f t="shared" si="98"/>
        <v>0</v>
      </c>
      <c r="AW140" s="19">
        <f t="shared" si="99"/>
        <v>0</v>
      </c>
      <c r="AX140" s="27">
        <f t="shared" si="100"/>
        <v>0</v>
      </c>
      <c r="AY140" s="1" t="e">
        <f t="shared" si="101"/>
        <v>#DIV/0!</v>
      </c>
      <c r="AZ140" s="1" t="e">
        <f t="shared" si="102"/>
        <v>#DIV/0!</v>
      </c>
    </row>
    <row r="141" spans="1:52" hidden="1" x14ac:dyDescent="0.35">
      <c r="A141" s="29" t="s">
        <v>423</v>
      </c>
      <c r="B141" s="6">
        <v>2.5000000000000001E-2</v>
      </c>
      <c r="C141" s="2" t="s">
        <v>102</v>
      </c>
      <c r="D141" t="str">
        <f t="shared" si="72"/>
        <v>930</v>
      </c>
      <c r="E141" t="s">
        <v>969</v>
      </c>
      <c r="F141" s="6" t="str">
        <f>+IFERROR(VLOOKUP(E141,#REF!,29,0),"C")</f>
        <v>C</v>
      </c>
      <c r="G141" s="6" t="str">
        <f>+IFERROR(VLOOKUP(E141,#REF!,34,0),"C")</f>
        <v>C</v>
      </c>
      <c r="H141" s="64">
        <f>+IFERROR(VLOOKUP(E141,#REF!,31,0),0)</f>
        <v>0</v>
      </c>
      <c r="I141" s="44">
        <f>+IFERROR(VLOOKUP(E141,#REF!,26,0),0)</f>
        <v>0</v>
      </c>
      <c r="J141" s="44">
        <f>+IFERROR(VLOOKUP(E141,#REF!,30,0),0)</f>
        <v>0</v>
      </c>
      <c r="K141" s="3"/>
      <c r="L141" s="25">
        <f t="shared" si="73"/>
        <v>0.7</v>
      </c>
      <c r="M141" s="26">
        <f t="shared" si="74"/>
        <v>0.52440051270804078</v>
      </c>
      <c r="O141">
        <f>+IFERROR(VLOOKUP(D141,lt!A:J,10,0),15)</f>
        <v>15</v>
      </c>
      <c r="P141">
        <v>2</v>
      </c>
      <c r="Q141">
        <v>1</v>
      </c>
      <c r="R141">
        <v>2</v>
      </c>
      <c r="S141" s="22">
        <f t="shared" si="75"/>
        <v>20</v>
      </c>
      <c r="T141" s="9">
        <v>3</v>
      </c>
      <c r="U141" s="23">
        <f t="shared" si="76"/>
        <v>0.76666666666666672</v>
      </c>
      <c r="V141" s="11">
        <f t="shared" si="77"/>
        <v>0</v>
      </c>
      <c r="W141" s="11">
        <f t="shared" si="78"/>
        <v>0</v>
      </c>
      <c r="X141" s="11">
        <f t="shared" si="79"/>
        <v>0</v>
      </c>
      <c r="Y141" s="11">
        <f t="shared" si="80"/>
        <v>0</v>
      </c>
      <c r="Z141" s="65">
        <f t="shared" si="81"/>
        <v>0</v>
      </c>
      <c r="AA141" s="24">
        <f t="shared" si="82"/>
        <v>0</v>
      </c>
      <c r="AB141">
        <f t="shared" si="83"/>
        <v>0</v>
      </c>
      <c r="AC141" s="46">
        <f>+IFERROR(VLOOKUP(E141,#REF!,24,0),0.2)</f>
        <v>0.2</v>
      </c>
      <c r="AD141" s="42">
        <f>+IFERROR(VLOOKUP(E141,h!$C:$D,2,0),0.3866)</f>
        <v>0.38610833333333339</v>
      </c>
      <c r="AE141" s="42">
        <f>+VLOOKUP(A141,k!$A$1:$G$4,5,0)</f>
        <v>0.35799365240740744</v>
      </c>
      <c r="AF141" s="47">
        <f t="shared" si="84"/>
        <v>0.94410198574074089</v>
      </c>
      <c r="AG141" s="48">
        <f t="shared" si="85"/>
        <v>0.1132922382888889</v>
      </c>
      <c r="AH141" s="20">
        <f>+IFERROR(VLOOKUP(C141,k!$A$7:$L$13,7,0),0)</f>
        <v>7.4001689814814817</v>
      </c>
      <c r="AI141" s="20">
        <f t="shared" si="86"/>
        <v>0</v>
      </c>
      <c r="AJ141" s="5">
        <f t="shared" si="87"/>
        <v>7.4001689814814817</v>
      </c>
      <c r="AK141" s="57">
        <f t="shared" si="88"/>
        <v>0</v>
      </c>
      <c r="AL141" s="19">
        <f t="shared" si="89"/>
        <v>0</v>
      </c>
      <c r="AM141" s="20">
        <f t="shared" si="90"/>
        <v>0</v>
      </c>
      <c r="AN141" s="27">
        <f t="shared" si="91"/>
        <v>0</v>
      </c>
      <c r="AO141" s="57">
        <f t="shared" si="71"/>
        <v>0</v>
      </c>
      <c r="AP141" s="19">
        <f t="shared" si="92"/>
        <v>0</v>
      </c>
      <c r="AQ141" s="20">
        <f t="shared" si="93"/>
        <v>0</v>
      </c>
      <c r="AR141" s="58">
        <f t="shared" si="94"/>
        <v>0</v>
      </c>
      <c r="AS141" s="1">
        <f t="shared" si="95"/>
        <v>0</v>
      </c>
      <c r="AT141" s="21">
        <f t="shared" si="96"/>
        <v>0</v>
      </c>
      <c r="AU141" s="28">
        <f t="shared" si="97"/>
        <v>0</v>
      </c>
      <c r="AV141" s="19">
        <f t="shared" si="98"/>
        <v>0</v>
      </c>
      <c r="AW141" s="19">
        <f t="shared" si="99"/>
        <v>0</v>
      </c>
      <c r="AX141" s="27">
        <f t="shared" si="100"/>
        <v>0</v>
      </c>
      <c r="AY141" s="1" t="e">
        <f t="shared" si="101"/>
        <v>#DIV/0!</v>
      </c>
      <c r="AZ141" s="1" t="e">
        <f t="shared" si="102"/>
        <v>#DIV/0!</v>
      </c>
    </row>
    <row r="142" spans="1:52" hidden="1" x14ac:dyDescent="0.35">
      <c r="A142" s="29" t="s">
        <v>423</v>
      </c>
      <c r="B142" s="6">
        <v>2.5000000000000001E-2</v>
      </c>
      <c r="C142" s="2" t="e">
        <f>+VLOOKUP(E142,inventario!#REF!,2,0)</f>
        <v>#REF!</v>
      </c>
      <c r="D142" t="str">
        <f t="shared" si="72"/>
        <v>22</v>
      </c>
      <c r="E142" t="s">
        <v>959</v>
      </c>
      <c r="F142" s="6" t="str">
        <f>+IFERROR(VLOOKUP(E142,#REF!,29,0),"C")</f>
        <v>C</v>
      </c>
      <c r="G142" s="6" t="str">
        <f>+IFERROR(VLOOKUP(E142,#REF!,34,0),"C")</f>
        <v>C</v>
      </c>
      <c r="H142" s="64">
        <f>+IFERROR(VLOOKUP(E142,#REF!,31,0),0)</f>
        <v>0</v>
      </c>
      <c r="I142" s="44">
        <f>+IFERROR(VLOOKUP(E142,#REF!,26,0),0)</f>
        <v>0</v>
      </c>
      <c r="J142" s="44">
        <f>+IFERROR(VLOOKUP(E142,#REF!,30,0),0)</f>
        <v>0</v>
      </c>
      <c r="K142" s="3"/>
      <c r="L142" s="25">
        <f t="shared" si="73"/>
        <v>0.7</v>
      </c>
      <c r="M142" s="26">
        <f t="shared" si="74"/>
        <v>0.52440051270804078</v>
      </c>
      <c r="O142">
        <f>+IFERROR(VLOOKUP(D142,lt!A:J,10,0),15)</f>
        <v>15</v>
      </c>
      <c r="P142">
        <v>2</v>
      </c>
      <c r="Q142">
        <v>1</v>
      </c>
      <c r="R142">
        <v>2</v>
      </c>
      <c r="S142" s="22">
        <f t="shared" si="75"/>
        <v>20</v>
      </c>
      <c r="T142" s="9">
        <v>3</v>
      </c>
      <c r="U142" s="23">
        <f t="shared" si="76"/>
        <v>0.76666666666666672</v>
      </c>
      <c r="V142" s="11">
        <f t="shared" si="77"/>
        <v>0</v>
      </c>
      <c r="W142" s="11">
        <f t="shared" si="78"/>
        <v>0</v>
      </c>
      <c r="X142" s="11">
        <f t="shared" si="79"/>
        <v>0</v>
      </c>
      <c r="Y142" s="11">
        <f t="shared" si="80"/>
        <v>0</v>
      </c>
      <c r="Z142" s="65">
        <f t="shared" si="81"/>
        <v>0</v>
      </c>
      <c r="AA142" s="24">
        <f t="shared" si="82"/>
        <v>0</v>
      </c>
      <c r="AB142">
        <f t="shared" si="83"/>
        <v>0</v>
      </c>
      <c r="AC142" s="46">
        <f>+IFERROR(VLOOKUP(E142,#REF!,24,0),0.2)</f>
        <v>0.2</v>
      </c>
      <c r="AD142" s="42">
        <f>+IFERROR(VLOOKUP(E142,h!$C:$D,2,0),0.3866)</f>
        <v>0.38610833333333339</v>
      </c>
      <c r="AE142" s="42">
        <f>+VLOOKUP(A142,k!$A$1:$G$4,5,0)</f>
        <v>0.35799365240740744</v>
      </c>
      <c r="AF142" s="47">
        <f t="shared" si="84"/>
        <v>0.94410198574074089</v>
      </c>
      <c r="AG142" s="48">
        <f t="shared" si="85"/>
        <v>0.1132922382888889</v>
      </c>
      <c r="AH142" s="20">
        <f>+IFERROR(VLOOKUP(C142,k!$A$7:$L$13,7,0),0)</f>
        <v>0</v>
      </c>
      <c r="AI142" s="20">
        <f t="shared" si="86"/>
        <v>0</v>
      </c>
      <c r="AJ142" s="5">
        <f t="shared" si="87"/>
        <v>0</v>
      </c>
      <c r="AK142" s="57">
        <f t="shared" si="88"/>
        <v>0</v>
      </c>
      <c r="AL142" s="19">
        <f t="shared" si="89"/>
        <v>0</v>
      </c>
      <c r="AM142" s="20">
        <f t="shared" si="90"/>
        <v>0</v>
      </c>
      <c r="AN142" s="27">
        <f t="shared" si="91"/>
        <v>0</v>
      </c>
      <c r="AO142" s="57">
        <f t="shared" si="71"/>
        <v>0</v>
      </c>
      <c r="AP142" s="19">
        <f t="shared" si="92"/>
        <v>0</v>
      </c>
      <c r="AQ142" s="20">
        <f t="shared" si="93"/>
        <v>0</v>
      </c>
      <c r="AR142" s="58">
        <f t="shared" si="94"/>
        <v>0</v>
      </c>
      <c r="AS142" s="1">
        <f t="shared" si="95"/>
        <v>0</v>
      </c>
      <c r="AT142" s="21">
        <f t="shared" si="96"/>
        <v>0</v>
      </c>
      <c r="AU142" s="28">
        <f t="shared" si="97"/>
        <v>0</v>
      </c>
      <c r="AV142" s="19">
        <f t="shared" si="98"/>
        <v>0</v>
      </c>
      <c r="AW142" s="19">
        <f t="shared" si="99"/>
        <v>0</v>
      </c>
      <c r="AX142" s="27">
        <f t="shared" si="100"/>
        <v>0</v>
      </c>
      <c r="AY142" s="1" t="e">
        <f t="shared" si="101"/>
        <v>#DIV/0!</v>
      </c>
      <c r="AZ142" s="1" t="e">
        <f t="shared" si="102"/>
        <v>#DIV/0!</v>
      </c>
    </row>
    <row r="143" spans="1:52" hidden="1" x14ac:dyDescent="0.35">
      <c r="A143" s="29" t="s">
        <v>423</v>
      </c>
      <c r="B143" s="6">
        <v>2.5000000000000001E-2</v>
      </c>
      <c r="C143" s="2" t="e">
        <f>+VLOOKUP(E143,inventario!#REF!,2,0)</f>
        <v>#REF!</v>
      </c>
      <c r="D143" t="str">
        <f t="shared" si="72"/>
        <v>499.6</v>
      </c>
      <c r="E143" s="55" t="s">
        <v>1049</v>
      </c>
      <c r="F143" s="6" t="str">
        <f>+IFERROR(VLOOKUP(E143,#REF!,29,0),"C")</f>
        <v>C</v>
      </c>
      <c r="G143" s="6" t="str">
        <f>+IFERROR(VLOOKUP(E143,#REF!,34,0),"C")</f>
        <v>C</v>
      </c>
      <c r="H143" s="64">
        <f>+IFERROR(VLOOKUP(E143,#REF!,31,0),0)</f>
        <v>0</v>
      </c>
      <c r="I143" s="44">
        <f>+IFERROR(VLOOKUP(E143,#REF!,26,0),0)</f>
        <v>0</v>
      </c>
      <c r="J143" s="44">
        <f>+IFERROR(VLOOKUP(E143,#REF!,30,0),0)</f>
        <v>0</v>
      </c>
      <c r="L143" s="25">
        <f t="shared" si="73"/>
        <v>0.7</v>
      </c>
      <c r="M143" s="26">
        <f t="shared" si="74"/>
        <v>0.52440051270804078</v>
      </c>
      <c r="O143">
        <f>+IFERROR(VLOOKUP(D143,lt!A:J,10,0),15)</f>
        <v>17</v>
      </c>
      <c r="P143">
        <v>2</v>
      </c>
      <c r="Q143">
        <v>1</v>
      </c>
      <c r="R143">
        <v>2</v>
      </c>
      <c r="S143" s="22">
        <f t="shared" si="75"/>
        <v>22</v>
      </c>
      <c r="T143" s="9">
        <v>3</v>
      </c>
      <c r="U143" s="23">
        <f t="shared" si="76"/>
        <v>0.83333333333333337</v>
      </c>
      <c r="V143" s="11">
        <f t="shared" si="77"/>
        <v>0</v>
      </c>
      <c r="W143" s="11">
        <f t="shared" si="78"/>
        <v>0</v>
      </c>
      <c r="X143" s="11">
        <f t="shared" si="79"/>
        <v>0</v>
      </c>
      <c r="Y143" s="11">
        <f t="shared" si="80"/>
        <v>0</v>
      </c>
      <c r="Z143" s="65">
        <f t="shared" si="81"/>
        <v>0</v>
      </c>
      <c r="AA143" s="24">
        <f t="shared" si="82"/>
        <v>0</v>
      </c>
      <c r="AB143">
        <f t="shared" si="83"/>
        <v>0</v>
      </c>
      <c r="AC143" s="46">
        <f>+IFERROR(VLOOKUP(E143,#REF!,24,0),0.2)</f>
        <v>0.2</v>
      </c>
      <c r="AD143" s="42">
        <f>+IFERROR(VLOOKUP(E143,h!$C:$D,2,0),0.3866)</f>
        <v>0.3866</v>
      </c>
      <c r="AE143" s="42">
        <f>+VLOOKUP(A143,k!$A$1:$G$4,5,0)</f>
        <v>0.35799365240740744</v>
      </c>
      <c r="AF143" s="47">
        <f t="shared" si="84"/>
        <v>0.94459365240740745</v>
      </c>
      <c r="AG143" s="48">
        <f t="shared" si="85"/>
        <v>0.11335123828888889</v>
      </c>
      <c r="AH143" s="20">
        <f>+IFERROR(VLOOKUP(C143,k!$A$7:$L$13,7,0),0)</f>
        <v>0</v>
      </c>
      <c r="AI143" s="20">
        <f t="shared" si="86"/>
        <v>0</v>
      </c>
      <c r="AJ143" s="5">
        <f t="shared" si="87"/>
        <v>0</v>
      </c>
      <c r="AK143" s="57">
        <f t="shared" si="88"/>
        <v>0</v>
      </c>
      <c r="AL143" s="19">
        <f t="shared" si="89"/>
        <v>0</v>
      </c>
      <c r="AM143" s="20">
        <f t="shared" si="90"/>
        <v>0</v>
      </c>
      <c r="AN143" s="27">
        <f t="shared" si="91"/>
        <v>0</v>
      </c>
      <c r="AO143" s="57">
        <f t="shared" si="71"/>
        <v>0</v>
      </c>
      <c r="AP143" s="19">
        <f t="shared" si="92"/>
        <v>0</v>
      </c>
      <c r="AQ143" s="20">
        <f t="shared" si="93"/>
        <v>0</v>
      </c>
      <c r="AR143" s="58">
        <f t="shared" si="94"/>
        <v>0</v>
      </c>
      <c r="AS143" s="1">
        <f t="shared" si="95"/>
        <v>0</v>
      </c>
      <c r="AT143" s="21">
        <f t="shared" si="96"/>
        <v>0</v>
      </c>
      <c r="AU143" s="28">
        <f t="shared" si="97"/>
        <v>0</v>
      </c>
      <c r="AV143" s="19">
        <f t="shared" si="98"/>
        <v>0</v>
      </c>
      <c r="AW143" s="19">
        <f t="shared" si="99"/>
        <v>0</v>
      </c>
      <c r="AX143" s="27">
        <f t="shared" si="100"/>
        <v>0</v>
      </c>
      <c r="AY143" s="1" t="e">
        <f t="shared" si="101"/>
        <v>#DIV/0!</v>
      </c>
      <c r="AZ143" s="1" t="e">
        <f t="shared" si="102"/>
        <v>#DIV/0!</v>
      </c>
    </row>
    <row r="144" spans="1:52" hidden="1" x14ac:dyDescent="0.35">
      <c r="A144" s="29" t="s">
        <v>423</v>
      </c>
      <c r="B144" s="6">
        <v>2.5000000000000001E-2</v>
      </c>
      <c r="C144" s="2" t="e">
        <f>+VLOOKUP(E144,inventario!#REF!,2,0)</f>
        <v>#REF!</v>
      </c>
      <c r="D144" t="str">
        <f t="shared" si="72"/>
        <v>21</v>
      </c>
      <c r="E144" t="s">
        <v>964</v>
      </c>
      <c r="F144" s="6" t="str">
        <f>+IFERROR(VLOOKUP(E144,#REF!,29,0),"C")</f>
        <v>C</v>
      </c>
      <c r="G144" s="6" t="str">
        <f>+IFERROR(VLOOKUP(E144,#REF!,34,0),"C")</f>
        <v>C</v>
      </c>
      <c r="H144" s="64">
        <f>+IFERROR(VLOOKUP(E144,#REF!,31,0),0)</f>
        <v>0</v>
      </c>
      <c r="I144" s="44">
        <f>+IFERROR(VLOOKUP(E144,#REF!,26,0),0)</f>
        <v>0</v>
      </c>
      <c r="J144" s="44">
        <f>+IFERROR(VLOOKUP(E144,#REF!,30,0),0)</f>
        <v>0</v>
      </c>
      <c r="K144" s="3"/>
      <c r="L144" s="25">
        <f t="shared" si="73"/>
        <v>0.7</v>
      </c>
      <c r="M144" s="26">
        <f t="shared" si="74"/>
        <v>0.52440051270804078</v>
      </c>
      <c r="O144">
        <f>+IFERROR(VLOOKUP(D144,lt!A:J,10,0),15)</f>
        <v>15</v>
      </c>
      <c r="P144">
        <v>2</v>
      </c>
      <c r="Q144">
        <v>1</v>
      </c>
      <c r="R144">
        <v>2</v>
      </c>
      <c r="S144" s="22">
        <f t="shared" si="75"/>
        <v>20</v>
      </c>
      <c r="T144" s="9">
        <v>3</v>
      </c>
      <c r="U144" s="23">
        <f t="shared" si="76"/>
        <v>0.76666666666666672</v>
      </c>
      <c r="V144" s="11">
        <f t="shared" si="77"/>
        <v>0</v>
      </c>
      <c r="W144" s="11">
        <f t="shared" si="78"/>
        <v>0</v>
      </c>
      <c r="X144" s="11">
        <f t="shared" si="79"/>
        <v>0</v>
      </c>
      <c r="Y144" s="11">
        <f t="shared" si="80"/>
        <v>0</v>
      </c>
      <c r="Z144" s="65">
        <f t="shared" si="81"/>
        <v>0</v>
      </c>
      <c r="AA144" s="24">
        <f t="shared" si="82"/>
        <v>0</v>
      </c>
      <c r="AB144">
        <f t="shared" si="83"/>
        <v>0</v>
      </c>
      <c r="AC144" s="46">
        <f>+IFERROR(VLOOKUP(E144,#REF!,24,0),0.2)</f>
        <v>0.2</v>
      </c>
      <c r="AD144" s="42">
        <f>+IFERROR(VLOOKUP(E144,h!$C:$D,2,0),0.3866)</f>
        <v>0.38610833333333339</v>
      </c>
      <c r="AE144" s="42">
        <f>+VLOOKUP(A144,k!$A$1:$G$4,5,0)</f>
        <v>0.35799365240740744</v>
      </c>
      <c r="AF144" s="47">
        <f t="shared" si="84"/>
        <v>0.94410198574074089</v>
      </c>
      <c r="AG144" s="48">
        <f t="shared" si="85"/>
        <v>0.1132922382888889</v>
      </c>
      <c r="AH144" s="20">
        <f>+IFERROR(VLOOKUP(C144,k!$A$7:$L$13,7,0),0)</f>
        <v>0</v>
      </c>
      <c r="AI144" s="20">
        <f t="shared" si="86"/>
        <v>0</v>
      </c>
      <c r="AJ144" s="5">
        <f t="shared" si="87"/>
        <v>0</v>
      </c>
      <c r="AK144" s="57">
        <f t="shared" si="88"/>
        <v>0</v>
      </c>
      <c r="AL144" s="19">
        <f t="shared" si="89"/>
        <v>0</v>
      </c>
      <c r="AM144" s="20">
        <f t="shared" si="90"/>
        <v>0</v>
      </c>
      <c r="AN144" s="27">
        <f t="shared" si="91"/>
        <v>0</v>
      </c>
      <c r="AO144" s="57">
        <f t="shared" si="71"/>
        <v>0</v>
      </c>
      <c r="AP144" s="19">
        <f t="shared" si="92"/>
        <v>0</v>
      </c>
      <c r="AQ144" s="20">
        <f t="shared" si="93"/>
        <v>0</v>
      </c>
      <c r="AR144" s="58">
        <f t="shared" si="94"/>
        <v>0</v>
      </c>
      <c r="AS144" s="1">
        <f t="shared" si="95"/>
        <v>0</v>
      </c>
      <c r="AT144" s="21">
        <f t="shared" si="96"/>
        <v>0</v>
      </c>
      <c r="AU144" s="28">
        <f t="shared" si="97"/>
        <v>0</v>
      </c>
      <c r="AV144" s="19">
        <f t="shared" si="98"/>
        <v>0</v>
      </c>
      <c r="AW144" s="19">
        <f t="shared" si="99"/>
        <v>0</v>
      </c>
      <c r="AX144" s="27">
        <f t="shared" si="100"/>
        <v>0</v>
      </c>
      <c r="AY144" s="1" t="e">
        <f t="shared" si="101"/>
        <v>#DIV/0!</v>
      </c>
      <c r="AZ144" s="1" t="e">
        <f t="shared" si="102"/>
        <v>#DIV/0!</v>
      </c>
    </row>
    <row r="145" spans="1:52" hidden="1" x14ac:dyDescent="0.35">
      <c r="A145" s="29" t="s">
        <v>423</v>
      </c>
      <c r="B145" s="6">
        <v>2.5000000000000001E-2</v>
      </c>
      <c r="C145" s="2" t="s">
        <v>102</v>
      </c>
      <c r="D145" t="str">
        <f t="shared" si="72"/>
        <v>932</v>
      </c>
      <c r="E145" t="s">
        <v>970</v>
      </c>
      <c r="F145" s="6" t="str">
        <f>+IFERROR(VLOOKUP(E145,#REF!,29,0),"C")</f>
        <v>C</v>
      </c>
      <c r="G145" s="6" t="str">
        <f>+IFERROR(VLOOKUP(E145,#REF!,34,0),"C")</f>
        <v>C</v>
      </c>
      <c r="H145" s="64">
        <f>+IFERROR(VLOOKUP(E145,#REF!,31,0),0)</f>
        <v>0</v>
      </c>
      <c r="I145" s="44">
        <f>+IFERROR(VLOOKUP(E145,#REF!,26,0),0)</f>
        <v>0</v>
      </c>
      <c r="J145" s="44">
        <f>+IFERROR(VLOOKUP(E145,#REF!,30,0),0)</f>
        <v>0</v>
      </c>
      <c r="K145" s="3"/>
      <c r="L145" s="25">
        <f t="shared" si="73"/>
        <v>0.7</v>
      </c>
      <c r="M145" s="26">
        <f t="shared" si="74"/>
        <v>0.52440051270804078</v>
      </c>
      <c r="O145">
        <f>+IFERROR(VLOOKUP(D145,lt!A:J,10,0),15)</f>
        <v>15</v>
      </c>
      <c r="P145">
        <v>2</v>
      </c>
      <c r="Q145">
        <v>1</v>
      </c>
      <c r="R145">
        <v>2</v>
      </c>
      <c r="S145" s="22">
        <f t="shared" si="75"/>
        <v>20</v>
      </c>
      <c r="T145" s="9">
        <v>3</v>
      </c>
      <c r="U145" s="23">
        <f t="shared" si="76"/>
        <v>0.76666666666666672</v>
      </c>
      <c r="V145" s="11">
        <f t="shared" si="77"/>
        <v>0</v>
      </c>
      <c r="W145" s="11">
        <f t="shared" si="78"/>
        <v>0</v>
      </c>
      <c r="X145" s="11">
        <f t="shared" si="79"/>
        <v>0</v>
      </c>
      <c r="Y145" s="11">
        <f t="shared" si="80"/>
        <v>0</v>
      </c>
      <c r="Z145" s="65">
        <f t="shared" si="81"/>
        <v>0</v>
      </c>
      <c r="AA145" s="24">
        <f t="shared" si="82"/>
        <v>0</v>
      </c>
      <c r="AB145">
        <f t="shared" si="83"/>
        <v>0</v>
      </c>
      <c r="AC145" s="46">
        <f>+IFERROR(VLOOKUP(E145,#REF!,24,0),0.2)</f>
        <v>0.2</v>
      </c>
      <c r="AD145" s="42">
        <f>+IFERROR(VLOOKUP(E145,h!$C:$D,2,0),0.3866)</f>
        <v>0.38610833333333339</v>
      </c>
      <c r="AE145" s="42">
        <f>+VLOOKUP(A145,k!$A$1:$G$4,5,0)</f>
        <v>0.35799365240740744</v>
      </c>
      <c r="AF145" s="47">
        <f t="shared" si="84"/>
        <v>0.94410198574074089</v>
      </c>
      <c r="AG145" s="48">
        <f t="shared" si="85"/>
        <v>0.1132922382888889</v>
      </c>
      <c r="AH145" s="20">
        <f>+IFERROR(VLOOKUP(C145,k!$A$7:$L$13,7,0),0)</f>
        <v>7.4001689814814817</v>
      </c>
      <c r="AI145" s="20">
        <f t="shared" si="86"/>
        <v>0</v>
      </c>
      <c r="AJ145" s="5">
        <f t="shared" si="87"/>
        <v>7.4001689814814817</v>
      </c>
      <c r="AK145" s="57">
        <f t="shared" si="88"/>
        <v>0</v>
      </c>
      <c r="AL145" s="19">
        <f t="shared" si="89"/>
        <v>0</v>
      </c>
      <c r="AM145" s="20">
        <f t="shared" si="90"/>
        <v>0</v>
      </c>
      <c r="AN145" s="27">
        <f t="shared" si="91"/>
        <v>0</v>
      </c>
      <c r="AO145" s="57">
        <f t="shared" si="71"/>
        <v>0</v>
      </c>
      <c r="AP145" s="19">
        <f t="shared" si="92"/>
        <v>0</v>
      </c>
      <c r="AQ145" s="20">
        <f t="shared" si="93"/>
        <v>0</v>
      </c>
      <c r="AR145" s="58">
        <f t="shared" si="94"/>
        <v>0</v>
      </c>
      <c r="AS145" s="1">
        <f t="shared" si="95"/>
        <v>0</v>
      </c>
      <c r="AT145" s="21">
        <f t="shared" si="96"/>
        <v>0</v>
      </c>
      <c r="AU145" s="28">
        <f t="shared" si="97"/>
        <v>0</v>
      </c>
      <c r="AV145" s="19">
        <f t="shared" si="98"/>
        <v>0</v>
      </c>
      <c r="AW145" s="19">
        <f t="shared" si="99"/>
        <v>0</v>
      </c>
      <c r="AX145" s="27">
        <f t="shared" si="100"/>
        <v>0</v>
      </c>
      <c r="AY145" s="1" t="e">
        <f t="shared" si="101"/>
        <v>#DIV/0!</v>
      </c>
      <c r="AZ145" s="1" t="e">
        <f t="shared" si="102"/>
        <v>#DIV/0!</v>
      </c>
    </row>
    <row r="146" spans="1:52" hidden="1" x14ac:dyDescent="0.35">
      <c r="A146" s="6" t="s">
        <v>423</v>
      </c>
      <c r="B146" s="6">
        <v>2.5000000000000001E-2</v>
      </c>
      <c r="C146" s="2" t="s">
        <v>102</v>
      </c>
      <c r="D146" t="str">
        <f t="shared" si="72"/>
        <v>931</v>
      </c>
      <c r="E146" t="s">
        <v>974</v>
      </c>
      <c r="F146" s="6" t="str">
        <f>+IFERROR(VLOOKUP(E146,#REF!,29,0),"C")</f>
        <v>C</v>
      </c>
      <c r="G146" s="6" t="str">
        <f>+IFERROR(VLOOKUP(E146,#REF!,34,0),"C")</f>
        <v>C</v>
      </c>
      <c r="H146" s="64">
        <f>+IFERROR(VLOOKUP(E146,#REF!,31,0),0)</f>
        <v>0</v>
      </c>
      <c r="I146" s="44">
        <f>+IFERROR(VLOOKUP(E146,#REF!,26,0),0)</f>
        <v>0</v>
      </c>
      <c r="J146" s="44">
        <f>+IFERROR(VLOOKUP(E146,#REF!,30,0),0)</f>
        <v>0</v>
      </c>
      <c r="K146" s="3"/>
      <c r="L146" s="25">
        <f t="shared" si="73"/>
        <v>0.7</v>
      </c>
      <c r="M146" s="26">
        <f t="shared" si="74"/>
        <v>0.52440051270804078</v>
      </c>
      <c r="O146">
        <f>+IFERROR(VLOOKUP(D146,lt!A:J,10,0),15)</f>
        <v>15</v>
      </c>
      <c r="P146">
        <v>2</v>
      </c>
      <c r="Q146">
        <v>1</v>
      </c>
      <c r="R146">
        <v>2</v>
      </c>
      <c r="S146" s="22">
        <f t="shared" si="75"/>
        <v>20</v>
      </c>
      <c r="T146" s="9">
        <v>3</v>
      </c>
      <c r="U146" s="23">
        <f t="shared" si="76"/>
        <v>0.76666666666666672</v>
      </c>
      <c r="V146" s="11">
        <f t="shared" si="77"/>
        <v>0</v>
      </c>
      <c r="W146" s="11">
        <f t="shared" si="78"/>
        <v>0</v>
      </c>
      <c r="X146" s="11">
        <f t="shared" si="79"/>
        <v>0</v>
      </c>
      <c r="Y146" s="11">
        <f t="shared" si="80"/>
        <v>0</v>
      </c>
      <c r="Z146" s="65">
        <f t="shared" si="81"/>
        <v>0</v>
      </c>
      <c r="AA146" s="24">
        <f t="shared" si="82"/>
        <v>0</v>
      </c>
      <c r="AB146">
        <f t="shared" si="83"/>
        <v>0</v>
      </c>
      <c r="AC146" s="46">
        <f>+IFERROR(VLOOKUP(E146,#REF!,24,0),0.2)</f>
        <v>0.2</v>
      </c>
      <c r="AD146" s="42">
        <f>+IFERROR(VLOOKUP(E146,h!$C:$D,2,0),0.3866)</f>
        <v>0.38610833333333339</v>
      </c>
      <c r="AE146" s="42">
        <f>+VLOOKUP(A146,k!$A$1:$G$4,5,0)</f>
        <v>0.35799365240740744</v>
      </c>
      <c r="AF146" s="47">
        <f t="shared" si="84"/>
        <v>0.94410198574074089</v>
      </c>
      <c r="AG146" s="48">
        <f t="shared" si="85"/>
        <v>0.1132922382888889</v>
      </c>
      <c r="AH146" s="20">
        <f>+IFERROR(VLOOKUP(C146,k!$A$7:$L$13,7,0),0)</f>
        <v>7.4001689814814817</v>
      </c>
      <c r="AI146" s="20">
        <f t="shared" si="86"/>
        <v>0</v>
      </c>
      <c r="AJ146" s="5">
        <f t="shared" si="87"/>
        <v>7.4001689814814817</v>
      </c>
      <c r="AK146" s="57">
        <f t="shared" si="88"/>
        <v>0</v>
      </c>
      <c r="AL146" s="19">
        <f t="shared" si="89"/>
        <v>0</v>
      </c>
      <c r="AM146" s="20">
        <f t="shared" si="90"/>
        <v>0</v>
      </c>
      <c r="AN146" s="27">
        <f t="shared" si="91"/>
        <v>0</v>
      </c>
      <c r="AO146" s="57">
        <f t="shared" si="71"/>
        <v>0</v>
      </c>
      <c r="AP146" s="19">
        <f t="shared" si="92"/>
        <v>0</v>
      </c>
      <c r="AQ146" s="20">
        <f t="shared" si="93"/>
        <v>0</v>
      </c>
      <c r="AR146" s="58">
        <f t="shared" si="94"/>
        <v>0</v>
      </c>
      <c r="AS146" s="1">
        <f t="shared" si="95"/>
        <v>0</v>
      </c>
      <c r="AT146" s="21">
        <f t="shared" si="96"/>
        <v>0</v>
      </c>
      <c r="AU146" s="28">
        <f t="shared" si="97"/>
        <v>0</v>
      </c>
      <c r="AV146" s="19">
        <f t="shared" si="98"/>
        <v>0</v>
      </c>
      <c r="AW146" s="19">
        <f t="shared" si="99"/>
        <v>0</v>
      </c>
      <c r="AX146" s="27">
        <f t="shared" si="100"/>
        <v>0</v>
      </c>
      <c r="AY146" s="1" t="e">
        <f t="shared" si="101"/>
        <v>#DIV/0!</v>
      </c>
      <c r="AZ146" s="1" t="e">
        <f t="shared" si="102"/>
        <v>#DIV/0!</v>
      </c>
    </row>
    <row r="147" spans="1:52" hidden="1" x14ac:dyDescent="0.35">
      <c r="A147" s="6" t="s">
        <v>423</v>
      </c>
      <c r="B147" s="6">
        <v>2.5000000000000001E-2</v>
      </c>
      <c r="C147" s="2" t="e">
        <f>+VLOOKUP(E147,inventario!#REF!,2,0)</f>
        <v>#REF!</v>
      </c>
      <c r="D147" t="str">
        <f t="shared" si="72"/>
        <v>710</v>
      </c>
      <c r="E147" t="s">
        <v>571</v>
      </c>
      <c r="F147" s="6" t="str">
        <f>+IFERROR(VLOOKUP(E147,#REF!,29,0),"C")</f>
        <v>C</v>
      </c>
      <c r="G147" s="6" t="str">
        <f>+IFERROR(VLOOKUP(E147,#REF!,34,0),"C")</f>
        <v>C</v>
      </c>
      <c r="H147" s="64">
        <f>+IFERROR(VLOOKUP(E147,#REF!,31,0),0)</f>
        <v>0</v>
      </c>
      <c r="I147" s="44">
        <f>+IFERROR(VLOOKUP(E147,#REF!,26,0),0)</f>
        <v>0</v>
      </c>
      <c r="J147" s="44">
        <f>+IFERROR(VLOOKUP(E147,#REF!,30,0),0)</f>
        <v>0</v>
      </c>
      <c r="K147" s="3"/>
      <c r="L147" s="25">
        <f t="shared" si="73"/>
        <v>0.7</v>
      </c>
      <c r="M147" s="26">
        <f t="shared" si="74"/>
        <v>0.52440051270804078</v>
      </c>
      <c r="O147">
        <f>+IFERROR(VLOOKUP(D147,lt!A:J,10,0),15)</f>
        <v>17</v>
      </c>
      <c r="P147">
        <v>2</v>
      </c>
      <c r="Q147">
        <v>1</v>
      </c>
      <c r="R147">
        <v>2</v>
      </c>
      <c r="S147" s="22">
        <f t="shared" si="75"/>
        <v>22</v>
      </c>
      <c r="T147" s="9">
        <v>3</v>
      </c>
      <c r="U147" s="23">
        <f t="shared" si="76"/>
        <v>0.83333333333333337</v>
      </c>
      <c r="V147" s="11">
        <f t="shared" si="77"/>
        <v>0</v>
      </c>
      <c r="W147" s="11">
        <f t="shared" si="78"/>
        <v>0</v>
      </c>
      <c r="X147" s="11">
        <f t="shared" si="79"/>
        <v>0</v>
      </c>
      <c r="Y147" s="11">
        <f t="shared" si="80"/>
        <v>0</v>
      </c>
      <c r="Z147" s="65">
        <f t="shared" si="81"/>
        <v>0</v>
      </c>
      <c r="AA147" s="24">
        <f t="shared" si="82"/>
        <v>0</v>
      </c>
      <c r="AB147">
        <f t="shared" si="83"/>
        <v>0</v>
      </c>
      <c r="AC147" s="46">
        <f>+IFERROR(VLOOKUP(E147,#REF!,24,0),0.2)</f>
        <v>0.2</v>
      </c>
      <c r="AD147" s="42">
        <f>+IFERROR(VLOOKUP(E147,h!$C:$D,2,0),0.3866)</f>
        <v>0.38610833333333339</v>
      </c>
      <c r="AE147" s="42">
        <f>+VLOOKUP(A147,k!$A$1:$G$4,5,0)</f>
        <v>0.35799365240740744</v>
      </c>
      <c r="AF147" s="47">
        <f t="shared" si="84"/>
        <v>0.94410198574074089</v>
      </c>
      <c r="AG147" s="48">
        <f t="shared" si="85"/>
        <v>0.1132922382888889</v>
      </c>
      <c r="AH147" s="20">
        <f>+IFERROR(VLOOKUP(C147,k!$A$7:$L$13,7,0),0)</f>
        <v>0</v>
      </c>
      <c r="AI147" s="20">
        <f t="shared" si="86"/>
        <v>0</v>
      </c>
      <c r="AJ147" s="5">
        <f t="shared" si="87"/>
        <v>0</v>
      </c>
      <c r="AK147" s="57">
        <f t="shared" si="88"/>
        <v>0</v>
      </c>
      <c r="AL147" s="19">
        <f t="shared" si="89"/>
        <v>0</v>
      </c>
      <c r="AM147" s="20">
        <f t="shared" si="90"/>
        <v>0</v>
      </c>
      <c r="AN147" s="27">
        <f t="shared" si="91"/>
        <v>0</v>
      </c>
      <c r="AO147" s="57">
        <f t="shared" si="71"/>
        <v>0</v>
      </c>
      <c r="AP147" s="19">
        <f t="shared" si="92"/>
        <v>0</v>
      </c>
      <c r="AQ147" s="20">
        <f t="shared" si="93"/>
        <v>0</v>
      </c>
      <c r="AR147" s="58">
        <f t="shared" si="94"/>
        <v>0</v>
      </c>
      <c r="AS147" s="1">
        <f t="shared" si="95"/>
        <v>0</v>
      </c>
      <c r="AT147" s="21">
        <f t="shared" si="96"/>
        <v>0</v>
      </c>
      <c r="AU147" s="28">
        <f t="shared" si="97"/>
        <v>0</v>
      </c>
      <c r="AV147" s="19">
        <f t="shared" si="98"/>
        <v>0</v>
      </c>
      <c r="AW147" s="19">
        <f t="shared" si="99"/>
        <v>0</v>
      </c>
      <c r="AX147" s="27">
        <f t="shared" si="100"/>
        <v>0</v>
      </c>
      <c r="AY147" s="1" t="e">
        <f t="shared" si="101"/>
        <v>#DIV/0!</v>
      </c>
      <c r="AZ147" s="1" t="e">
        <f t="shared" si="102"/>
        <v>#DIV/0!</v>
      </c>
    </row>
    <row r="148" spans="1:52" hidden="1" x14ac:dyDescent="0.35">
      <c r="A148" s="6" t="s">
        <v>423</v>
      </c>
      <c r="B148" s="6">
        <v>23</v>
      </c>
      <c r="C148" s="2" t="e">
        <f>+VLOOKUP(E148,inventario!#REF!,2,0)</f>
        <v>#REF!</v>
      </c>
      <c r="D148" t="str">
        <f t="shared" si="72"/>
        <v>522</v>
      </c>
      <c r="E148" s="55" t="s">
        <v>1186</v>
      </c>
      <c r="F148" s="6" t="str">
        <f>+IFERROR(VLOOKUP(E148,#REF!,29,0),"C")</f>
        <v>C</v>
      </c>
      <c r="G148" s="6" t="str">
        <f>+IFERROR(VLOOKUP(E148,#REF!,34,0),"C")</f>
        <v>C</v>
      </c>
      <c r="H148" s="64">
        <f>+IFERROR(VLOOKUP(E148,#REF!,31,0),0)</f>
        <v>0</v>
      </c>
      <c r="I148" s="44">
        <f>+IFERROR(VLOOKUP(E148,#REF!,26,0),0)</f>
        <v>0</v>
      </c>
      <c r="J148" s="44">
        <f>+IFERROR(VLOOKUP(E148,#REF!,30,0),0)</f>
        <v>0</v>
      </c>
      <c r="K148" s="3"/>
      <c r="L148" s="25">
        <f t="shared" si="73"/>
        <v>0.7</v>
      </c>
      <c r="M148" s="26">
        <f t="shared" si="74"/>
        <v>0.52440051270804078</v>
      </c>
      <c r="O148">
        <f>+IFERROR(VLOOKUP(D148,lt!A:J,10,0),15)</f>
        <v>15</v>
      </c>
      <c r="P148">
        <v>2</v>
      </c>
      <c r="Q148">
        <v>1</v>
      </c>
      <c r="R148">
        <v>2</v>
      </c>
      <c r="S148" s="22">
        <f t="shared" si="75"/>
        <v>20</v>
      </c>
      <c r="T148" s="9">
        <v>4</v>
      </c>
      <c r="U148" s="23">
        <f t="shared" si="76"/>
        <v>0.8</v>
      </c>
      <c r="V148" s="11">
        <f t="shared" si="77"/>
        <v>0</v>
      </c>
      <c r="W148" s="11">
        <f t="shared" si="78"/>
        <v>0</v>
      </c>
      <c r="X148" s="11">
        <f t="shared" si="79"/>
        <v>0</v>
      </c>
      <c r="Y148" s="11">
        <f t="shared" si="80"/>
        <v>0</v>
      </c>
      <c r="Z148" s="65">
        <f t="shared" si="81"/>
        <v>0</v>
      </c>
      <c r="AA148" s="24">
        <f t="shared" si="82"/>
        <v>0</v>
      </c>
      <c r="AB148">
        <f t="shared" si="83"/>
        <v>0</v>
      </c>
      <c r="AC148" s="46">
        <f>+IFERROR(VLOOKUP(E148,#REF!,24,0),0.2)</f>
        <v>0.2</v>
      </c>
      <c r="AD148" s="42">
        <f>+IFERROR(VLOOKUP(E148,h!$C:$D,2,0),0.3866)</f>
        <v>0.3866</v>
      </c>
      <c r="AE148" s="42">
        <f>+VLOOKUP(A148,k!$A$1:$G$4,5,0)</f>
        <v>0.35799365240740744</v>
      </c>
      <c r="AF148" s="47">
        <f t="shared" si="84"/>
        <v>0.94459365240740745</v>
      </c>
      <c r="AG148" s="48">
        <f t="shared" si="85"/>
        <v>0.11335123828888889</v>
      </c>
      <c r="AH148" s="20">
        <f>+IFERROR(VLOOKUP(C148,k!$A$7:$L$13,7,0),0)</f>
        <v>0</v>
      </c>
      <c r="AI148" s="20">
        <f t="shared" si="86"/>
        <v>0</v>
      </c>
      <c r="AJ148" s="5">
        <f t="shared" si="87"/>
        <v>0</v>
      </c>
      <c r="AK148" s="57">
        <f t="shared" si="88"/>
        <v>0</v>
      </c>
      <c r="AL148" s="19">
        <f t="shared" si="89"/>
        <v>0</v>
      </c>
      <c r="AM148" s="20">
        <f t="shared" si="90"/>
        <v>0</v>
      </c>
      <c r="AN148" s="27">
        <f t="shared" si="91"/>
        <v>0</v>
      </c>
      <c r="AO148" s="57">
        <f t="shared" si="71"/>
        <v>0</v>
      </c>
      <c r="AP148" s="19">
        <f t="shared" si="92"/>
        <v>0</v>
      </c>
      <c r="AQ148" s="20">
        <f t="shared" si="93"/>
        <v>0</v>
      </c>
      <c r="AR148" s="58">
        <f t="shared" si="94"/>
        <v>0</v>
      </c>
      <c r="AS148" s="1">
        <f t="shared" si="95"/>
        <v>0</v>
      </c>
      <c r="AT148" s="21">
        <f t="shared" si="96"/>
        <v>0</v>
      </c>
      <c r="AU148" s="28">
        <f t="shared" si="97"/>
        <v>0</v>
      </c>
      <c r="AV148" s="19">
        <f t="shared" si="98"/>
        <v>0</v>
      </c>
      <c r="AW148" s="19">
        <f t="shared" si="99"/>
        <v>0</v>
      </c>
      <c r="AX148" s="27">
        <f t="shared" si="100"/>
        <v>0</v>
      </c>
      <c r="AY148" s="1" t="e">
        <f t="shared" si="101"/>
        <v>#DIV/0!</v>
      </c>
      <c r="AZ148" s="1" t="e">
        <f t="shared" si="102"/>
        <v>#DIV/0!</v>
      </c>
    </row>
    <row r="149" spans="1:52" hidden="1" x14ac:dyDescent="0.35">
      <c r="A149" s="6" t="s">
        <v>423</v>
      </c>
      <c r="B149" s="6">
        <v>24</v>
      </c>
      <c r="C149" s="2" t="e">
        <f>+VLOOKUP(E149,inventario!#REF!,2,0)</f>
        <v>#REF!</v>
      </c>
      <c r="D149" t="str">
        <f t="shared" si="72"/>
        <v>1055</v>
      </c>
      <c r="E149" s="55" t="s">
        <v>1187</v>
      </c>
      <c r="F149" s="6" t="str">
        <f>+IFERROR(VLOOKUP(E149,#REF!,29,0),"C")</f>
        <v>C</v>
      </c>
      <c r="G149" s="6" t="str">
        <f>+IFERROR(VLOOKUP(E149,#REF!,34,0),"C")</f>
        <v>C</v>
      </c>
      <c r="H149" s="64">
        <f>+IFERROR(VLOOKUP(E149,#REF!,31,0),0)</f>
        <v>0</v>
      </c>
      <c r="I149" s="44">
        <f>+IFERROR(VLOOKUP(E149,#REF!,26,0),0)</f>
        <v>0</v>
      </c>
      <c r="J149" s="44">
        <f>+IFERROR(VLOOKUP(E149,#REF!,30,0),0)</f>
        <v>0</v>
      </c>
      <c r="K149" s="3"/>
      <c r="L149" s="25">
        <f t="shared" si="73"/>
        <v>0.7</v>
      </c>
      <c r="M149" s="26">
        <f t="shared" si="74"/>
        <v>0.52440051270804078</v>
      </c>
      <c r="O149">
        <f>+IFERROR(VLOOKUP(D149,lt!A:J,10,0),15)</f>
        <v>15</v>
      </c>
      <c r="P149">
        <v>2</v>
      </c>
      <c r="Q149">
        <v>1</v>
      </c>
      <c r="R149">
        <v>2</v>
      </c>
      <c r="S149" s="22">
        <f t="shared" si="75"/>
        <v>20</v>
      </c>
      <c r="T149" s="9">
        <v>5</v>
      </c>
      <c r="U149" s="23">
        <f t="shared" si="76"/>
        <v>0.83333333333333337</v>
      </c>
      <c r="V149" s="11">
        <f t="shared" si="77"/>
        <v>0</v>
      </c>
      <c r="W149" s="11">
        <f t="shared" si="78"/>
        <v>0</v>
      </c>
      <c r="X149" s="11">
        <f t="shared" si="79"/>
        <v>0</v>
      </c>
      <c r="Y149" s="11">
        <f t="shared" si="80"/>
        <v>0</v>
      </c>
      <c r="Z149" s="65">
        <f t="shared" si="81"/>
        <v>0</v>
      </c>
      <c r="AA149" s="24">
        <f t="shared" si="82"/>
        <v>0</v>
      </c>
      <c r="AB149">
        <f t="shared" si="83"/>
        <v>0</v>
      </c>
      <c r="AC149" s="46">
        <f>+IFERROR(VLOOKUP(E149,#REF!,24,0),0.2)</f>
        <v>0.2</v>
      </c>
      <c r="AD149" s="42">
        <f>+IFERROR(VLOOKUP(E149,h!$C:$D,2,0),0.3866)</f>
        <v>0.3866</v>
      </c>
      <c r="AE149" s="42">
        <f>+VLOOKUP(A149,k!$A$1:$G$4,5,0)</f>
        <v>0.35799365240740744</v>
      </c>
      <c r="AF149" s="47">
        <f t="shared" si="84"/>
        <v>0.94459365240740745</v>
      </c>
      <c r="AG149" s="48">
        <f t="shared" si="85"/>
        <v>0.11335123828888889</v>
      </c>
      <c r="AH149" s="20">
        <f>+IFERROR(VLOOKUP(C149,k!$A$7:$L$13,7,0),0)</f>
        <v>0</v>
      </c>
      <c r="AI149" s="20">
        <f t="shared" si="86"/>
        <v>0</v>
      </c>
      <c r="AJ149" s="5">
        <f t="shared" si="87"/>
        <v>0</v>
      </c>
      <c r="AK149" s="57">
        <f t="shared" si="88"/>
        <v>0</v>
      </c>
      <c r="AL149" s="19">
        <f t="shared" si="89"/>
        <v>0</v>
      </c>
      <c r="AM149" s="20">
        <f t="shared" si="90"/>
        <v>0</v>
      </c>
      <c r="AN149" s="27">
        <f t="shared" si="91"/>
        <v>0</v>
      </c>
      <c r="AO149" s="57">
        <f t="shared" si="71"/>
        <v>0</v>
      </c>
      <c r="AP149" s="19">
        <f t="shared" si="92"/>
        <v>0</v>
      </c>
      <c r="AQ149" s="20">
        <f t="shared" si="93"/>
        <v>0</v>
      </c>
      <c r="AR149" s="58">
        <f t="shared" si="94"/>
        <v>0</v>
      </c>
      <c r="AS149" s="1">
        <f t="shared" si="95"/>
        <v>0</v>
      </c>
      <c r="AT149" s="21">
        <f t="shared" si="96"/>
        <v>0</v>
      </c>
      <c r="AU149" s="28">
        <f t="shared" si="97"/>
        <v>0</v>
      </c>
      <c r="AV149" s="19">
        <f t="shared" si="98"/>
        <v>0</v>
      </c>
      <c r="AW149" s="19">
        <f t="shared" si="99"/>
        <v>0</v>
      </c>
      <c r="AX149" s="27">
        <f t="shared" si="100"/>
        <v>0</v>
      </c>
      <c r="AY149" s="1" t="e">
        <f t="shared" si="101"/>
        <v>#DIV/0!</v>
      </c>
      <c r="AZ149" s="1" t="e">
        <f t="shared" si="102"/>
        <v>#DIV/0!</v>
      </c>
    </row>
    <row r="150" spans="1:52" hidden="1" x14ac:dyDescent="0.35">
      <c r="A150" s="6" t="s">
        <v>422</v>
      </c>
      <c r="B150" s="6">
        <v>500</v>
      </c>
      <c r="C150" s="2" t="e">
        <f>+VLOOKUP(E150,inventario!#REF!,2,0)</f>
        <v>#REF!</v>
      </c>
      <c r="D150" t="str">
        <f t="shared" si="72"/>
        <v>871</v>
      </c>
      <c r="E150" t="s">
        <v>1193</v>
      </c>
      <c r="F150" s="6" t="str">
        <f>+IFERROR(VLOOKUP(E150,#REF!,29,0),"C")</f>
        <v>C</v>
      </c>
      <c r="G150" s="6" t="str">
        <f>+IFERROR(VLOOKUP(E150,#REF!,34,0),"C")</f>
        <v>C</v>
      </c>
      <c r="H150" s="64">
        <f>+IFERROR(VLOOKUP(E150,#REF!,31,0),0)</f>
        <v>0</v>
      </c>
      <c r="I150" s="44">
        <f>+IFERROR(VLOOKUP(E150,#REF!,26,0),0)</f>
        <v>0</v>
      </c>
      <c r="J150" s="44">
        <f>+IFERROR(VLOOKUP(E150,#REF!,30,0),0)</f>
        <v>0</v>
      </c>
      <c r="K150" s="3"/>
      <c r="L150" s="25">
        <f t="shared" si="73"/>
        <v>0.7</v>
      </c>
      <c r="M150" s="26">
        <f t="shared" si="74"/>
        <v>0.52440051270804078</v>
      </c>
      <c r="O150">
        <f>+IFERROR(VLOOKUP(D150,lt!A:J,10,0),15)</f>
        <v>95</v>
      </c>
      <c r="P150">
        <v>2</v>
      </c>
      <c r="Q150">
        <v>1</v>
      </c>
      <c r="R150">
        <v>2</v>
      </c>
      <c r="S150" s="22">
        <f t="shared" si="75"/>
        <v>100</v>
      </c>
      <c r="T150" s="9">
        <v>3</v>
      </c>
      <c r="U150" s="23">
        <f t="shared" si="76"/>
        <v>3.4333333333333331</v>
      </c>
      <c r="V150" s="11">
        <f t="shared" si="77"/>
        <v>0</v>
      </c>
      <c r="W150" s="11">
        <f t="shared" si="78"/>
        <v>0</v>
      </c>
      <c r="X150" s="11">
        <f t="shared" si="79"/>
        <v>0</v>
      </c>
      <c r="Y150" s="11">
        <f t="shared" si="80"/>
        <v>0</v>
      </c>
      <c r="Z150" s="65">
        <f t="shared" si="81"/>
        <v>0</v>
      </c>
      <c r="AA150" s="24">
        <f t="shared" si="82"/>
        <v>0</v>
      </c>
      <c r="AB150">
        <f t="shared" si="83"/>
        <v>0</v>
      </c>
      <c r="AC150" s="46">
        <f>+IFERROR(VLOOKUP(E150,#REF!,24,0),0.2)</f>
        <v>0.2</v>
      </c>
      <c r="AD150" s="42">
        <f>+IFERROR(VLOOKUP(E150,h!$C:$D,2,0),0.3866)</f>
        <v>0.3866</v>
      </c>
      <c r="AE150" s="42">
        <f>+VLOOKUP(A150,k!$A$1:$G$4,5,0)</f>
        <v>8.9120712962962964E-2</v>
      </c>
      <c r="AF150" s="47">
        <f t="shared" si="84"/>
        <v>0.67572071296296299</v>
      </c>
      <c r="AG150" s="48">
        <f t="shared" si="85"/>
        <v>8.108648555555556E-2</v>
      </c>
      <c r="AH150" s="20">
        <f>+IFERROR(VLOOKUP(C150,k!$A$7:$L$13,7,0),0)</f>
        <v>0</v>
      </c>
      <c r="AI150" s="20">
        <f t="shared" si="86"/>
        <v>0</v>
      </c>
      <c r="AJ150" s="5">
        <f t="shared" si="87"/>
        <v>0</v>
      </c>
      <c r="AK150" s="57">
        <f t="shared" si="88"/>
        <v>0</v>
      </c>
      <c r="AL150" s="19">
        <f t="shared" si="89"/>
        <v>0</v>
      </c>
      <c r="AM150" s="20">
        <f t="shared" si="90"/>
        <v>0</v>
      </c>
      <c r="AN150" s="27">
        <f t="shared" si="91"/>
        <v>0</v>
      </c>
      <c r="AO150" s="57">
        <f t="shared" si="71"/>
        <v>0</v>
      </c>
      <c r="AP150" s="19">
        <f t="shared" si="92"/>
        <v>0</v>
      </c>
      <c r="AQ150" s="20">
        <f t="shared" si="93"/>
        <v>0</v>
      </c>
      <c r="AR150" s="58">
        <f t="shared" si="94"/>
        <v>0</v>
      </c>
      <c r="AS150" s="1">
        <f t="shared" si="95"/>
        <v>0</v>
      </c>
      <c r="AT150" s="21">
        <f t="shared" si="96"/>
        <v>0</v>
      </c>
      <c r="AU150" s="28">
        <f t="shared" si="97"/>
        <v>0</v>
      </c>
      <c r="AV150" s="19">
        <f t="shared" si="98"/>
        <v>0</v>
      </c>
      <c r="AW150" s="19">
        <f t="shared" si="99"/>
        <v>0</v>
      </c>
      <c r="AX150" s="27">
        <f t="shared" si="100"/>
        <v>0</v>
      </c>
      <c r="AY150" s="1" t="e">
        <f t="shared" si="101"/>
        <v>#DIV/0!</v>
      </c>
      <c r="AZ150" s="1" t="e">
        <f t="shared" si="102"/>
        <v>#DIV/0!</v>
      </c>
    </row>
    <row r="151" spans="1:52" hidden="1" x14ac:dyDescent="0.35">
      <c r="A151" s="6" t="s">
        <v>422</v>
      </c>
      <c r="B151" s="6">
        <v>500</v>
      </c>
      <c r="C151" s="2" t="e">
        <f>+VLOOKUP(E151,inventario!#REF!,2,0)</f>
        <v>#REF!</v>
      </c>
      <c r="D151" t="str">
        <f t="shared" si="72"/>
        <v>17</v>
      </c>
      <c r="E151" t="s">
        <v>1194</v>
      </c>
      <c r="F151" s="6" t="str">
        <f>+IFERROR(VLOOKUP(E151,#REF!,29,0),"C")</f>
        <v>C</v>
      </c>
      <c r="G151" s="6" t="str">
        <f>+IFERROR(VLOOKUP(E151,#REF!,34,0),"C")</f>
        <v>C</v>
      </c>
      <c r="H151" s="64">
        <f>+IFERROR(VLOOKUP(E151,#REF!,31,0),0)</f>
        <v>0</v>
      </c>
      <c r="I151" s="44">
        <f>+IFERROR(VLOOKUP(E151,#REF!,26,0),0)</f>
        <v>0</v>
      </c>
      <c r="J151" s="44">
        <f>+IFERROR(VLOOKUP(E151,#REF!,30,0),0)</f>
        <v>0</v>
      </c>
      <c r="K151" s="3"/>
      <c r="L151" s="25">
        <f t="shared" si="73"/>
        <v>0.7</v>
      </c>
      <c r="M151" s="26">
        <f t="shared" si="74"/>
        <v>0.52440051270804078</v>
      </c>
      <c r="O151">
        <f>+IFERROR(VLOOKUP(D151,lt!A:J,10,0),15)</f>
        <v>15</v>
      </c>
      <c r="P151">
        <v>2</v>
      </c>
      <c r="Q151">
        <v>1</v>
      </c>
      <c r="R151">
        <v>2</v>
      </c>
      <c r="S151" s="22">
        <f t="shared" si="75"/>
        <v>20</v>
      </c>
      <c r="T151" s="9">
        <v>3</v>
      </c>
      <c r="U151" s="23">
        <f t="shared" si="76"/>
        <v>0.76666666666666672</v>
      </c>
      <c r="V151" s="11">
        <f t="shared" si="77"/>
        <v>0</v>
      </c>
      <c r="W151" s="11">
        <f t="shared" si="78"/>
        <v>0</v>
      </c>
      <c r="X151" s="11">
        <f t="shared" si="79"/>
        <v>0</v>
      </c>
      <c r="Y151" s="11">
        <f t="shared" si="80"/>
        <v>0</v>
      </c>
      <c r="Z151" s="65">
        <f t="shared" si="81"/>
        <v>0</v>
      </c>
      <c r="AA151" s="24">
        <f t="shared" si="82"/>
        <v>0</v>
      </c>
      <c r="AB151">
        <f t="shared" si="83"/>
        <v>0</v>
      </c>
      <c r="AC151" s="46">
        <f>+IFERROR(VLOOKUP(E151,#REF!,24,0),0.2)</f>
        <v>0.2</v>
      </c>
      <c r="AD151" s="42">
        <f>+IFERROR(VLOOKUP(E151,h!$C:$D,2,0),0.3866)</f>
        <v>0.3866</v>
      </c>
      <c r="AE151" s="42">
        <f>+VLOOKUP(A151,k!$A$1:$G$4,5,0)</f>
        <v>8.9120712962962964E-2</v>
      </c>
      <c r="AF151" s="47">
        <f t="shared" si="84"/>
        <v>0.67572071296296299</v>
      </c>
      <c r="AG151" s="48">
        <f t="shared" si="85"/>
        <v>8.108648555555556E-2</v>
      </c>
      <c r="AH151" s="20">
        <f>+IFERROR(VLOOKUP(C151,k!$A$7:$L$13,7,0),0)</f>
        <v>0</v>
      </c>
      <c r="AI151" s="20">
        <f t="shared" si="86"/>
        <v>0</v>
      </c>
      <c r="AJ151" s="5">
        <f t="shared" si="87"/>
        <v>0</v>
      </c>
      <c r="AK151" s="57">
        <f t="shared" si="88"/>
        <v>0</v>
      </c>
      <c r="AL151" s="19">
        <f t="shared" si="89"/>
        <v>0</v>
      </c>
      <c r="AM151" s="20">
        <f t="shared" si="90"/>
        <v>0</v>
      </c>
      <c r="AN151" s="27">
        <f t="shared" si="91"/>
        <v>0</v>
      </c>
      <c r="AO151" s="57">
        <f t="shared" si="71"/>
        <v>0</v>
      </c>
      <c r="AP151" s="19">
        <f t="shared" si="92"/>
        <v>0</v>
      </c>
      <c r="AQ151" s="20">
        <f t="shared" si="93"/>
        <v>0</v>
      </c>
      <c r="AR151" s="58">
        <f t="shared" si="94"/>
        <v>0</v>
      </c>
      <c r="AS151" s="1">
        <f t="shared" si="95"/>
        <v>0</v>
      </c>
      <c r="AT151" s="21">
        <f t="shared" si="96"/>
        <v>0</v>
      </c>
      <c r="AU151" s="28">
        <f t="shared" si="97"/>
        <v>0</v>
      </c>
      <c r="AV151" s="19">
        <f t="shared" si="98"/>
        <v>0</v>
      </c>
      <c r="AW151" s="19">
        <f t="shared" si="99"/>
        <v>0</v>
      </c>
      <c r="AX151" s="27">
        <f t="shared" si="100"/>
        <v>0</v>
      </c>
      <c r="AY151" s="1" t="e">
        <f t="shared" si="101"/>
        <v>#DIV/0!</v>
      </c>
      <c r="AZ151" s="1" t="e">
        <f t="shared" si="102"/>
        <v>#DIV/0!</v>
      </c>
    </row>
    <row r="152" spans="1:52" hidden="1" x14ac:dyDescent="0.35">
      <c r="A152" s="6" t="s">
        <v>423</v>
      </c>
      <c r="B152" s="6">
        <v>33</v>
      </c>
      <c r="C152" s="2" t="e">
        <f>+VLOOKUP(E152,inventario!#REF!,2,0)</f>
        <v>#REF!</v>
      </c>
      <c r="D152" t="str">
        <f t="shared" si="72"/>
        <v>223</v>
      </c>
      <c r="E152" t="s">
        <v>93</v>
      </c>
      <c r="F152" s="6" t="str">
        <f>+IFERROR(VLOOKUP(E152,#REF!,29,0),"C")</f>
        <v>C</v>
      </c>
      <c r="G152" s="6" t="str">
        <f>+IFERROR(VLOOKUP(E152,#REF!,34,0),"C")</f>
        <v>C</v>
      </c>
      <c r="H152" s="64">
        <f>+IFERROR(VLOOKUP(E152,#REF!,31,0),0)</f>
        <v>0</v>
      </c>
      <c r="I152" s="44">
        <f>+IFERROR(VLOOKUP(E152,#REF!,26,0),0)</f>
        <v>0</v>
      </c>
      <c r="J152" s="44">
        <f>+IFERROR(VLOOKUP(E152,#REF!,30,0),0)</f>
        <v>0</v>
      </c>
      <c r="K152" s="3"/>
      <c r="L152" s="25">
        <f t="shared" si="73"/>
        <v>0.7</v>
      </c>
      <c r="M152" s="26">
        <f t="shared" si="74"/>
        <v>0.52440051270804078</v>
      </c>
      <c r="O152">
        <f>+IFERROR(VLOOKUP(D152,lt!A:J,10,0),15)</f>
        <v>95</v>
      </c>
      <c r="P152">
        <v>2</v>
      </c>
      <c r="Q152">
        <v>1</v>
      </c>
      <c r="R152">
        <v>2</v>
      </c>
      <c r="S152" s="22">
        <f t="shared" si="75"/>
        <v>100</v>
      </c>
      <c r="T152" s="9">
        <v>3</v>
      </c>
      <c r="U152" s="23">
        <f t="shared" si="76"/>
        <v>3.4333333333333331</v>
      </c>
      <c r="V152" s="11">
        <f t="shared" si="77"/>
        <v>0</v>
      </c>
      <c r="W152" s="11">
        <f t="shared" si="78"/>
        <v>0</v>
      </c>
      <c r="X152" s="11">
        <f t="shared" si="79"/>
        <v>0</v>
      </c>
      <c r="Y152" s="11">
        <f t="shared" si="80"/>
        <v>0</v>
      </c>
      <c r="Z152" s="65">
        <f t="shared" si="81"/>
        <v>0</v>
      </c>
      <c r="AA152" s="24">
        <f t="shared" si="82"/>
        <v>0</v>
      </c>
      <c r="AB152">
        <f t="shared" si="83"/>
        <v>0</v>
      </c>
      <c r="AC152" s="46">
        <f>+IFERROR(VLOOKUP(E152,#REF!,24,0),0.2)</f>
        <v>0.2</v>
      </c>
      <c r="AD152" s="42">
        <f>+IFERROR(VLOOKUP(E152,h!$C:$D,2,0),0.3866)</f>
        <v>0.38610833333333339</v>
      </c>
      <c r="AE152" s="42">
        <f>+VLOOKUP(A152,k!$A$1:$G$4,5,0)</f>
        <v>0.35799365240740744</v>
      </c>
      <c r="AF152" s="47">
        <f t="shared" si="84"/>
        <v>0.94410198574074089</v>
      </c>
      <c r="AG152" s="48">
        <f t="shared" si="85"/>
        <v>0.1132922382888889</v>
      </c>
      <c r="AH152" s="20">
        <f>+IFERROR(VLOOKUP(C152,k!$A$7:$L$13,7,0),0)</f>
        <v>0</v>
      </c>
      <c r="AI152" s="20">
        <f t="shared" si="86"/>
        <v>0</v>
      </c>
      <c r="AJ152" s="5">
        <f t="shared" si="87"/>
        <v>0</v>
      </c>
      <c r="AK152" s="57">
        <f t="shared" si="88"/>
        <v>0</v>
      </c>
      <c r="AL152" s="19">
        <f t="shared" si="89"/>
        <v>0</v>
      </c>
      <c r="AM152" s="20">
        <f t="shared" si="90"/>
        <v>0</v>
      </c>
      <c r="AN152" s="27">
        <f t="shared" si="91"/>
        <v>0</v>
      </c>
      <c r="AO152" s="57">
        <f t="shared" si="71"/>
        <v>0</v>
      </c>
      <c r="AP152" s="19">
        <f t="shared" si="92"/>
        <v>0</v>
      </c>
      <c r="AQ152" s="20">
        <f t="shared" si="93"/>
        <v>0</v>
      </c>
      <c r="AR152" s="58">
        <f t="shared" si="94"/>
        <v>0</v>
      </c>
      <c r="AS152" s="1">
        <f t="shared" si="95"/>
        <v>0</v>
      </c>
      <c r="AT152" s="21">
        <f t="shared" si="96"/>
        <v>0</v>
      </c>
      <c r="AU152" s="28">
        <f t="shared" si="97"/>
        <v>0</v>
      </c>
      <c r="AV152" s="19">
        <f t="shared" si="98"/>
        <v>0</v>
      </c>
      <c r="AW152" s="19">
        <f t="shared" si="99"/>
        <v>0</v>
      </c>
      <c r="AX152" s="27">
        <f t="shared" si="100"/>
        <v>0</v>
      </c>
      <c r="AY152" s="1" t="e">
        <f t="shared" si="101"/>
        <v>#DIV/0!</v>
      </c>
      <c r="AZ152" s="1" t="e">
        <f t="shared" si="102"/>
        <v>#DIV/0!</v>
      </c>
    </row>
    <row r="153" spans="1:52" hidden="1" x14ac:dyDescent="0.35">
      <c r="A153" s="6" t="s">
        <v>422</v>
      </c>
      <c r="B153" s="6">
        <v>10</v>
      </c>
      <c r="C153" s="2" t="e">
        <f>+VLOOKUP(E153,inventario!#REF!,2,0)</f>
        <v>#REF!</v>
      </c>
      <c r="D153" t="str">
        <f t="shared" si="72"/>
        <v>116</v>
      </c>
      <c r="E153" t="s">
        <v>99</v>
      </c>
      <c r="F153" s="6" t="str">
        <f>+IFERROR(VLOOKUP(E153,#REF!,29,0),"C")</f>
        <v>C</v>
      </c>
      <c r="G153" s="6" t="str">
        <f>+IFERROR(VLOOKUP(E153,#REF!,34,0),"C")</f>
        <v>C</v>
      </c>
      <c r="H153" s="64">
        <f>+IFERROR(VLOOKUP(E153,#REF!,31,0),0)</f>
        <v>0</v>
      </c>
      <c r="I153" s="44">
        <f>+IFERROR(VLOOKUP(E153,#REF!,26,0),0)</f>
        <v>0</v>
      </c>
      <c r="J153" s="44">
        <f>+IFERROR(VLOOKUP(E153,#REF!,30,0),0)</f>
        <v>0</v>
      </c>
      <c r="K153" s="3"/>
      <c r="L153" s="25">
        <f t="shared" si="73"/>
        <v>0.7</v>
      </c>
      <c r="M153" s="26">
        <f t="shared" si="74"/>
        <v>0.52440051270804078</v>
      </c>
      <c r="O153">
        <f>+IFERROR(VLOOKUP(D153,lt!A:J,10,0),15)</f>
        <v>65</v>
      </c>
      <c r="P153">
        <v>2</v>
      </c>
      <c r="Q153">
        <v>1</v>
      </c>
      <c r="R153">
        <v>2</v>
      </c>
      <c r="S153" s="22">
        <f t="shared" si="75"/>
        <v>70</v>
      </c>
      <c r="T153" s="9">
        <v>3</v>
      </c>
      <c r="U153" s="23">
        <f t="shared" si="76"/>
        <v>2.4333333333333331</v>
      </c>
      <c r="V153" s="11">
        <f t="shared" si="77"/>
        <v>0</v>
      </c>
      <c r="W153" s="11">
        <f t="shared" si="78"/>
        <v>0</v>
      </c>
      <c r="X153" s="11">
        <f t="shared" si="79"/>
        <v>0</v>
      </c>
      <c r="Y153" s="11">
        <f t="shared" si="80"/>
        <v>0</v>
      </c>
      <c r="Z153" s="65">
        <f t="shared" si="81"/>
        <v>0</v>
      </c>
      <c r="AA153" s="24">
        <f t="shared" si="82"/>
        <v>0</v>
      </c>
      <c r="AB153">
        <f t="shared" si="83"/>
        <v>0</v>
      </c>
      <c r="AC153" s="46">
        <f>+IFERROR(VLOOKUP(E153,#REF!,24,0),0.2)</f>
        <v>0.2</v>
      </c>
      <c r="AD153" s="42">
        <f>+IFERROR(VLOOKUP(E153,h!$C:$D,2,0),0.3866)</f>
        <v>0.38610833333333339</v>
      </c>
      <c r="AE153" s="42">
        <f>+VLOOKUP(A153,k!$A$1:$G$4,5,0)</f>
        <v>8.9120712962962964E-2</v>
      </c>
      <c r="AF153" s="47">
        <f t="shared" si="84"/>
        <v>0.67522904629629643</v>
      </c>
      <c r="AG153" s="48">
        <f t="shared" si="85"/>
        <v>8.102748555555557E-2</v>
      </c>
      <c r="AH153" s="20">
        <f>+IFERROR(VLOOKUP(C153,k!$A$7:$L$13,7,0),0)</f>
        <v>0</v>
      </c>
      <c r="AI153" s="20">
        <f t="shared" si="86"/>
        <v>0</v>
      </c>
      <c r="AJ153" s="5">
        <f t="shared" si="87"/>
        <v>0</v>
      </c>
      <c r="AK153" s="57">
        <f t="shared" si="88"/>
        <v>0</v>
      </c>
      <c r="AL153" s="19">
        <f t="shared" si="89"/>
        <v>0</v>
      </c>
      <c r="AM153" s="20">
        <f t="shared" si="90"/>
        <v>0</v>
      </c>
      <c r="AN153" s="27">
        <f t="shared" si="91"/>
        <v>0</v>
      </c>
      <c r="AO153" s="57">
        <f t="shared" si="71"/>
        <v>0</v>
      </c>
      <c r="AP153" s="19">
        <f t="shared" si="92"/>
        <v>0</v>
      </c>
      <c r="AQ153" s="20">
        <f t="shared" si="93"/>
        <v>0</v>
      </c>
      <c r="AR153" s="58">
        <f t="shared" si="94"/>
        <v>0</v>
      </c>
      <c r="AS153" s="1">
        <f t="shared" si="95"/>
        <v>0</v>
      </c>
      <c r="AT153" s="21">
        <f t="shared" si="96"/>
        <v>0</v>
      </c>
      <c r="AU153" s="28">
        <f t="shared" si="97"/>
        <v>0</v>
      </c>
      <c r="AV153" s="19">
        <f t="shared" si="98"/>
        <v>0</v>
      </c>
      <c r="AW153" s="19">
        <f t="shared" si="99"/>
        <v>0</v>
      </c>
      <c r="AX153" s="27">
        <f t="shared" si="100"/>
        <v>0</v>
      </c>
      <c r="AY153" s="1" t="e">
        <f t="shared" si="101"/>
        <v>#DIV/0!</v>
      </c>
      <c r="AZ153" s="1" t="e">
        <f t="shared" si="102"/>
        <v>#DIV/0!</v>
      </c>
    </row>
    <row r="154" spans="1:52" hidden="1" x14ac:dyDescent="0.35">
      <c r="A154" s="6" t="s">
        <v>423</v>
      </c>
      <c r="B154" s="6">
        <v>0.5</v>
      </c>
      <c r="C154" s="2" t="e">
        <f>+VLOOKUP(E154,inventario!#REF!,2,0)</f>
        <v>#REF!</v>
      </c>
      <c r="D154" t="str">
        <f t="shared" si="72"/>
        <v>167.16</v>
      </c>
      <c r="E154" t="s">
        <v>458</v>
      </c>
      <c r="F154" s="6" t="str">
        <f>+IFERROR(VLOOKUP(E154,#REF!,29,0),"C")</f>
        <v>C</v>
      </c>
      <c r="G154" s="6" t="str">
        <f>+IFERROR(VLOOKUP(E154,#REF!,34,0),"C")</f>
        <v>C</v>
      </c>
      <c r="H154" s="64">
        <f>+IFERROR(VLOOKUP(E154,#REF!,31,0),0)</f>
        <v>0</v>
      </c>
      <c r="I154" s="44">
        <f>+IFERROR(VLOOKUP(E154,#REF!,26,0),0)</f>
        <v>0</v>
      </c>
      <c r="J154" s="44">
        <f>+IFERROR(VLOOKUP(E154,#REF!,30,0),0)</f>
        <v>0</v>
      </c>
      <c r="K154" s="3"/>
      <c r="L154" s="25">
        <f t="shared" si="73"/>
        <v>0.7</v>
      </c>
      <c r="M154" s="26">
        <f t="shared" si="74"/>
        <v>0.52440051270804078</v>
      </c>
      <c r="O154">
        <f>+IFERROR(VLOOKUP(D154,lt!A:J,10,0),15)</f>
        <v>95</v>
      </c>
      <c r="P154">
        <v>2</v>
      </c>
      <c r="Q154">
        <v>1</v>
      </c>
      <c r="R154">
        <v>2</v>
      </c>
      <c r="S154" s="22">
        <f t="shared" si="75"/>
        <v>100</v>
      </c>
      <c r="T154" s="9">
        <v>3</v>
      </c>
      <c r="U154" s="23">
        <f t="shared" si="76"/>
        <v>3.4333333333333331</v>
      </c>
      <c r="V154" s="11">
        <f t="shared" si="77"/>
        <v>0</v>
      </c>
      <c r="W154" s="11">
        <f t="shared" si="78"/>
        <v>0</v>
      </c>
      <c r="X154" s="11">
        <f t="shared" si="79"/>
        <v>0</v>
      </c>
      <c r="Y154" s="11">
        <f t="shared" si="80"/>
        <v>0</v>
      </c>
      <c r="Z154" s="65">
        <f t="shared" si="81"/>
        <v>0</v>
      </c>
      <c r="AA154" s="24">
        <f t="shared" si="82"/>
        <v>0</v>
      </c>
      <c r="AB154">
        <f t="shared" si="83"/>
        <v>0</v>
      </c>
      <c r="AC154" s="46">
        <f>+IFERROR(VLOOKUP(E154,#REF!,24,0),0.2)</f>
        <v>0.2</v>
      </c>
      <c r="AD154" s="42">
        <f>+IFERROR(VLOOKUP(E154,h!$C:$D,2,0),0.3866)</f>
        <v>0.38610833333333339</v>
      </c>
      <c r="AE154" s="42">
        <f>+VLOOKUP(A154,k!$A$1:$G$4,5,0)</f>
        <v>0.35799365240740744</v>
      </c>
      <c r="AF154" s="47">
        <f t="shared" si="84"/>
        <v>0.94410198574074089</v>
      </c>
      <c r="AG154" s="48">
        <f t="shared" si="85"/>
        <v>0.1132922382888889</v>
      </c>
      <c r="AH154" s="20">
        <f>+IFERROR(VLOOKUP(C154,k!$A$7:$L$13,7,0),0)</f>
        <v>0</v>
      </c>
      <c r="AI154" s="20">
        <f t="shared" si="86"/>
        <v>0</v>
      </c>
      <c r="AJ154" s="5">
        <f t="shared" si="87"/>
        <v>0</v>
      </c>
      <c r="AK154" s="57">
        <f t="shared" si="88"/>
        <v>0</v>
      </c>
      <c r="AL154" s="19">
        <f t="shared" si="89"/>
        <v>0</v>
      </c>
      <c r="AM154" s="20">
        <f t="shared" si="90"/>
        <v>0</v>
      </c>
      <c r="AN154" s="27">
        <f t="shared" si="91"/>
        <v>0</v>
      </c>
      <c r="AO154" s="57">
        <f t="shared" si="71"/>
        <v>0</v>
      </c>
      <c r="AP154" s="19">
        <f t="shared" si="92"/>
        <v>0</v>
      </c>
      <c r="AQ154" s="20">
        <f t="shared" si="93"/>
        <v>0</v>
      </c>
      <c r="AR154" s="58">
        <f t="shared" si="94"/>
        <v>0</v>
      </c>
      <c r="AS154" s="1">
        <f t="shared" si="95"/>
        <v>0</v>
      </c>
      <c r="AT154" s="21">
        <f t="shared" si="96"/>
        <v>0</v>
      </c>
      <c r="AU154" s="28">
        <f t="shared" si="97"/>
        <v>0</v>
      </c>
      <c r="AV154" s="19">
        <f t="shared" si="98"/>
        <v>0</v>
      </c>
      <c r="AW154" s="19">
        <f t="shared" si="99"/>
        <v>0</v>
      </c>
      <c r="AX154" s="27">
        <f t="shared" si="100"/>
        <v>0</v>
      </c>
      <c r="AY154" s="1" t="e">
        <f t="shared" si="101"/>
        <v>#DIV/0!</v>
      </c>
      <c r="AZ154" s="1" t="e">
        <f t="shared" si="102"/>
        <v>#DIV/0!</v>
      </c>
    </row>
    <row r="155" spans="1:52" hidden="1" x14ac:dyDescent="0.35">
      <c r="A155" s="6" t="s">
        <v>422</v>
      </c>
      <c r="B155" s="6">
        <v>500</v>
      </c>
      <c r="C155" s="2" t="e">
        <f>+VLOOKUP(E155,inventario!#REF!,2,0)</f>
        <v>#REF!</v>
      </c>
      <c r="D155" t="str">
        <f t="shared" si="72"/>
        <v>122</v>
      </c>
      <c r="E155" t="s">
        <v>180</v>
      </c>
      <c r="F155" s="6" t="str">
        <f>+IFERROR(VLOOKUP(E155,#REF!,29,0),"C")</f>
        <v>C</v>
      </c>
      <c r="G155" s="6" t="str">
        <f>+IFERROR(VLOOKUP(E155,#REF!,34,0),"C")</f>
        <v>C</v>
      </c>
      <c r="H155" s="64">
        <f>+IFERROR(VLOOKUP(E155,#REF!,31,0),0)</f>
        <v>0</v>
      </c>
      <c r="I155" s="44">
        <f>+IFERROR(VLOOKUP(E155,#REF!,26,0),0)</f>
        <v>0</v>
      </c>
      <c r="J155" s="44">
        <f>+IFERROR(VLOOKUP(E155,#REF!,30,0),0)</f>
        <v>0</v>
      </c>
      <c r="K155" s="3"/>
      <c r="L155" s="25">
        <f t="shared" si="73"/>
        <v>0.7</v>
      </c>
      <c r="M155" s="26">
        <f t="shared" si="74"/>
        <v>0.52440051270804078</v>
      </c>
      <c r="O155">
        <f>+IFERROR(VLOOKUP(D155,lt!A:J,10,0),15)</f>
        <v>95</v>
      </c>
      <c r="P155">
        <v>2</v>
      </c>
      <c r="Q155">
        <v>1</v>
      </c>
      <c r="R155">
        <v>2</v>
      </c>
      <c r="S155" s="22">
        <f t="shared" si="75"/>
        <v>100</v>
      </c>
      <c r="T155" s="9">
        <v>3</v>
      </c>
      <c r="U155" s="23">
        <f t="shared" si="76"/>
        <v>3.4333333333333331</v>
      </c>
      <c r="V155" s="11">
        <f t="shared" si="77"/>
        <v>0</v>
      </c>
      <c r="W155" s="11">
        <f t="shared" si="78"/>
        <v>0</v>
      </c>
      <c r="X155" s="11">
        <f t="shared" si="79"/>
        <v>0</v>
      </c>
      <c r="Y155" s="11">
        <f t="shared" si="80"/>
        <v>0</v>
      </c>
      <c r="Z155" s="65">
        <f t="shared" si="81"/>
        <v>0</v>
      </c>
      <c r="AA155" s="24">
        <f t="shared" si="82"/>
        <v>0</v>
      </c>
      <c r="AB155">
        <f t="shared" si="83"/>
        <v>0</v>
      </c>
      <c r="AC155" s="46">
        <f>+IFERROR(VLOOKUP(E155,#REF!,24,0),0.2)</f>
        <v>0.2</v>
      </c>
      <c r="AD155" s="42">
        <f>+IFERROR(VLOOKUP(E155,h!$C:$D,2,0),0.3866)</f>
        <v>0.38610833333333339</v>
      </c>
      <c r="AE155" s="42">
        <f>+VLOOKUP(A155,k!$A$1:$G$4,5,0)</f>
        <v>8.9120712962962964E-2</v>
      </c>
      <c r="AF155" s="47">
        <f t="shared" si="84"/>
        <v>0.67522904629629643</v>
      </c>
      <c r="AG155" s="48">
        <f t="shared" si="85"/>
        <v>8.102748555555557E-2</v>
      </c>
      <c r="AH155" s="20">
        <f>+IFERROR(VLOOKUP(C155,k!$A$7:$L$13,7,0),0)</f>
        <v>0</v>
      </c>
      <c r="AI155" s="20">
        <f t="shared" si="86"/>
        <v>0</v>
      </c>
      <c r="AJ155" s="5">
        <f t="shared" si="87"/>
        <v>0</v>
      </c>
      <c r="AK155" s="57">
        <f t="shared" si="88"/>
        <v>0</v>
      </c>
      <c r="AL155" s="19">
        <f t="shared" si="89"/>
        <v>0</v>
      </c>
      <c r="AM155" s="20">
        <f t="shared" si="90"/>
        <v>0</v>
      </c>
      <c r="AN155" s="27">
        <f t="shared" si="91"/>
        <v>0</v>
      </c>
      <c r="AO155" s="57">
        <f t="shared" si="71"/>
        <v>0</v>
      </c>
      <c r="AP155" s="19">
        <f t="shared" si="92"/>
        <v>0</v>
      </c>
      <c r="AQ155" s="20">
        <f t="shared" si="93"/>
        <v>0</v>
      </c>
      <c r="AR155" s="58">
        <f t="shared" si="94"/>
        <v>0</v>
      </c>
      <c r="AS155" s="1">
        <f t="shared" si="95"/>
        <v>0</v>
      </c>
      <c r="AT155" s="21">
        <f t="shared" si="96"/>
        <v>0</v>
      </c>
      <c r="AU155" s="28">
        <f t="shared" si="97"/>
        <v>0</v>
      </c>
      <c r="AV155" s="19">
        <f t="shared" si="98"/>
        <v>0</v>
      </c>
      <c r="AW155" s="19">
        <f t="shared" si="99"/>
        <v>0</v>
      </c>
      <c r="AX155" s="27">
        <f t="shared" si="100"/>
        <v>0</v>
      </c>
      <c r="AY155" s="1" t="e">
        <f t="shared" si="101"/>
        <v>#DIV/0!</v>
      </c>
      <c r="AZ155" s="1" t="e">
        <f t="shared" si="102"/>
        <v>#DIV/0!</v>
      </c>
    </row>
    <row r="156" spans="1:52" hidden="1" x14ac:dyDescent="0.35">
      <c r="A156" s="6" t="s">
        <v>423</v>
      </c>
      <c r="B156" s="6">
        <v>1000</v>
      </c>
      <c r="C156" s="2" t="e">
        <f>+VLOOKUP(E156,inventario!#REF!,2,0)</f>
        <v>#REF!</v>
      </c>
      <c r="D156" t="str">
        <f t="shared" si="72"/>
        <v>410</v>
      </c>
      <c r="E156" t="s">
        <v>183</v>
      </c>
      <c r="F156" s="6" t="str">
        <f>+IFERROR(VLOOKUP(E156,#REF!,29,0),"C")</f>
        <v>C</v>
      </c>
      <c r="G156" s="6" t="str">
        <f>+IFERROR(VLOOKUP(E156,#REF!,34,0),"C")</f>
        <v>C</v>
      </c>
      <c r="H156" s="64">
        <f>+IFERROR(VLOOKUP(E156,#REF!,31,0),0)</f>
        <v>0</v>
      </c>
      <c r="I156" s="44">
        <f>+IFERROR(VLOOKUP(E156,#REF!,26,0),0)</f>
        <v>0</v>
      </c>
      <c r="J156" s="44">
        <f>+IFERROR(VLOOKUP(E156,#REF!,30,0),0)</f>
        <v>0</v>
      </c>
      <c r="K156" s="3"/>
      <c r="L156" s="25">
        <f t="shared" si="73"/>
        <v>0.7</v>
      </c>
      <c r="M156" s="26">
        <f t="shared" si="74"/>
        <v>0.52440051270804078</v>
      </c>
      <c r="O156">
        <v>30</v>
      </c>
      <c r="P156">
        <v>2</v>
      </c>
      <c r="Q156">
        <v>1</v>
      </c>
      <c r="R156">
        <v>2</v>
      </c>
      <c r="S156" s="22">
        <f t="shared" si="75"/>
        <v>35</v>
      </c>
      <c r="T156" s="9">
        <v>3</v>
      </c>
      <c r="U156" s="23">
        <f t="shared" si="76"/>
        <v>1.2666666666666666</v>
      </c>
      <c r="V156" s="11">
        <f t="shared" si="77"/>
        <v>0</v>
      </c>
      <c r="W156" s="11">
        <f t="shared" si="78"/>
        <v>0</v>
      </c>
      <c r="X156" s="11">
        <f t="shared" si="79"/>
        <v>0</v>
      </c>
      <c r="Y156" s="11">
        <f t="shared" si="80"/>
        <v>0</v>
      </c>
      <c r="Z156" s="65">
        <f t="shared" si="81"/>
        <v>0</v>
      </c>
      <c r="AA156" s="24">
        <f t="shared" si="82"/>
        <v>0</v>
      </c>
      <c r="AB156">
        <f t="shared" si="83"/>
        <v>0</v>
      </c>
      <c r="AC156" s="46">
        <f>+IFERROR(VLOOKUP(E156,#REF!,24,0),0.2)</f>
        <v>0.2</v>
      </c>
      <c r="AD156" s="42">
        <f>+IFERROR(VLOOKUP(E156,h!$C:$D,2,0),0.3866)</f>
        <v>0.38610833333333339</v>
      </c>
      <c r="AE156" s="42">
        <f>+VLOOKUP(A156,k!$A$1:$G$4,5,0)</f>
        <v>0.35799365240740744</v>
      </c>
      <c r="AF156" s="47">
        <f t="shared" si="84"/>
        <v>0.94410198574074089</v>
      </c>
      <c r="AG156" s="48">
        <f t="shared" si="85"/>
        <v>0.1132922382888889</v>
      </c>
      <c r="AH156" s="20">
        <f>+IFERROR(VLOOKUP(C156,k!$A$7:$L$13,7,0),0)</f>
        <v>0</v>
      </c>
      <c r="AI156" s="20">
        <f t="shared" si="86"/>
        <v>0</v>
      </c>
      <c r="AJ156" s="5">
        <f t="shared" si="87"/>
        <v>0</v>
      </c>
      <c r="AK156" s="57">
        <f t="shared" si="88"/>
        <v>0</v>
      </c>
      <c r="AL156" s="19">
        <f t="shared" si="89"/>
        <v>0</v>
      </c>
      <c r="AM156" s="20">
        <f t="shared" si="90"/>
        <v>0</v>
      </c>
      <c r="AN156" s="27">
        <f t="shared" si="91"/>
        <v>0</v>
      </c>
      <c r="AO156" s="57">
        <f t="shared" si="71"/>
        <v>0</v>
      </c>
      <c r="AP156" s="19">
        <f t="shared" si="92"/>
        <v>0</v>
      </c>
      <c r="AQ156" s="20">
        <f t="shared" si="93"/>
        <v>0</v>
      </c>
      <c r="AR156" s="58">
        <f t="shared" si="94"/>
        <v>0</v>
      </c>
      <c r="AS156" s="1">
        <f t="shared" si="95"/>
        <v>0</v>
      </c>
      <c r="AT156" s="21">
        <f t="shared" si="96"/>
        <v>0</v>
      </c>
      <c r="AU156" s="28">
        <f t="shared" si="97"/>
        <v>0</v>
      </c>
      <c r="AV156" s="19">
        <f t="shared" si="98"/>
        <v>0</v>
      </c>
      <c r="AW156" s="19">
        <f t="shared" si="99"/>
        <v>0</v>
      </c>
      <c r="AX156" s="27">
        <f t="shared" si="100"/>
        <v>0</v>
      </c>
      <c r="AY156" s="1" t="e">
        <f t="shared" si="101"/>
        <v>#DIV/0!</v>
      </c>
      <c r="AZ156" s="1" t="e">
        <f t="shared" si="102"/>
        <v>#DIV/0!</v>
      </c>
    </row>
    <row r="157" spans="1:52" hidden="1" x14ac:dyDescent="0.35">
      <c r="A157" s="6" t="s">
        <v>422</v>
      </c>
      <c r="B157" s="6">
        <v>100</v>
      </c>
      <c r="C157" s="2" t="e">
        <f>+VLOOKUP(E157,inventario!#REF!,2,0)</f>
        <v>#REF!</v>
      </c>
      <c r="D157" t="str">
        <f t="shared" si="72"/>
        <v>1</v>
      </c>
      <c r="E157" t="s">
        <v>182</v>
      </c>
      <c r="F157" s="6" t="str">
        <f>+IFERROR(VLOOKUP(E157,#REF!,29,0),"C")</f>
        <v>C</v>
      </c>
      <c r="G157" s="6" t="str">
        <f>+IFERROR(VLOOKUP(E157,#REF!,34,0),"C")</f>
        <v>C</v>
      </c>
      <c r="H157" s="64">
        <f>+IFERROR(VLOOKUP(E157,#REF!,31,0),0)</f>
        <v>0</v>
      </c>
      <c r="I157" s="44">
        <f>+IFERROR(VLOOKUP(E157,#REF!,26,0),0)</f>
        <v>0</v>
      </c>
      <c r="J157" s="44">
        <f>+IFERROR(VLOOKUP(E157,#REF!,30,0),0)</f>
        <v>0</v>
      </c>
      <c r="K157" s="3"/>
      <c r="L157" s="25">
        <f t="shared" si="73"/>
        <v>0.7</v>
      </c>
      <c r="M157" s="26">
        <f t="shared" si="74"/>
        <v>0.52440051270804078</v>
      </c>
      <c r="O157">
        <f>+IFERROR(VLOOKUP(D157,lt!A:J,10,0),15)</f>
        <v>25</v>
      </c>
      <c r="P157">
        <v>2</v>
      </c>
      <c r="Q157">
        <v>1</v>
      </c>
      <c r="R157">
        <v>2</v>
      </c>
      <c r="S157" s="22">
        <f t="shared" si="75"/>
        <v>30</v>
      </c>
      <c r="T157" s="9">
        <v>3</v>
      </c>
      <c r="U157" s="23">
        <f t="shared" si="76"/>
        <v>1.1000000000000001</v>
      </c>
      <c r="V157" s="11">
        <f t="shared" si="77"/>
        <v>0</v>
      </c>
      <c r="W157" s="11">
        <f t="shared" si="78"/>
        <v>0</v>
      </c>
      <c r="X157" s="11">
        <f t="shared" si="79"/>
        <v>0</v>
      </c>
      <c r="Y157" s="11">
        <f t="shared" si="80"/>
        <v>0</v>
      </c>
      <c r="Z157" s="65">
        <f t="shared" si="81"/>
        <v>0</v>
      </c>
      <c r="AA157" s="24">
        <f t="shared" si="82"/>
        <v>0</v>
      </c>
      <c r="AB157">
        <f t="shared" si="83"/>
        <v>0</v>
      </c>
      <c r="AC157" s="46">
        <f>+IFERROR(VLOOKUP(E157,#REF!,24,0),0.2)</f>
        <v>0.2</v>
      </c>
      <c r="AD157" s="42">
        <f>+IFERROR(VLOOKUP(E157,h!$C:$D,2,0),0.3866)</f>
        <v>0.38610833333333339</v>
      </c>
      <c r="AE157" s="42">
        <f>+VLOOKUP(A157,k!$A$1:$G$4,5,0)</f>
        <v>8.9120712962962964E-2</v>
      </c>
      <c r="AF157" s="47">
        <f t="shared" si="84"/>
        <v>0.67522904629629643</v>
      </c>
      <c r="AG157" s="48">
        <f t="shared" si="85"/>
        <v>8.102748555555557E-2</v>
      </c>
      <c r="AH157" s="20">
        <f>+IFERROR(VLOOKUP(C157,k!$A$7:$L$13,7,0),0)</f>
        <v>0</v>
      </c>
      <c r="AI157" s="20">
        <f t="shared" si="86"/>
        <v>0</v>
      </c>
      <c r="AJ157" s="5">
        <f t="shared" si="87"/>
        <v>0</v>
      </c>
      <c r="AK157" s="57">
        <f t="shared" si="88"/>
        <v>0</v>
      </c>
      <c r="AL157" s="19">
        <f t="shared" si="89"/>
        <v>0</v>
      </c>
      <c r="AM157" s="20">
        <f t="shared" si="90"/>
        <v>0</v>
      </c>
      <c r="AN157" s="27">
        <f t="shared" si="91"/>
        <v>0</v>
      </c>
      <c r="AO157" s="57">
        <f t="shared" si="71"/>
        <v>0</v>
      </c>
      <c r="AP157" s="19">
        <f t="shared" si="92"/>
        <v>0</v>
      </c>
      <c r="AQ157" s="20">
        <f t="shared" si="93"/>
        <v>0</v>
      </c>
      <c r="AR157" s="58">
        <f t="shared" si="94"/>
        <v>0</v>
      </c>
      <c r="AS157" s="1">
        <f t="shared" si="95"/>
        <v>0</v>
      </c>
      <c r="AT157" s="21">
        <f t="shared" si="96"/>
        <v>0</v>
      </c>
      <c r="AU157" s="28">
        <f t="shared" si="97"/>
        <v>0</v>
      </c>
      <c r="AV157" s="19">
        <f t="shared" si="98"/>
        <v>0</v>
      </c>
      <c r="AW157" s="19">
        <f t="shared" si="99"/>
        <v>0</v>
      </c>
      <c r="AX157" s="27">
        <f t="shared" si="100"/>
        <v>0</v>
      </c>
      <c r="AY157" s="1" t="e">
        <f t="shared" si="101"/>
        <v>#DIV/0!</v>
      </c>
      <c r="AZ157" s="1" t="e">
        <f t="shared" si="102"/>
        <v>#DIV/0!</v>
      </c>
    </row>
    <row r="158" spans="1:52" hidden="1" x14ac:dyDescent="0.35">
      <c r="A158" s="6" t="s">
        <v>423</v>
      </c>
      <c r="B158" s="6">
        <v>23</v>
      </c>
      <c r="C158" s="2" t="e">
        <f>+VLOOKUP(E158,inventario!#REF!,2,0)</f>
        <v>#REF!</v>
      </c>
      <c r="D158" t="str">
        <f t="shared" si="72"/>
        <v>27</v>
      </c>
      <c r="E158" t="s">
        <v>967</v>
      </c>
      <c r="F158" s="6" t="s">
        <v>4</v>
      </c>
      <c r="G158" s="6" t="str">
        <f>+IFERROR(VLOOKUP(E158,#REF!,34,0),"C")</f>
        <v>C</v>
      </c>
      <c r="H158" s="64">
        <f>+IFERROR(VLOOKUP(E158,#REF!,31,0),0)</f>
        <v>0</v>
      </c>
      <c r="I158" s="44">
        <f>+IFERROR(VLOOKUP(E158,#REF!,26,0),0)</f>
        <v>0</v>
      </c>
      <c r="J158" s="44">
        <f>+IFERROR(VLOOKUP(E158,#REF!,30,0),0)</f>
        <v>0</v>
      </c>
      <c r="K158" s="3"/>
      <c r="L158" s="25">
        <f t="shared" si="73"/>
        <v>0.7</v>
      </c>
      <c r="M158" s="26">
        <f t="shared" si="74"/>
        <v>0.52440051270804078</v>
      </c>
      <c r="O158">
        <f>+IFERROR(VLOOKUP(D158,lt!A:J,10,0),25)</f>
        <v>25</v>
      </c>
      <c r="P158">
        <v>2</v>
      </c>
      <c r="Q158">
        <v>1</v>
      </c>
      <c r="R158">
        <v>2</v>
      </c>
      <c r="S158" s="22">
        <f t="shared" si="75"/>
        <v>30</v>
      </c>
      <c r="T158" s="9">
        <v>3</v>
      </c>
      <c r="U158" s="23">
        <f t="shared" si="76"/>
        <v>1.1000000000000001</v>
      </c>
      <c r="V158" s="11">
        <f t="shared" si="77"/>
        <v>0</v>
      </c>
      <c r="W158" s="11">
        <f t="shared" si="78"/>
        <v>0</v>
      </c>
      <c r="X158" s="11">
        <f t="shared" si="79"/>
        <v>0</v>
      </c>
      <c r="Y158" s="11">
        <f t="shared" si="80"/>
        <v>0</v>
      </c>
      <c r="Z158" s="65">
        <f t="shared" si="81"/>
        <v>0</v>
      </c>
      <c r="AA158" s="24">
        <f t="shared" si="82"/>
        <v>0</v>
      </c>
      <c r="AB158">
        <f t="shared" si="83"/>
        <v>0</v>
      </c>
      <c r="AC158" s="46">
        <f>+IFERROR(VLOOKUP(E158,#REF!,24,0),0.2)</f>
        <v>0.2</v>
      </c>
      <c r="AD158" s="42">
        <f>+IFERROR(VLOOKUP(E158,h!$C:$D,2,0),0.3866)</f>
        <v>0.3866</v>
      </c>
      <c r="AE158" s="42">
        <f>+VLOOKUP(A158,k!$A$1:$G$4,5,0)</f>
        <v>0.35799365240740744</v>
      </c>
      <c r="AF158" s="47">
        <f t="shared" si="84"/>
        <v>0.94459365240740745</v>
      </c>
      <c r="AG158" s="48">
        <f t="shared" si="85"/>
        <v>0.11335123828888889</v>
      </c>
      <c r="AH158" s="20">
        <f>+IFERROR(VLOOKUP(C158,k!$A$7:$L$13,7,0),0)</f>
        <v>0</v>
      </c>
      <c r="AI158" s="20">
        <f t="shared" si="86"/>
        <v>0</v>
      </c>
      <c r="AJ158" s="5">
        <f t="shared" si="87"/>
        <v>0</v>
      </c>
      <c r="AK158" s="57">
        <f t="shared" si="88"/>
        <v>0</v>
      </c>
      <c r="AL158" s="19">
        <f t="shared" si="89"/>
        <v>0</v>
      </c>
      <c r="AM158" s="20">
        <f t="shared" si="90"/>
        <v>0</v>
      </c>
      <c r="AN158" s="27">
        <f t="shared" si="91"/>
        <v>0</v>
      </c>
      <c r="AO158" s="57">
        <f t="shared" si="71"/>
        <v>0</v>
      </c>
      <c r="AP158" s="19">
        <f t="shared" si="92"/>
        <v>0</v>
      </c>
      <c r="AQ158" s="20">
        <f t="shared" si="93"/>
        <v>0</v>
      </c>
      <c r="AR158" s="58">
        <f t="shared" si="94"/>
        <v>0</v>
      </c>
      <c r="AS158" s="1">
        <f t="shared" si="95"/>
        <v>0</v>
      </c>
      <c r="AT158" s="21">
        <f t="shared" si="96"/>
        <v>0</v>
      </c>
      <c r="AU158" s="28">
        <f t="shared" si="97"/>
        <v>0</v>
      </c>
      <c r="AV158" s="19">
        <f t="shared" si="98"/>
        <v>0</v>
      </c>
      <c r="AW158" s="19">
        <f t="shared" si="99"/>
        <v>0</v>
      </c>
      <c r="AX158" s="27">
        <f t="shared" si="100"/>
        <v>0</v>
      </c>
      <c r="AY158" s="1" t="e">
        <f t="shared" si="101"/>
        <v>#DIV/0!</v>
      </c>
      <c r="AZ158" s="1" t="e">
        <f t="shared" si="102"/>
        <v>#DIV/0!</v>
      </c>
    </row>
    <row r="159" spans="1:52" hidden="1" x14ac:dyDescent="0.35">
      <c r="A159" s="6" t="s">
        <v>422</v>
      </c>
      <c r="B159" s="6">
        <v>30</v>
      </c>
      <c r="C159" s="2" t="e">
        <f>+VLOOKUP(E159,inventario!#REF!,2,0)</f>
        <v>#REF!</v>
      </c>
      <c r="D159" t="str">
        <f t="shared" si="72"/>
        <v>42</v>
      </c>
      <c r="E159" t="s">
        <v>94</v>
      </c>
      <c r="F159" s="6" t="str">
        <f>+IFERROR(VLOOKUP(E159,#REF!,29,0),"C")</f>
        <v>C</v>
      </c>
      <c r="G159" s="6" t="str">
        <f>+IFERROR(VLOOKUP(E159,#REF!,34,0),"C")</f>
        <v>C</v>
      </c>
      <c r="H159" s="64">
        <f>+IFERROR(VLOOKUP(E159,#REF!,31,0),0)</f>
        <v>0</v>
      </c>
      <c r="I159" s="44">
        <f>+IFERROR(VLOOKUP(E159,#REF!,26,0),0)</f>
        <v>0</v>
      </c>
      <c r="J159" s="44">
        <f>+IFERROR(VLOOKUP(E159,#REF!,30,0),0)</f>
        <v>0</v>
      </c>
      <c r="K159" s="3"/>
      <c r="L159" s="25">
        <f t="shared" si="73"/>
        <v>0.7</v>
      </c>
      <c r="M159" s="26">
        <f t="shared" si="74"/>
        <v>0.52440051270804078</v>
      </c>
      <c r="O159">
        <f>+IFERROR(VLOOKUP(D159,lt!A:J,10,0),15)</f>
        <v>23</v>
      </c>
      <c r="P159">
        <v>2</v>
      </c>
      <c r="Q159">
        <v>1</v>
      </c>
      <c r="R159">
        <v>2</v>
      </c>
      <c r="S159" s="22">
        <f t="shared" si="75"/>
        <v>28</v>
      </c>
      <c r="T159" s="9">
        <v>3</v>
      </c>
      <c r="U159" s="23">
        <f t="shared" si="76"/>
        <v>1.0333333333333334</v>
      </c>
      <c r="V159" s="11">
        <f t="shared" si="77"/>
        <v>0</v>
      </c>
      <c r="W159" s="11">
        <f t="shared" si="78"/>
        <v>0</v>
      </c>
      <c r="X159" s="11">
        <f t="shared" si="79"/>
        <v>0</v>
      </c>
      <c r="Y159" s="11">
        <f t="shared" si="80"/>
        <v>0</v>
      </c>
      <c r="Z159" s="65">
        <f t="shared" si="81"/>
        <v>0</v>
      </c>
      <c r="AA159" s="24">
        <f t="shared" si="82"/>
        <v>0</v>
      </c>
      <c r="AB159">
        <f t="shared" si="83"/>
        <v>0</v>
      </c>
      <c r="AC159" s="46">
        <f>+IFERROR(VLOOKUP(E159,#REF!,24,0),0.2)</f>
        <v>0.2</v>
      </c>
      <c r="AD159" s="42">
        <f>+IFERROR(VLOOKUP(E159,h!$C:$D,2,0),0.3866)</f>
        <v>0.38610833333333339</v>
      </c>
      <c r="AE159" s="42">
        <f>+VLOOKUP(A159,k!$A$1:$G$4,5,0)</f>
        <v>8.9120712962962964E-2</v>
      </c>
      <c r="AF159" s="47">
        <f t="shared" si="84"/>
        <v>0.67522904629629643</v>
      </c>
      <c r="AG159" s="48">
        <f t="shared" si="85"/>
        <v>8.102748555555557E-2</v>
      </c>
      <c r="AH159" s="20">
        <f>+IFERROR(VLOOKUP(C159,k!$A$7:$L$13,7,0),0)</f>
        <v>0</v>
      </c>
      <c r="AI159" s="20">
        <f t="shared" si="86"/>
        <v>0</v>
      </c>
      <c r="AJ159" s="5">
        <f t="shared" si="87"/>
        <v>0</v>
      </c>
      <c r="AK159" s="57">
        <f t="shared" si="88"/>
        <v>0</v>
      </c>
      <c r="AL159" s="19">
        <f t="shared" si="89"/>
        <v>0</v>
      </c>
      <c r="AM159" s="20">
        <f t="shared" si="90"/>
        <v>0</v>
      </c>
      <c r="AN159" s="27">
        <f t="shared" si="91"/>
        <v>0</v>
      </c>
      <c r="AO159" s="57">
        <f t="shared" si="71"/>
        <v>0</v>
      </c>
      <c r="AP159" s="19">
        <f t="shared" si="92"/>
        <v>0</v>
      </c>
      <c r="AQ159" s="20">
        <f t="shared" si="93"/>
        <v>0</v>
      </c>
      <c r="AR159" s="58">
        <f t="shared" si="94"/>
        <v>0</v>
      </c>
      <c r="AS159" s="1">
        <f t="shared" si="95"/>
        <v>0</v>
      </c>
      <c r="AT159" s="21">
        <f t="shared" si="96"/>
        <v>0</v>
      </c>
      <c r="AU159" s="28">
        <f t="shared" si="97"/>
        <v>0</v>
      </c>
      <c r="AV159" s="19">
        <f t="shared" si="98"/>
        <v>0</v>
      </c>
      <c r="AW159" s="19">
        <f t="shared" si="99"/>
        <v>0</v>
      </c>
      <c r="AX159" s="27">
        <f t="shared" si="100"/>
        <v>0</v>
      </c>
      <c r="AY159" s="1" t="e">
        <f t="shared" si="101"/>
        <v>#DIV/0!</v>
      </c>
      <c r="AZ159" s="1" t="e">
        <f t="shared" si="102"/>
        <v>#DIV/0!</v>
      </c>
    </row>
    <row r="160" spans="1:52" hidden="1" x14ac:dyDescent="0.35">
      <c r="A160" s="6" t="s">
        <v>423</v>
      </c>
      <c r="B160" s="6">
        <v>21</v>
      </c>
      <c r="C160" s="2" t="e">
        <f>+VLOOKUP(E160,inventario!#REF!,2,0)</f>
        <v>#REF!</v>
      </c>
      <c r="D160" t="str">
        <f t="shared" si="72"/>
        <v>200</v>
      </c>
      <c r="E160" t="s">
        <v>97</v>
      </c>
      <c r="F160" s="6" t="str">
        <f>+IFERROR(VLOOKUP(E160,#REF!,29,0),"C")</f>
        <v>C</v>
      </c>
      <c r="G160" s="6" t="str">
        <f>+IFERROR(VLOOKUP(E160,#REF!,34,0),"C")</f>
        <v>C</v>
      </c>
      <c r="H160" s="64">
        <f>+IFERROR(VLOOKUP(E160,#REF!,31,0),0)</f>
        <v>0</v>
      </c>
      <c r="I160" s="44">
        <f>+IFERROR(VLOOKUP(E160,#REF!,26,0),0)</f>
        <v>0</v>
      </c>
      <c r="J160" s="44">
        <f>+IFERROR(VLOOKUP(E160,#REF!,30,0),0)</f>
        <v>0</v>
      </c>
      <c r="K160" s="3"/>
      <c r="L160" s="25">
        <f t="shared" si="73"/>
        <v>0.7</v>
      </c>
      <c r="M160" s="26">
        <f t="shared" si="74"/>
        <v>0.52440051270804078</v>
      </c>
      <c r="O160">
        <f>+IFERROR(VLOOKUP(D160,lt!A:J,10,0),15)</f>
        <v>25</v>
      </c>
      <c r="P160">
        <v>2</v>
      </c>
      <c r="Q160">
        <v>1</v>
      </c>
      <c r="R160">
        <v>2</v>
      </c>
      <c r="S160" s="22">
        <f t="shared" si="75"/>
        <v>30</v>
      </c>
      <c r="T160" s="9">
        <v>3</v>
      </c>
      <c r="U160" s="23">
        <f t="shared" si="76"/>
        <v>1.1000000000000001</v>
      </c>
      <c r="V160" s="11">
        <f t="shared" si="77"/>
        <v>0</v>
      </c>
      <c r="W160" s="11">
        <f t="shared" si="78"/>
        <v>0</v>
      </c>
      <c r="X160" s="11">
        <f t="shared" si="79"/>
        <v>0</v>
      </c>
      <c r="Y160" s="11">
        <f t="shared" si="80"/>
        <v>0</v>
      </c>
      <c r="Z160" s="65">
        <f t="shared" si="81"/>
        <v>0</v>
      </c>
      <c r="AA160" s="24">
        <f t="shared" si="82"/>
        <v>0</v>
      </c>
      <c r="AB160">
        <f t="shared" si="83"/>
        <v>0</v>
      </c>
      <c r="AC160" s="46">
        <f>+IFERROR(VLOOKUP(E160,#REF!,24,0),0.2)</f>
        <v>0.2</v>
      </c>
      <c r="AD160" s="42">
        <f>+IFERROR(VLOOKUP(E160,h!$C:$D,2,0),0.3866)</f>
        <v>0.38610833333333339</v>
      </c>
      <c r="AE160" s="42">
        <f>+VLOOKUP(A160,k!$A$1:$G$4,5,0)</f>
        <v>0.35799365240740744</v>
      </c>
      <c r="AF160" s="47">
        <f t="shared" si="84"/>
        <v>0.94410198574074089</v>
      </c>
      <c r="AG160" s="48">
        <f t="shared" si="85"/>
        <v>0.1132922382888889</v>
      </c>
      <c r="AH160" s="20">
        <f>+IFERROR(VLOOKUP(C160,k!$A$7:$L$13,7,0),0)</f>
        <v>0</v>
      </c>
      <c r="AI160" s="20">
        <f t="shared" si="86"/>
        <v>0</v>
      </c>
      <c r="AJ160" s="5">
        <f t="shared" si="87"/>
        <v>0</v>
      </c>
      <c r="AK160" s="57">
        <f t="shared" si="88"/>
        <v>0</v>
      </c>
      <c r="AL160" s="19">
        <f t="shared" si="89"/>
        <v>0</v>
      </c>
      <c r="AM160" s="20">
        <f t="shared" si="90"/>
        <v>0</v>
      </c>
      <c r="AN160" s="27">
        <f t="shared" si="91"/>
        <v>0</v>
      </c>
      <c r="AO160" s="57">
        <f t="shared" si="71"/>
        <v>0</v>
      </c>
      <c r="AP160" s="19">
        <f t="shared" si="92"/>
        <v>0</v>
      </c>
      <c r="AQ160" s="20">
        <f t="shared" si="93"/>
        <v>0</v>
      </c>
      <c r="AR160" s="58">
        <f t="shared" si="94"/>
        <v>0</v>
      </c>
      <c r="AS160" s="1">
        <f t="shared" si="95"/>
        <v>0</v>
      </c>
      <c r="AT160" s="21">
        <f t="shared" si="96"/>
        <v>0</v>
      </c>
      <c r="AU160" s="28">
        <f t="shared" si="97"/>
        <v>0</v>
      </c>
      <c r="AV160" s="19">
        <f t="shared" si="98"/>
        <v>0</v>
      </c>
      <c r="AW160" s="19">
        <f t="shared" si="99"/>
        <v>0</v>
      </c>
      <c r="AX160" s="27">
        <f t="shared" si="100"/>
        <v>0</v>
      </c>
      <c r="AY160" s="1" t="e">
        <f t="shared" si="101"/>
        <v>#DIV/0!</v>
      </c>
      <c r="AZ160" s="1" t="e">
        <f t="shared" si="102"/>
        <v>#DIV/0!</v>
      </c>
    </row>
    <row r="161" spans="1:52" hidden="1" x14ac:dyDescent="0.35">
      <c r="A161" s="6" t="s">
        <v>423</v>
      </c>
      <c r="B161" s="6">
        <v>2</v>
      </c>
      <c r="C161" s="2" t="e">
        <f>+VLOOKUP(E161,inventario!#REF!,2,0)</f>
        <v>#REF!</v>
      </c>
      <c r="D161" t="str">
        <f t="shared" si="72"/>
        <v>156.4</v>
      </c>
      <c r="E161" t="s">
        <v>977</v>
      </c>
      <c r="F161" s="6" t="str">
        <f>+IFERROR(VLOOKUP(E161,#REF!,29,0),"C")</f>
        <v>C</v>
      </c>
      <c r="G161" s="6" t="str">
        <f>+IFERROR(VLOOKUP(E161,#REF!,34,0),"C")</f>
        <v>C</v>
      </c>
      <c r="H161" s="64">
        <f>+IFERROR(VLOOKUP(E161,#REF!,31,0),0)</f>
        <v>0</v>
      </c>
      <c r="I161" s="44">
        <f>+IFERROR(VLOOKUP(E161,#REF!,26,0),0)</f>
        <v>0</v>
      </c>
      <c r="J161" s="44">
        <f>+IFERROR(VLOOKUP(E161,#REF!,30,0),0)</f>
        <v>0</v>
      </c>
      <c r="K161" s="3"/>
      <c r="L161" s="25">
        <f t="shared" si="73"/>
        <v>0.7</v>
      </c>
      <c r="M161" s="26">
        <f t="shared" si="74"/>
        <v>0.52440051270804078</v>
      </c>
      <c r="O161">
        <f>+IFERROR(VLOOKUP(D161,lt!A:J,10,0),15)</f>
        <v>25</v>
      </c>
      <c r="P161">
        <v>2</v>
      </c>
      <c r="Q161">
        <v>1</v>
      </c>
      <c r="R161">
        <v>2</v>
      </c>
      <c r="S161" s="22">
        <f t="shared" si="75"/>
        <v>30</v>
      </c>
      <c r="T161" s="9">
        <v>3</v>
      </c>
      <c r="U161" s="23">
        <f t="shared" si="76"/>
        <v>1.1000000000000001</v>
      </c>
      <c r="V161" s="11">
        <f t="shared" si="77"/>
        <v>0</v>
      </c>
      <c r="W161" s="11">
        <f t="shared" si="78"/>
        <v>0</v>
      </c>
      <c r="X161" s="11">
        <f t="shared" si="79"/>
        <v>0</v>
      </c>
      <c r="Y161" s="11">
        <f t="shared" si="80"/>
        <v>0</v>
      </c>
      <c r="Z161" s="65">
        <f t="shared" si="81"/>
        <v>0</v>
      </c>
      <c r="AA161" s="24">
        <f t="shared" si="82"/>
        <v>0</v>
      </c>
      <c r="AB161">
        <f t="shared" si="83"/>
        <v>0</v>
      </c>
      <c r="AC161" s="46">
        <f>+IFERROR(VLOOKUP(E161,#REF!,24,0),0.2)</f>
        <v>0.2</v>
      </c>
      <c r="AD161" s="42">
        <f>+IFERROR(VLOOKUP(E161,h!$C:$D,2,0),0.3866)</f>
        <v>0.38610833333333339</v>
      </c>
      <c r="AE161" s="42">
        <f>+VLOOKUP(A161,k!$A$1:$G$4,5,0)</f>
        <v>0.35799365240740744</v>
      </c>
      <c r="AF161" s="47">
        <f t="shared" si="84"/>
        <v>0.94410198574074089</v>
      </c>
      <c r="AG161" s="48">
        <f t="shared" si="85"/>
        <v>0.1132922382888889</v>
      </c>
      <c r="AH161" s="20">
        <f>+IFERROR(VLOOKUP(C161,k!$A$7:$L$13,7,0),0)</f>
        <v>0</v>
      </c>
      <c r="AI161" s="20">
        <f t="shared" si="86"/>
        <v>0</v>
      </c>
      <c r="AJ161" s="5">
        <f t="shared" si="87"/>
        <v>0</v>
      </c>
      <c r="AK161" s="57">
        <f t="shared" si="88"/>
        <v>0</v>
      </c>
      <c r="AL161" s="19">
        <f t="shared" si="89"/>
        <v>0</v>
      </c>
      <c r="AM161" s="20">
        <f t="shared" si="90"/>
        <v>0</v>
      </c>
      <c r="AN161" s="27">
        <f t="shared" si="91"/>
        <v>0</v>
      </c>
      <c r="AO161" s="57">
        <f>+EVEN(CEILING(IFERROR(SQRT(2*AI161*I161/AG161),0),B161))</f>
        <v>0</v>
      </c>
      <c r="AP161" s="19">
        <f t="shared" si="92"/>
        <v>0</v>
      </c>
      <c r="AQ161" s="20">
        <f t="shared" si="93"/>
        <v>0</v>
      </c>
      <c r="AR161" s="58">
        <f t="shared" si="94"/>
        <v>0</v>
      </c>
      <c r="AS161" s="1">
        <f t="shared" si="95"/>
        <v>0</v>
      </c>
      <c r="AT161" s="21">
        <f t="shared" si="96"/>
        <v>0</v>
      </c>
      <c r="AU161" s="28">
        <f t="shared" si="97"/>
        <v>0</v>
      </c>
      <c r="AV161" s="19">
        <f t="shared" si="98"/>
        <v>0</v>
      </c>
      <c r="AW161" s="19">
        <f t="shared" si="99"/>
        <v>0</v>
      </c>
      <c r="AX161" s="27">
        <f t="shared" si="100"/>
        <v>0</v>
      </c>
      <c r="AY161" s="1" t="e">
        <f t="shared" si="101"/>
        <v>#DIV/0!</v>
      </c>
      <c r="AZ161" s="1" t="e">
        <f t="shared" si="102"/>
        <v>#DIV/0!</v>
      </c>
    </row>
    <row r="162" spans="1:52" hidden="1" x14ac:dyDescent="0.35">
      <c r="A162" s="6" t="s">
        <v>422</v>
      </c>
      <c r="B162" s="6">
        <v>14</v>
      </c>
      <c r="C162" s="2" t="e">
        <f>+VLOOKUP(E162,inventario!#REF!,2,0)</f>
        <v>#REF!</v>
      </c>
      <c r="D162" t="str">
        <f t="shared" si="72"/>
        <v>111</v>
      </c>
      <c r="E162" t="s">
        <v>184</v>
      </c>
      <c r="F162" s="6" t="str">
        <f>+IFERROR(VLOOKUP(E162,#REF!,29,0),"C")</f>
        <v>C</v>
      </c>
      <c r="G162" s="6" t="str">
        <f>+IFERROR(VLOOKUP(E162,#REF!,34,0),"C")</f>
        <v>C</v>
      </c>
      <c r="H162" s="64">
        <f>+IFERROR(VLOOKUP(E162,#REF!,31,0),0)</f>
        <v>0</v>
      </c>
      <c r="I162" s="44">
        <f>+IFERROR(VLOOKUP(E162,#REF!,26,0),0)</f>
        <v>0</v>
      </c>
      <c r="J162" s="44">
        <f>+IFERROR(VLOOKUP(E162,#REF!,30,0),0)</f>
        <v>0</v>
      </c>
      <c r="K162" s="3"/>
      <c r="L162" s="25">
        <f t="shared" si="73"/>
        <v>0.7</v>
      </c>
      <c r="M162" s="26">
        <f t="shared" si="74"/>
        <v>0.52440051270804078</v>
      </c>
      <c r="O162">
        <f>+IFERROR(VLOOKUP(D162,lt!A:J,10,0),15)</f>
        <v>95</v>
      </c>
      <c r="P162">
        <v>2</v>
      </c>
      <c r="Q162">
        <v>1</v>
      </c>
      <c r="R162">
        <v>2</v>
      </c>
      <c r="S162" s="22">
        <f t="shared" si="75"/>
        <v>100</v>
      </c>
      <c r="T162" s="9">
        <v>3</v>
      </c>
      <c r="U162" s="23">
        <f t="shared" si="76"/>
        <v>3.4333333333333331</v>
      </c>
      <c r="V162" s="11">
        <f t="shared" si="77"/>
        <v>0</v>
      </c>
      <c r="W162" s="11">
        <f t="shared" si="78"/>
        <v>0</v>
      </c>
      <c r="X162" s="11">
        <f t="shared" si="79"/>
        <v>0</v>
      </c>
      <c r="Y162" s="11">
        <f t="shared" si="80"/>
        <v>0</v>
      </c>
      <c r="Z162" s="65">
        <f t="shared" si="81"/>
        <v>0</v>
      </c>
      <c r="AA162" s="24">
        <f t="shared" si="82"/>
        <v>0</v>
      </c>
      <c r="AB162">
        <f t="shared" si="83"/>
        <v>0</v>
      </c>
      <c r="AC162" s="46">
        <f>+IFERROR(VLOOKUP(E162,#REF!,24,0),0.2)</f>
        <v>0.2</v>
      </c>
      <c r="AD162" s="42">
        <f>+IFERROR(VLOOKUP(E162,h!$C:$D,2,0),0.3866)</f>
        <v>0.38610833333333339</v>
      </c>
      <c r="AE162" s="42">
        <f>+VLOOKUP(A162,k!$A$1:$G$4,5,0)</f>
        <v>8.9120712962962964E-2</v>
      </c>
      <c r="AF162" s="47">
        <f t="shared" si="84"/>
        <v>0.67522904629629643</v>
      </c>
      <c r="AG162" s="48">
        <f t="shared" si="85"/>
        <v>8.102748555555557E-2</v>
      </c>
      <c r="AH162" s="20">
        <f>+IFERROR(VLOOKUP(C162,k!$A$7:$L$13,7,0),0)</f>
        <v>0</v>
      </c>
      <c r="AI162" s="20">
        <f t="shared" si="86"/>
        <v>0</v>
      </c>
      <c r="AJ162" s="5">
        <f t="shared" si="87"/>
        <v>0</v>
      </c>
      <c r="AK162" s="57">
        <f t="shared" si="88"/>
        <v>0</v>
      </c>
      <c r="AL162" s="19">
        <f t="shared" si="89"/>
        <v>0</v>
      </c>
      <c r="AM162" s="20">
        <f t="shared" si="90"/>
        <v>0</v>
      </c>
      <c r="AN162" s="27">
        <f t="shared" si="91"/>
        <v>0</v>
      </c>
      <c r="AO162" s="57">
        <f t="shared" ref="AO162:AO193" si="103">+CEILING(IFERROR(SQRT(2*AI162*I162/AG162),0),B162)</f>
        <v>0</v>
      </c>
      <c r="AP162" s="19">
        <f t="shared" si="92"/>
        <v>0</v>
      </c>
      <c r="AQ162" s="20">
        <f t="shared" si="93"/>
        <v>0</v>
      </c>
      <c r="AR162" s="58">
        <f t="shared" si="94"/>
        <v>0</v>
      </c>
      <c r="AS162" s="1">
        <f t="shared" si="95"/>
        <v>0</v>
      </c>
      <c r="AT162" s="21">
        <f t="shared" si="96"/>
        <v>0</v>
      </c>
      <c r="AU162" s="28">
        <f t="shared" si="97"/>
        <v>0</v>
      </c>
      <c r="AV162" s="19">
        <f t="shared" si="98"/>
        <v>0</v>
      </c>
      <c r="AW162" s="19">
        <f t="shared" si="99"/>
        <v>0</v>
      </c>
      <c r="AX162" s="27">
        <f t="shared" si="100"/>
        <v>0</v>
      </c>
      <c r="AY162" s="1" t="e">
        <f t="shared" si="101"/>
        <v>#DIV/0!</v>
      </c>
      <c r="AZ162" s="1" t="e">
        <f t="shared" si="102"/>
        <v>#DIV/0!</v>
      </c>
    </row>
    <row r="163" spans="1:52" hidden="1" x14ac:dyDescent="0.35">
      <c r="A163" s="6" t="s">
        <v>423</v>
      </c>
      <c r="B163" s="6">
        <v>15</v>
      </c>
      <c r="C163" s="2" t="e">
        <f>+VLOOKUP(E163,inventario!#REF!,2,0)</f>
        <v>#REF!</v>
      </c>
      <c r="D163" t="str">
        <f t="shared" si="72"/>
        <v>701</v>
      </c>
      <c r="E163" t="s">
        <v>98</v>
      </c>
      <c r="F163" s="6" t="str">
        <f>+IFERROR(VLOOKUP(E163,#REF!,29,0),"C")</f>
        <v>C</v>
      </c>
      <c r="G163" s="6" t="str">
        <f>+IFERROR(VLOOKUP(E163,#REF!,34,0),"C")</f>
        <v>C</v>
      </c>
      <c r="H163" s="64">
        <f>+IFERROR(VLOOKUP(E163,#REF!,31,0),0)</f>
        <v>0</v>
      </c>
      <c r="I163" s="44">
        <f>+IFERROR(VLOOKUP(E163,#REF!,26,0),0)</f>
        <v>0</v>
      </c>
      <c r="J163" s="44">
        <f>+IFERROR(VLOOKUP(E163,#REF!,30,0),0)</f>
        <v>0</v>
      </c>
      <c r="K163" s="3"/>
      <c r="L163" s="25">
        <f t="shared" si="73"/>
        <v>0.7</v>
      </c>
      <c r="M163" s="26">
        <f t="shared" si="74"/>
        <v>0.52440051270804078</v>
      </c>
      <c r="O163">
        <f>+IFERROR(VLOOKUP(D163,lt!A:J,10,0),15)</f>
        <v>23</v>
      </c>
      <c r="P163">
        <v>2</v>
      </c>
      <c r="Q163">
        <v>1</v>
      </c>
      <c r="R163">
        <v>2</v>
      </c>
      <c r="S163" s="22">
        <f t="shared" si="75"/>
        <v>28</v>
      </c>
      <c r="T163" s="9">
        <v>3</v>
      </c>
      <c r="U163" s="23">
        <f t="shared" si="76"/>
        <v>1.0333333333333334</v>
      </c>
      <c r="V163" s="11">
        <f t="shared" si="77"/>
        <v>0</v>
      </c>
      <c r="W163" s="11">
        <f t="shared" si="78"/>
        <v>0</v>
      </c>
      <c r="X163" s="11">
        <f t="shared" si="79"/>
        <v>0</v>
      </c>
      <c r="Y163" s="11">
        <f t="shared" si="80"/>
        <v>0</v>
      </c>
      <c r="Z163" s="65">
        <f t="shared" si="81"/>
        <v>0</v>
      </c>
      <c r="AA163" s="24">
        <f t="shared" si="82"/>
        <v>0</v>
      </c>
      <c r="AB163">
        <f t="shared" si="83"/>
        <v>0</v>
      </c>
      <c r="AC163" s="46">
        <f>+IFERROR(VLOOKUP(E163,#REF!,24,0),0.2)</f>
        <v>0.2</v>
      </c>
      <c r="AD163" s="42">
        <f>+IFERROR(VLOOKUP(E163,h!$C:$D,2,0),0.3866)</f>
        <v>0.38610833333333339</v>
      </c>
      <c r="AE163" s="42">
        <f>+VLOOKUP(A163,k!$A$1:$G$4,5,0)</f>
        <v>0.35799365240740744</v>
      </c>
      <c r="AF163" s="47">
        <f t="shared" si="84"/>
        <v>0.94410198574074089</v>
      </c>
      <c r="AG163" s="48">
        <f t="shared" si="85"/>
        <v>0.1132922382888889</v>
      </c>
      <c r="AH163" s="20">
        <f>+IFERROR(VLOOKUP(C163,k!$A$7:$L$13,7,0),0)</f>
        <v>0</v>
      </c>
      <c r="AI163" s="20">
        <f t="shared" si="86"/>
        <v>0</v>
      </c>
      <c r="AJ163" s="5">
        <f t="shared" si="87"/>
        <v>0</v>
      </c>
      <c r="AK163" s="57">
        <f t="shared" si="88"/>
        <v>0</v>
      </c>
      <c r="AL163" s="19">
        <f t="shared" si="89"/>
        <v>0</v>
      </c>
      <c r="AM163" s="20">
        <f t="shared" si="90"/>
        <v>0</v>
      </c>
      <c r="AN163" s="27">
        <f t="shared" si="91"/>
        <v>0</v>
      </c>
      <c r="AO163" s="57">
        <f t="shared" si="103"/>
        <v>0</v>
      </c>
      <c r="AP163" s="19">
        <f t="shared" si="92"/>
        <v>0</v>
      </c>
      <c r="AQ163" s="20">
        <f t="shared" si="93"/>
        <v>0</v>
      </c>
      <c r="AR163" s="58">
        <f t="shared" si="94"/>
        <v>0</v>
      </c>
      <c r="AS163" s="1">
        <f t="shared" si="95"/>
        <v>0</v>
      </c>
      <c r="AT163" s="21">
        <f t="shared" si="96"/>
        <v>0</v>
      </c>
      <c r="AU163" s="28">
        <f t="shared" si="97"/>
        <v>0</v>
      </c>
      <c r="AV163" s="19">
        <f t="shared" si="98"/>
        <v>0</v>
      </c>
      <c r="AW163" s="19">
        <f t="shared" si="99"/>
        <v>0</v>
      </c>
      <c r="AX163" s="27">
        <f t="shared" si="100"/>
        <v>0</v>
      </c>
      <c r="AY163" s="1" t="e">
        <f t="shared" si="101"/>
        <v>#DIV/0!</v>
      </c>
      <c r="AZ163" s="1" t="e">
        <f t="shared" si="102"/>
        <v>#DIV/0!</v>
      </c>
    </row>
    <row r="164" spans="1:52" hidden="1" x14ac:dyDescent="0.35">
      <c r="A164" s="6" t="s">
        <v>423</v>
      </c>
      <c r="B164" s="6">
        <v>35</v>
      </c>
      <c r="C164" s="2" t="e">
        <f>+VLOOKUP(E164,inventario!#REF!,2,0)</f>
        <v>#REF!</v>
      </c>
      <c r="D164" t="str">
        <f t="shared" si="72"/>
        <v>214</v>
      </c>
      <c r="E164" t="s">
        <v>186</v>
      </c>
      <c r="F164" s="6" t="str">
        <f>+IFERROR(VLOOKUP(E164,#REF!,29,0),"C")</f>
        <v>C</v>
      </c>
      <c r="G164" s="6" t="str">
        <f>+IFERROR(VLOOKUP(E164,#REF!,34,0),"C")</f>
        <v>C</v>
      </c>
      <c r="H164" s="64">
        <f>+IFERROR(VLOOKUP(E164,#REF!,31,0),0)</f>
        <v>0</v>
      </c>
      <c r="I164" s="44">
        <f>+IFERROR(VLOOKUP(E164,#REF!,26,0),0)</f>
        <v>0</v>
      </c>
      <c r="J164" s="44">
        <f>+IFERROR(VLOOKUP(E164,#REF!,30,0),0)</f>
        <v>0</v>
      </c>
      <c r="K164" s="3"/>
      <c r="L164" s="25">
        <f t="shared" si="73"/>
        <v>0.7</v>
      </c>
      <c r="M164" s="26">
        <f t="shared" si="74"/>
        <v>0.52440051270804078</v>
      </c>
      <c r="O164">
        <f>+IFERROR(VLOOKUP(D164,lt!A:J,10,0),15)</f>
        <v>20</v>
      </c>
      <c r="P164">
        <v>2</v>
      </c>
      <c r="Q164">
        <v>1</v>
      </c>
      <c r="R164">
        <v>2</v>
      </c>
      <c r="S164" s="22">
        <f t="shared" si="75"/>
        <v>25</v>
      </c>
      <c r="T164" s="9">
        <v>3</v>
      </c>
      <c r="U164" s="23">
        <f t="shared" si="76"/>
        <v>0.93333333333333335</v>
      </c>
      <c r="V164" s="11">
        <f t="shared" si="77"/>
        <v>0</v>
      </c>
      <c r="W164" s="11">
        <f t="shared" si="78"/>
        <v>0</v>
      </c>
      <c r="X164" s="11">
        <f t="shared" si="79"/>
        <v>0</v>
      </c>
      <c r="Y164" s="11">
        <f t="shared" si="80"/>
        <v>0</v>
      </c>
      <c r="Z164" s="65">
        <f t="shared" si="81"/>
        <v>0</v>
      </c>
      <c r="AA164" s="24">
        <f t="shared" si="82"/>
        <v>0</v>
      </c>
      <c r="AB164">
        <f t="shared" si="83"/>
        <v>0</v>
      </c>
      <c r="AC164" s="46">
        <f>+IFERROR(VLOOKUP(E164,#REF!,24,0),0.2)</f>
        <v>0.2</v>
      </c>
      <c r="AD164" s="42">
        <f>+IFERROR(VLOOKUP(E164,h!$C:$D,2,0),0.3866)</f>
        <v>0.38610833333333339</v>
      </c>
      <c r="AE164" s="42">
        <f>+VLOOKUP(A164,k!$A$1:$G$4,5,0)</f>
        <v>0.35799365240740744</v>
      </c>
      <c r="AF164" s="47">
        <f t="shared" si="84"/>
        <v>0.94410198574074089</v>
      </c>
      <c r="AG164" s="48">
        <f t="shared" si="85"/>
        <v>0.1132922382888889</v>
      </c>
      <c r="AH164" s="20">
        <f>+IFERROR(VLOOKUP(C164,k!$A$7:$L$13,7,0),0)</f>
        <v>0</v>
      </c>
      <c r="AI164" s="20">
        <f t="shared" si="86"/>
        <v>0</v>
      </c>
      <c r="AJ164" s="5">
        <f t="shared" si="87"/>
        <v>0</v>
      </c>
      <c r="AK164" s="57">
        <f t="shared" si="88"/>
        <v>0</v>
      </c>
      <c r="AL164" s="19">
        <f t="shared" si="89"/>
        <v>0</v>
      </c>
      <c r="AM164" s="20">
        <f t="shared" si="90"/>
        <v>0</v>
      </c>
      <c r="AN164" s="27">
        <f t="shared" si="91"/>
        <v>0</v>
      </c>
      <c r="AO164" s="57">
        <f t="shared" si="103"/>
        <v>0</v>
      </c>
      <c r="AP164" s="19">
        <f t="shared" si="92"/>
        <v>0</v>
      </c>
      <c r="AQ164" s="20">
        <f t="shared" si="93"/>
        <v>0</v>
      </c>
      <c r="AR164" s="58">
        <f t="shared" si="94"/>
        <v>0</v>
      </c>
      <c r="AS164" s="1">
        <f t="shared" si="95"/>
        <v>0</v>
      </c>
      <c r="AT164" s="21">
        <f t="shared" si="96"/>
        <v>0</v>
      </c>
      <c r="AU164" s="28">
        <f t="shared" si="97"/>
        <v>0</v>
      </c>
      <c r="AV164" s="19">
        <f t="shared" si="98"/>
        <v>0</v>
      </c>
      <c r="AW164" s="19">
        <f t="shared" si="99"/>
        <v>0</v>
      </c>
      <c r="AX164" s="27">
        <f t="shared" si="100"/>
        <v>0</v>
      </c>
      <c r="AY164" s="1" t="e">
        <f t="shared" si="101"/>
        <v>#DIV/0!</v>
      </c>
      <c r="AZ164" s="1" t="e">
        <f t="shared" si="102"/>
        <v>#DIV/0!</v>
      </c>
    </row>
    <row r="165" spans="1:52" hidden="1" x14ac:dyDescent="0.35">
      <c r="A165" s="6" t="s">
        <v>423</v>
      </c>
      <c r="B165" s="6">
        <v>23</v>
      </c>
      <c r="C165" s="2" t="e">
        <f>+VLOOKUP(E165,inventario!#REF!,2,0)</f>
        <v>#REF!</v>
      </c>
      <c r="D165" t="str">
        <f t="shared" si="72"/>
        <v>45</v>
      </c>
      <c r="E165" t="s">
        <v>131</v>
      </c>
      <c r="F165" s="6" t="str">
        <f>+IFERROR(VLOOKUP(E165,#REF!,29,0),"C")</f>
        <v>C</v>
      </c>
      <c r="G165" s="6" t="str">
        <f>+IFERROR(VLOOKUP(E165,#REF!,34,0),"C")</f>
        <v>C</v>
      </c>
      <c r="H165" s="64">
        <f>+IFERROR(VLOOKUP(E165,#REF!,31,0),0)</f>
        <v>0</v>
      </c>
      <c r="I165" s="44">
        <f>+IFERROR(VLOOKUP(E165,#REF!,26,0),0)</f>
        <v>0</v>
      </c>
      <c r="J165" s="44">
        <f>+IFERROR(VLOOKUP(E165,#REF!,30,0),0)</f>
        <v>0</v>
      </c>
      <c r="K165" s="3"/>
      <c r="L165" s="25">
        <f t="shared" si="73"/>
        <v>0.7</v>
      </c>
      <c r="M165" s="26">
        <f t="shared" si="74"/>
        <v>0.52440051270804078</v>
      </c>
      <c r="O165">
        <f>+IFERROR(VLOOKUP(D165,lt!A:J,10,0),15)</f>
        <v>95</v>
      </c>
      <c r="P165">
        <v>2</v>
      </c>
      <c r="Q165">
        <v>1</v>
      </c>
      <c r="R165">
        <v>2</v>
      </c>
      <c r="S165" s="22">
        <f t="shared" si="75"/>
        <v>100</v>
      </c>
      <c r="T165" s="9">
        <v>3</v>
      </c>
      <c r="U165" s="23">
        <f t="shared" si="76"/>
        <v>3.4333333333333331</v>
      </c>
      <c r="V165" s="11">
        <f t="shared" si="77"/>
        <v>0</v>
      </c>
      <c r="W165" s="11">
        <f t="shared" si="78"/>
        <v>0</v>
      </c>
      <c r="X165" s="11">
        <f t="shared" si="79"/>
        <v>0</v>
      </c>
      <c r="Y165" s="11">
        <f t="shared" si="80"/>
        <v>0</v>
      </c>
      <c r="Z165" s="65">
        <f t="shared" si="81"/>
        <v>0</v>
      </c>
      <c r="AA165" s="24">
        <f t="shared" si="82"/>
        <v>0</v>
      </c>
      <c r="AB165">
        <f t="shared" si="83"/>
        <v>0</v>
      </c>
      <c r="AC165" s="46">
        <f>+IFERROR(VLOOKUP(E165,#REF!,24,0),0.2)</f>
        <v>0.2</v>
      </c>
      <c r="AD165" s="42">
        <f>+IFERROR(VLOOKUP(E165,h!$C:$D,2,0),0.3866)</f>
        <v>0.38610833333333339</v>
      </c>
      <c r="AE165" s="42">
        <f>+VLOOKUP(A165,k!$A$1:$G$4,5,0)</f>
        <v>0.35799365240740744</v>
      </c>
      <c r="AF165" s="47">
        <f t="shared" si="84"/>
        <v>0.94410198574074089</v>
      </c>
      <c r="AG165" s="48">
        <f t="shared" si="85"/>
        <v>0.1132922382888889</v>
      </c>
      <c r="AH165" s="20">
        <f>+IFERROR(VLOOKUP(C165,k!$A$7:$L$13,7,0),0)</f>
        <v>0</v>
      </c>
      <c r="AI165" s="20">
        <f t="shared" si="86"/>
        <v>0</v>
      </c>
      <c r="AJ165" s="5">
        <f t="shared" si="87"/>
        <v>0</v>
      </c>
      <c r="AK165" s="57">
        <f t="shared" si="88"/>
        <v>0</v>
      </c>
      <c r="AL165" s="19">
        <f t="shared" si="89"/>
        <v>0</v>
      </c>
      <c r="AM165" s="20">
        <f t="shared" si="90"/>
        <v>0</v>
      </c>
      <c r="AN165" s="27">
        <f t="shared" si="91"/>
        <v>0</v>
      </c>
      <c r="AO165" s="57">
        <f t="shared" si="103"/>
        <v>0</v>
      </c>
      <c r="AP165" s="19">
        <f t="shared" si="92"/>
        <v>0</v>
      </c>
      <c r="AQ165" s="20">
        <f t="shared" si="93"/>
        <v>0</v>
      </c>
      <c r="AR165" s="58">
        <f t="shared" si="94"/>
        <v>0</v>
      </c>
      <c r="AS165" s="1">
        <f t="shared" si="95"/>
        <v>0</v>
      </c>
      <c r="AT165" s="21">
        <f t="shared" si="96"/>
        <v>0</v>
      </c>
      <c r="AU165" s="28">
        <f t="shared" si="97"/>
        <v>0</v>
      </c>
      <c r="AV165" s="19">
        <f t="shared" si="98"/>
        <v>0</v>
      </c>
      <c r="AW165" s="19">
        <f t="shared" si="99"/>
        <v>0</v>
      </c>
      <c r="AX165" s="27">
        <f t="shared" si="100"/>
        <v>0</v>
      </c>
      <c r="AY165" s="1" t="e">
        <f t="shared" si="101"/>
        <v>#DIV/0!</v>
      </c>
      <c r="AZ165" s="1" t="e">
        <f t="shared" si="102"/>
        <v>#DIV/0!</v>
      </c>
    </row>
    <row r="166" spans="1:52" hidden="1" x14ac:dyDescent="0.35">
      <c r="A166" s="6" t="s">
        <v>422</v>
      </c>
      <c r="B166" s="6">
        <v>10</v>
      </c>
      <c r="C166" s="2" t="e">
        <f>+VLOOKUP(E166,inventario!#REF!,2,0)</f>
        <v>#REF!</v>
      </c>
      <c r="D166" t="str">
        <f t="shared" si="72"/>
        <v>14</v>
      </c>
      <c r="E166" t="s">
        <v>187</v>
      </c>
      <c r="F166" s="6" t="str">
        <f>+IFERROR(VLOOKUP(E166,#REF!,29,0),"C")</f>
        <v>C</v>
      </c>
      <c r="G166" s="6" t="str">
        <f>+IFERROR(VLOOKUP(E166,#REF!,34,0),"C")</f>
        <v>C</v>
      </c>
      <c r="H166" s="64">
        <f>+IFERROR(VLOOKUP(E166,#REF!,31,0),0)</f>
        <v>0</v>
      </c>
      <c r="I166" s="44">
        <f>+IFERROR(VLOOKUP(E166,#REF!,26,0),0)</f>
        <v>0</v>
      </c>
      <c r="J166" s="44">
        <f>+IFERROR(VLOOKUP(E166,#REF!,30,0),0)</f>
        <v>0</v>
      </c>
      <c r="K166" s="3"/>
      <c r="L166" s="25">
        <f t="shared" si="73"/>
        <v>0.7</v>
      </c>
      <c r="M166" s="26">
        <f t="shared" si="74"/>
        <v>0.52440051270804078</v>
      </c>
      <c r="O166">
        <f>+IFERROR(VLOOKUP(D166,lt!A:J,10,0),15)</f>
        <v>17</v>
      </c>
      <c r="P166">
        <v>2</v>
      </c>
      <c r="Q166">
        <v>1</v>
      </c>
      <c r="R166">
        <v>2</v>
      </c>
      <c r="S166" s="22">
        <f t="shared" si="75"/>
        <v>22</v>
      </c>
      <c r="T166" s="9">
        <v>3</v>
      </c>
      <c r="U166" s="23">
        <f t="shared" si="76"/>
        <v>0.83333333333333337</v>
      </c>
      <c r="V166" s="11">
        <f t="shared" si="77"/>
        <v>0</v>
      </c>
      <c r="W166" s="11">
        <f t="shared" si="78"/>
        <v>0</v>
      </c>
      <c r="X166" s="11">
        <f t="shared" si="79"/>
        <v>0</v>
      </c>
      <c r="Y166" s="11">
        <f t="shared" si="80"/>
        <v>0</v>
      </c>
      <c r="Z166" s="65">
        <f t="shared" si="81"/>
        <v>0</v>
      </c>
      <c r="AA166" s="24">
        <f t="shared" si="82"/>
        <v>0</v>
      </c>
      <c r="AB166">
        <f t="shared" si="83"/>
        <v>0</v>
      </c>
      <c r="AC166" s="46">
        <f>+IFERROR(VLOOKUP(E166,#REF!,24,0),0.2)</f>
        <v>0.2</v>
      </c>
      <c r="AD166" s="42">
        <f>+IFERROR(VLOOKUP(E166,h!$C:$D,2,0),0.3866)</f>
        <v>0.38610833333333339</v>
      </c>
      <c r="AE166" s="42">
        <f>+VLOOKUP(A166,k!$A$1:$G$4,5,0)</f>
        <v>8.9120712962962964E-2</v>
      </c>
      <c r="AF166" s="47">
        <f t="shared" si="84"/>
        <v>0.67522904629629643</v>
      </c>
      <c r="AG166" s="48">
        <f t="shared" si="85"/>
        <v>8.102748555555557E-2</v>
      </c>
      <c r="AH166" s="20">
        <f>+IFERROR(VLOOKUP(C166,k!$A$7:$L$13,7,0),0)</f>
        <v>0</v>
      </c>
      <c r="AI166" s="20">
        <f t="shared" si="86"/>
        <v>0</v>
      </c>
      <c r="AJ166" s="5">
        <f t="shared" si="87"/>
        <v>0</v>
      </c>
      <c r="AK166" s="57">
        <f t="shared" si="88"/>
        <v>0</v>
      </c>
      <c r="AL166" s="19">
        <f t="shared" si="89"/>
        <v>0</v>
      </c>
      <c r="AM166" s="20">
        <f t="shared" si="90"/>
        <v>0</v>
      </c>
      <c r="AN166" s="27">
        <f t="shared" si="91"/>
        <v>0</v>
      </c>
      <c r="AO166" s="57">
        <f t="shared" si="103"/>
        <v>0</v>
      </c>
      <c r="AP166" s="19">
        <f t="shared" si="92"/>
        <v>0</v>
      </c>
      <c r="AQ166" s="20">
        <f t="shared" si="93"/>
        <v>0</v>
      </c>
      <c r="AR166" s="58">
        <f t="shared" si="94"/>
        <v>0</v>
      </c>
      <c r="AS166" s="1">
        <f t="shared" si="95"/>
        <v>0</v>
      </c>
      <c r="AT166" s="21">
        <f t="shared" si="96"/>
        <v>0</v>
      </c>
      <c r="AU166" s="28">
        <f t="shared" si="97"/>
        <v>0</v>
      </c>
      <c r="AV166" s="19">
        <f t="shared" si="98"/>
        <v>0</v>
      </c>
      <c r="AW166" s="19">
        <f t="shared" si="99"/>
        <v>0</v>
      </c>
      <c r="AX166" s="27">
        <f t="shared" si="100"/>
        <v>0</v>
      </c>
      <c r="AY166" s="1" t="e">
        <f t="shared" si="101"/>
        <v>#DIV/0!</v>
      </c>
      <c r="AZ166" s="1" t="e">
        <f t="shared" si="102"/>
        <v>#DIV/0!</v>
      </c>
    </row>
    <row r="167" spans="1:52" hidden="1" x14ac:dyDescent="0.35">
      <c r="A167" s="6" t="s">
        <v>423</v>
      </c>
      <c r="B167" s="6">
        <v>10</v>
      </c>
      <c r="C167" s="2" t="e">
        <f>+VLOOKUP(E167,inventario!#REF!,2,0)</f>
        <v>#REF!</v>
      </c>
      <c r="D167" t="str">
        <f t="shared" si="72"/>
        <v>211</v>
      </c>
      <c r="E167" t="s">
        <v>188</v>
      </c>
      <c r="F167" s="6" t="str">
        <f>+IFERROR(VLOOKUP(E167,#REF!,29,0),"C")</f>
        <v>C</v>
      </c>
      <c r="G167" s="6" t="str">
        <f>+IFERROR(VLOOKUP(E167,#REF!,34,0),"C")</f>
        <v>C</v>
      </c>
      <c r="H167" s="64">
        <f>+IFERROR(VLOOKUP(E167,#REF!,31,0),0)</f>
        <v>0</v>
      </c>
      <c r="I167" s="44">
        <f>+IFERROR(VLOOKUP(E167,#REF!,26,0),0)</f>
        <v>0</v>
      </c>
      <c r="J167" s="44">
        <f>+IFERROR(VLOOKUP(E167,#REF!,30,0),0)</f>
        <v>0</v>
      </c>
      <c r="K167" s="3"/>
      <c r="L167" s="25">
        <f t="shared" si="73"/>
        <v>0.7</v>
      </c>
      <c r="M167" s="26">
        <f t="shared" si="74"/>
        <v>0.52440051270804078</v>
      </c>
      <c r="O167">
        <f>+IFERROR(VLOOKUP(D167,lt!A:J,10,0),15)</f>
        <v>25</v>
      </c>
      <c r="P167">
        <v>2</v>
      </c>
      <c r="Q167">
        <v>1</v>
      </c>
      <c r="R167">
        <v>2</v>
      </c>
      <c r="S167" s="22">
        <f t="shared" si="75"/>
        <v>30</v>
      </c>
      <c r="T167" s="9">
        <v>3</v>
      </c>
      <c r="U167" s="23">
        <f t="shared" si="76"/>
        <v>1.1000000000000001</v>
      </c>
      <c r="V167" s="11">
        <f t="shared" si="77"/>
        <v>0</v>
      </c>
      <c r="W167" s="11">
        <f t="shared" si="78"/>
        <v>0</v>
      </c>
      <c r="X167" s="11">
        <f t="shared" si="79"/>
        <v>0</v>
      </c>
      <c r="Y167" s="11">
        <f t="shared" si="80"/>
        <v>0</v>
      </c>
      <c r="Z167" s="65">
        <f t="shared" si="81"/>
        <v>0</v>
      </c>
      <c r="AA167" s="24">
        <f t="shared" si="82"/>
        <v>0</v>
      </c>
      <c r="AB167">
        <f t="shared" si="83"/>
        <v>0</v>
      </c>
      <c r="AC167" s="46">
        <f>+IFERROR(VLOOKUP(E167,#REF!,24,0),0.2)</f>
        <v>0.2</v>
      </c>
      <c r="AD167" s="42">
        <f>+IFERROR(VLOOKUP(E167,h!$C:$D,2,0),0.3866)</f>
        <v>0.38610833333333339</v>
      </c>
      <c r="AE167" s="42">
        <f>+VLOOKUP(A167,k!$A$1:$G$4,5,0)</f>
        <v>0.35799365240740744</v>
      </c>
      <c r="AF167" s="47">
        <f t="shared" si="84"/>
        <v>0.94410198574074089</v>
      </c>
      <c r="AG167" s="48">
        <f t="shared" si="85"/>
        <v>0.1132922382888889</v>
      </c>
      <c r="AH167" s="20">
        <f>+IFERROR(VLOOKUP(C167,k!$A$7:$L$13,7,0),0)</f>
        <v>0</v>
      </c>
      <c r="AI167" s="20">
        <f t="shared" si="86"/>
        <v>0</v>
      </c>
      <c r="AJ167" s="5">
        <f t="shared" si="87"/>
        <v>0</v>
      </c>
      <c r="AK167" s="57">
        <f t="shared" si="88"/>
        <v>0</v>
      </c>
      <c r="AL167" s="19">
        <f t="shared" si="89"/>
        <v>0</v>
      </c>
      <c r="AM167" s="20">
        <f t="shared" si="90"/>
        <v>0</v>
      </c>
      <c r="AN167" s="27">
        <f t="shared" si="91"/>
        <v>0</v>
      </c>
      <c r="AO167" s="57">
        <f t="shared" si="103"/>
        <v>0</v>
      </c>
      <c r="AP167" s="19">
        <f t="shared" si="92"/>
        <v>0</v>
      </c>
      <c r="AQ167" s="20">
        <f t="shared" si="93"/>
        <v>0</v>
      </c>
      <c r="AR167" s="58">
        <f t="shared" si="94"/>
        <v>0</v>
      </c>
      <c r="AS167" s="1">
        <f t="shared" si="95"/>
        <v>0</v>
      </c>
      <c r="AT167" s="21">
        <f t="shared" si="96"/>
        <v>0</v>
      </c>
      <c r="AU167" s="28">
        <f t="shared" si="97"/>
        <v>0</v>
      </c>
      <c r="AV167" s="19">
        <f t="shared" si="98"/>
        <v>0</v>
      </c>
      <c r="AW167" s="19">
        <f t="shared" si="99"/>
        <v>0</v>
      </c>
      <c r="AX167" s="27">
        <f t="shared" si="100"/>
        <v>0</v>
      </c>
      <c r="AY167" s="1" t="e">
        <f t="shared" si="101"/>
        <v>#DIV/0!</v>
      </c>
      <c r="AZ167" s="1" t="e">
        <f t="shared" si="102"/>
        <v>#DIV/0!</v>
      </c>
    </row>
    <row r="168" spans="1:52" hidden="1" x14ac:dyDescent="0.35">
      <c r="A168" s="6" t="s">
        <v>423</v>
      </c>
      <c r="B168" s="6">
        <v>1000</v>
      </c>
      <c r="C168" s="2" t="e">
        <f>+VLOOKUP(E168,inventario!#REF!,2,0)</f>
        <v>#REF!</v>
      </c>
      <c r="D168" t="str">
        <f t="shared" si="72"/>
        <v>1041</v>
      </c>
      <c r="E168" s="55" t="s">
        <v>189</v>
      </c>
      <c r="F168" s="6" t="str">
        <f>+IFERROR(VLOOKUP(E168,#REF!,29,0),"C")</f>
        <v>C</v>
      </c>
      <c r="G168" s="6" t="str">
        <f>+IFERROR(VLOOKUP(E168,#REF!,34,0),"C")</f>
        <v>C</v>
      </c>
      <c r="H168" s="64">
        <f>+IFERROR(VLOOKUP(E168,#REF!,31,0),0)</f>
        <v>0</v>
      </c>
      <c r="I168" s="44">
        <f>+IFERROR(VLOOKUP(E168,#REF!,26,0),0)</f>
        <v>0</v>
      </c>
      <c r="J168" s="44">
        <f>+IFERROR(VLOOKUP(E168,#REF!,30,0),0)</f>
        <v>0</v>
      </c>
      <c r="L168" s="25">
        <f t="shared" si="73"/>
        <v>0.7</v>
      </c>
      <c r="M168" s="26">
        <f t="shared" si="74"/>
        <v>0.52440051270804078</v>
      </c>
      <c r="O168">
        <f>+IFERROR(VLOOKUP(D168,lt!A:J,10,0),15)</f>
        <v>15</v>
      </c>
      <c r="P168">
        <v>2</v>
      </c>
      <c r="Q168">
        <v>1</v>
      </c>
      <c r="R168">
        <v>2</v>
      </c>
      <c r="S168" s="22">
        <f t="shared" si="75"/>
        <v>20</v>
      </c>
      <c r="T168" s="9">
        <v>3</v>
      </c>
      <c r="U168" s="23">
        <f t="shared" si="76"/>
        <v>0.76666666666666672</v>
      </c>
      <c r="V168" s="11">
        <f t="shared" si="77"/>
        <v>0</v>
      </c>
      <c r="W168" s="11">
        <f t="shared" si="78"/>
        <v>0</v>
      </c>
      <c r="X168" s="11">
        <f t="shared" si="79"/>
        <v>0</v>
      </c>
      <c r="Y168" s="11">
        <f t="shared" si="80"/>
        <v>0</v>
      </c>
      <c r="Z168" s="65">
        <f t="shared" si="81"/>
        <v>0</v>
      </c>
      <c r="AA168" s="24">
        <f t="shared" si="82"/>
        <v>0</v>
      </c>
      <c r="AB168">
        <f t="shared" si="83"/>
        <v>0</v>
      </c>
      <c r="AC168" s="46">
        <f>+IFERROR(VLOOKUP(E168,#REF!,24,0),0.2)</f>
        <v>0.2</v>
      </c>
      <c r="AD168" s="42">
        <f>+IFERROR(VLOOKUP(E168,h!$C:$D,2,0),0.3866)</f>
        <v>0.3866</v>
      </c>
      <c r="AE168" s="42">
        <f>+VLOOKUP(A168,k!$A$1:$G$4,5,0)</f>
        <v>0.35799365240740744</v>
      </c>
      <c r="AF168" s="47">
        <f t="shared" si="84"/>
        <v>0.94459365240740745</v>
      </c>
      <c r="AG168" s="48">
        <f t="shared" si="85"/>
        <v>0.11335123828888889</v>
      </c>
      <c r="AH168" s="20">
        <f>+IFERROR(VLOOKUP(C168,k!$A$7:$L$13,7,0),0)</f>
        <v>0</v>
      </c>
      <c r="AI168" s="20">
        <f t="shared" si="86"/>
        <v>0</v>
      </c>
      <c r="AJ168" s="5">
        <f t="shared" si="87"/>
        <v>0</v>
      </c>
      <c r="AK168" s="57">
        <f t="shared" si="88"/>
        <v>0</v>
      </c>
      <c r="AL168" s="19">
        <f t="shared" si="89"/>
        <v>0</v>
      </c>
      <c r="AM168" s="20">
        <f t="shared" si="90"/>
        <v>0</v>
      </c>
      <c r="AN168" s="27">
        <f t="shared" si="91"/>
        <v>0</v>
      </c>
      <c r="AO168" s="57">
        <f t="shared" si="103"/>
        <v>0</v>
      </c>
      <c r="AP168" s="19">
        <f t="shared" si="92"/>
        <v>0</v>
      </c>
      <c r="AQ168" s="20">
        <f t="shared" si="93"/>
        <v>0</v>
      </c>
      <c r="AR168" s="58">
        <f t="shared" si="94"/>
        <v>0</v>
      </c>
      <c r="AS168" s="1">
        <f t="shared" si="95"/>
        <v>0</v>
      </c>
      <c r="AT168" s="21">
        <f t="shared" si="96"/>
        <v>0</v>
      </c>
      <c r="AU168" s="28">
        <f t="shared" si="97"/>
        <v>0</v>
      </c>
      <c r="AV168" s="19">
        <f t="shared" si="98"/>
        <v>0</v>
      </c>
      <c r="AW168" s="19">
        <f t="shared" si="99"/>
        <v>0</v>
      </c>
      <c r="AX168" s="27">
        <f t="shared" si="100"/>
        <v>0</v>
      </c>
      <c r="AY168" s="1" t="e">
        <f t="shared" si="101"/>
        <v>#DIV/0!</v>
      </c>
      <c r="AZ168" s="1" t="e">
        <f t="shared" si="102"/>
        <v>#DIV/0!</v>
      </c>
    </row>
    <row r="169" spans="1:52" hidden="1" x14ac:dyDescent="0.35">
      <c r="A169" s="6" t="s">
        <v>422</v>
      </c>
      <c r="B169" s="6">
        <v>33</v>
      </c>
      <c r="C169" s="2" t="e">
        <f>+VLOOKUP(E169,inventario!#REF!,2,0)</f>
        <v>#REF!</v>
      </c>
      <c r="D169" t="str">
        <f t="shared" si="72"/>
        <v>40</v>
      </c>
      <c r="E169" t="s">
        <v>95</v>
      </c>
      <c r="F169" s="6" t="str">
        <f>+IFERROR(VLOOKUP(E169,#REF!,29,0),"C")</f>
        <v>C</v>
      </c>
      <c r="G169" s="6" t="str">
        <f>+IFERROR(VLOOKUP(E169,#REF!,34,0),"C")</f>
        <v>C</v>
      </c>
      <c r="H169" s="64">
        <f>+IFERROR(VLOOKUP(E169,#REF!,31,0),0)</f>
        <v>0</v>
      </c>
      <c r="I169" s="44">
        <f>+IFERROR(VLOOKUP(E169,#REF!,26,0),0)</f>
        <v>0</v>
      </c>
      <c r="J169" s="44">
        <f>+IFERROR(VLOOKUP(E169,#REF!,30,0),0)</f>
        <v>0</v>
      </c>
      <c r="K169" s="3"/>
      <c r="L169" s="25">
        <f t="shared" si="73"/>
        <v>0.7</v>
      </c>
      <c r="M169" s="26">
        <f t="shared" si="74"/>
        <v>0.52440051270804078</v>
      </c>
      <c r="O169">
        <f>+IFERROR(VLOOKUP(D169,lt!A:J,10,0),15)</f>
        <v>23</v>
      </c>
      <c r="P169">
        <v>2</v>
      </c>
      <c r="Q169">
        <v>1</v>
      </c>
      <c r="R169">
        <v>2</v>
      </c>
      <c r="S169" s="22">
        <f t="shared" si="75"/>
        <v>28</v>
      </c>
      <c r="T169" s="9">
        <v>3</v>
      </c>
      <c r="U169" s="23">
        <f t="shared" si="76"/>
        <v>1.0333333333333334</v>
      </c>
      <c r="V169" s="11">
        <f t="shared" si="77"/>
        <v>0</v>
      </c>
      <c r="W169" s="11">
        <f t="shared" si="78"/>
        <v>0</v>
      </c>
      <c r="X169" s="11">
        <f t="shared" si="79"/>
        <v>0</v>
      </c>
      <c r="Y169" s="11">
        <f t="shared" si="80"/>
        <v>0</v>
      </c>
      <c r="Z169" s="65">
        <f t="shared" si="81"/>
        <v>0</v>
      </c>
      <c r="AA169" s="24">
        <f t="shared" si="82"/>
        <v>0</v>
      </c>
      <c r="AB169">
        <f t="shared" si="83"/>
        <v>0</v>
      </c>
      <c r="AC169" s="46">
        <f>+IFERROR(VLOOKUP(E169,#REF!,24,0),0.2)</f>
        <v>0.2</v>
      </c>
      <c r="AD169" s="42">
        <f>+IFERROR(VLOOKUP(E169,h!$C:$D,2,0),0.3866)</f>
        <v>0.38610833333333339</v>
      </c>
      <c r="AE169" s="42">
        <f>+VLOOKUP(A169,k!$A$1:$G$4,5,0)</f>
        <v>8.9120712962962964E-2</v>
      </c>
      <c r="AF169" s="47">
        <f t="shared" si="84"/>
        <v>0.67522904629629643</v>
      </c>
      <c r="AG169" s="48">
        <f t="shared" si="85"/>
        <v>8.102748555555557E-2</v>
      </c>
      <c r="AH169" s="20">
        <f>+IFERROR(VLOOKUP(C169,k!$A$7:$L$13,7,0),0)</f>
        <v>0</v>
      </c>
      <c r="AI169" s="20">
        <f t="shared" si="86"/>
        <v>0</v>
      </c>
      <c r="AJ169" s="5">
        <f t="shared" si="87"/>
        <v>0</v>
      </c>
      <c r="AK169" s="57">
        <f t="shared" si="88"/>
        <v>0</v>
      </c>
      <c r="AL169" s="19">
        <f t="shared" si="89"/>
        <v>0</v>
      </c>
      <c r="AM169" s="20">
        <f t="shared" si="90"/>
        <v>0</v>
      </c>
      <c r="AN169" s="27">
        <f t="shared" si="91"/>
        <v>0</v>
      </c>
      <c r="AO169" s="57">
        <f t="shared" si="103"/>
        <v>0</v>
      </c>
      <c r="AP169" s="19">
        <f t="shared" si="92"/>
        <v>0</v>
      </c>
      <c r="AQ169" s="20">
        <f t="shared" si="93"/>
        <v>0</v>
      </c>
      <c r="AR169" s="58">
        <f t="shared" si="94"/>
        <v>0</v>
      </c>
      <c r="AS169" s="1">
        <f t="shared" si="95"/>
        <v>0</v>
      </c>
      <c r="AT169" s="21">
        <f t="shared" si="96"/>
        <v>0</v>
      </c>
      <c r="AU169" s="28">
        <f t="shared" si="97"/>
        <v>0</v>
      </c>
      <c r="AV169" s="19">
        <f t="shared" si="98"/>
        <v>0</v>
      </c>
      <c r="AW169" s="19">
        <f t="shared" si="99"/>
        <v>0</v>
      </c>
      <c r="AX169" s="27">
        <f t="shared" si="100"/>
        <v>0</v>
      </c>
      <c r="AY169" s="1" t="e">
        <f t="shared" si="101"/>
        <v>#DIV/0!</v>
      </c>
      <c r="AZ169" s="1" t="e">
        <f t="shared" si="102"/>
        <v>#DIV/0!</v>
      </c>
    </row>
    <row r="170" spans="1:52" hidden="1" x14ac:dyDescent="0.35">
      <c r="A170" s="6" t="s">
        <v>423</v>
      </c>
      <c r="B170" s="6">
        <v>10</v>
      </c>
      <c r="C170" s="2" t="e">
        <f>+VLOOKUP(E170,inventario!#REF!,2,0)</f>
        <v>#REF!</v>
      </c>
      <c r="D170" t="str">
        <f t="shared" si="72"/>
        <v>301</v>
      </c>
      <c r="E170" t="s">
        <v>96</v>
      </c>
      <c r="F170" s="6" t="str">
        <f>+IFERROR(VLOOKUP(E170,#REF!,29,0),"C")</f>
        <v>C</v>
      </c>
      <c r="G170" s="6" t="str">
        <f>+IFERROR(VLOOKUP(E170,#REF!,34,0),"C")</f>
        <v>C</v>
      </c>
      <c r="H170" s="64">
        <f>+IFERROR(VLOOKUP(E170,#REF!,31,0),0)</f>
        <v>0</v>
      </c>
      <c r="I170" s="44">
        <f>+IFERROR(VLOOKUP(E170,#REF!,26,0),0)</f>
        <v>0</v>
      </c>
      <c r="J170" s="44">
        <f>+IFERROR(VLOOKUP(E170,#REF!,30,0),0)</f>
        <v>0</v>
      </c>
      <c r="K170" s="3"/>
      <c r="L170" s="25">
        <f t="shared" si="73"/>
        <v>0.7</v>
      </c>
      <c r="M170" s="26">
        <f t="shared" si="74"/>
        <v>0.52440051270804078</v>
      </c>
      <c r="O170">
        <f>+IFERROR(VLOOKUP(D170,lt!A:J,10,0),15)</f>
        <v>25</v>
      </c>
      <c r="P170">
        <v>2</v>
      </c>
      <c r="Q170">
        <v>1</v>
      </c>
      <c r="R170">
        <v>2</v>
      </c>
      <c r="S170" s="22">
        <f t="shared" si="75"/>
        <v>30</v>
      </c>
      <c r="T170" s="9">
        <v>3</v>
      </c>
      <c r="U170" s="23">
        <f t="shared" si="76"/>
        <v>1.1000000000000001</v>
      </c>
      <c r="V170" s="11">
        <f t="shared" si="77"/>
        <v>0</v>
      </c>
      <c r="W170" s="11">
        <f t="shared" si="78"/>
        <v>0</v>
      </c>
      <c r="X170" s="11">
        <f t="shared" si="79"/>
        <v>0</v>
      </c>
      <c r="Y170" s="11">
        <f t="shared" si="80"/>
        <v>0</v>
      </c>
      <c r="Z170" s="65">
        <f t="shared" si="81"/>
        <v>0</v>
      </c>
      <c r="AA170" s="24">
        <f t="shared" si="82"/>
        <v>0</v>
      </c>
      <c r="AB170">
        <f t="shared" si="83"/>
        <v>0</v>
      </c>
      <c r="AC170" s="46">
        <f>+IFERROR(VLOOKUP(E170,#REF!,24,0),0.2)</f>
        <v>0.2</v>
      </c>
      <c r="AD170" s="42">
        <f>+IFERROR(VLOOKUP(E170,h!$C:$D,2,0),0.3866)</f>
        <v>0.38610833333333339</v>
      </c>
      <c r="AE170" s="42">
        <f>+VLOOKUP(A170,k!$A$1:$G$4,5,0)</f>
        <v>0.35799365240740744</v>
      </c>
      <c r="AF170" s="47">
        <f t="shared" si="84"/>
        <v>0.94410198574074089</v>
      </c>
      <c r="AG170" s="48">
        <f t="shared" si="85"/>
        <v>0.1132922382888889</v>
      </c>
      <c r="AH170" s="20">
        <f>+IFERROR(VLOOKUP(C170,k!$A$7:$L$13,7,0),0)</f>
        <v>0</v>
      </c>
      <c r="AI170" s="20">
        <f t="shared" si="86"/>
        <v>0</v>
      </c>
      <c r="AJ170" s="5">
        <f t="shared" si="87"/>
        <v>0</v>
      </c>
      <c r="AK170" s="57">
        <f t="shared" si="88"/>
        <v>0</v>
      </c>
      <c r="AL170" s="19">
        <f t="shared" si="89"/>
        <v>0</v>
      </c>
      <c r="AM170" s="20">
        <f t="shared" si="90"/>
        <v>0</v>
      </c>
      <c r="AN170" s="27">
        <f t="shared" si="91"/>
        <v>0</v>
      </c>
      <c r="AO170" s="57">
        <f t="shared" si="103"/>
        <v>0</v>
      </c>
      <c r="AP170" s="19">
        <f t="shared" si="92"/>
        <v>0</v>
      </c>
      <c r="AQ170" s="20">
        <f t="shared" si="93"/>
        <v>0</v>
      </c>
      <c r="AR170" s="58">
        <f t="shared" si="94"/>
        <v>0</v>
      </c>
      <c r="AS170" s="1">
        <f t="shared" si="95"/>
        <v>0</v>
      </c>
      <c r="AT170" s="21">
        <f t="shared" si="96"/>
        <v>0</v>
      </c>
      <c r="AU170" s="28">
        <f t="shared" si="97"/>
        <v>0</v>
      </c>
      <c r="AV170" s="19">
        <f t="shared" si="98"/>
        <v>0</v>
      </c>
      <c r="AW170" s="19">
        <f t="shared" si="99"/>
        <v>0</v>
      </c>
      <c r="AX170" s="27">
        <f t="shared" si="100"/>
        <v>0</v>
      </c>
      <c r="AY170" s="1" t="e">
        <f t="shared" si="101"/>
        <v>#DIV/0!</v>
      </c>
      <c r="AZ170" s="1" t="e">
        <f t="shared" si="102"/>
        <v>#DIV/0!</v>
      </c>
    </row>
    <row r="171" spans="1:52" hidden="1" x14ac:dyDescent="0.35">
      <c r="A171" s="6" t="s">
        <v>423</v>
      </c>
      <c r="B171" s="6">
        <v>33</v>
      </c>
      <c r="C171" s="2" t="s">
        <v>104</v>
      </c>
      <c r="D171" t="str">
        <f t="shared" si="72"/>
        <v>106</v>
      </c>
      <c r="E171" t="s">
        <v>191</v>
      </c>
      <c r="F171" s="6" t="str">
        <f>+IFERROR(VLOOKUP(E171,#REF!,29,0),"C")</f>
        <v>C</v>
      </c>
      <c r="G171" s="6" t="str">
        <f>+IFERROR(VLOOKUP(E171,#REF!,34,0),"C")</f>
        <v>C</v>
      </c>
      <c r="H171" s="64">
        <f>+IFERROR(VLOOKUP(E171,#REF!,31,0),0)</f>
        <v>0</v>
      </c>
      <c r="I171" s="44">
        <f>+IFERROR(VLOOKUP(E171,#REF!,26,0),0)</f>
        <v>0</v>
      </c>
      <c r="J171" s="44">
        <f>+IFERROR(VLOOKUP(E171,#REF!,30,0),0)</f>
        <v>0</v>
      </c>
      <c r="K171" s="3"/>
      <c r="L171" s="25">
        <f t="shared" si="73"/>
        <v>0.7</v>
      </c>
      <c r="M171" s="26">
        <f t="shared" si="74"/>
        <v>0.52440051270804078</v>
      </c>
      <c r="O171">
        <f>+IFERROR(VLOOKUP(D171,lt!A:J,10,0),15)</f>
        <v>15</v>
      </c>
      <c r="P171">
        <v>2</v>
      </c>
      <c r="Q171">
        <v>1</v>
      </c>
      <c r="R171">
        <v>2</v>
      </c>
      <c r="S171" s="22">
        <f t="shared" si="75"/>
        <v>20</v>
      </c>
      <c r="T171" s="9">
        <v>3</v>
      </c>
      <c r="U171" s="23">
        <f t="shared" si="76"/>
        <v>0.76666666666666672</v>
      </c>
      <c r="V171" s="11">
        <f t="shared" si="77"/>
        <v>0</v>
      </c>
      <c r="W171" s="11">
        <f t="shared" si="78"/>
        <v>0</v>
      </c>
      <c r="X171" s="11">
        <f t="shared" si="79"/>
        <v>0</v>
      </c>
      <c r="Y171" s="11">
        <f t="shared" si="80"/>
        <v>0</v>
      </c>
      <c r="Z171" s="65">
        <f t="shared" si="81"/>
        <v>0</v>
      </c>
      <c r="AA171" s="24">
        <f t="shared" si="82"/>
        <v>0</v>
      </c>
      <c r="AB171">
        <f t="shared" si="83"/>
        <v>0</v>
      </c>
      <c r="AC171" s="46">
        <f>+IFERROR(VLOOKUP(E171,#REF!,24,0),0.2)</f>
        <v>0.2</v>
      </c>
      <c r="AD171" s="42">
        <f>+IFERROR(VLOOKUP(E171,h!$C:$D,2,0),0.3866)</f>
        <v>0.38610833333333339</v>
      </c>
      <c r="AE171" s="42">
        <f>+VLOOKUP(A171,k!$A$1:$G$4,5,0)</f>
        <v>0.35799365240740744</v>
      </c>
      <c r="AF171" s="47">
        <f t="shared" si="84"/>
        <v>0.94410198574074089</v>
      </c>
      <c r="AG171" s="48">
        <f t="shared" si="85"/>
        <v>0.1132922382888889</v>
      </c>
      <c r="AH171" s="20">
        <f>+IFERROR(VLOOKUP(C171,k!$A$7:$L$13,7,0),0)</f>
        <v>7.4001689814814817</v>
      </c>
      <c r="AI171" s="20">
        <f t="shared" si="86"/>
        <v>0</v>
      </c>
      <c r="AJ171" s="5">
        <f t="shared" si="87"/>
        <v>7.4001689814814817</v>
      </c>
      <c r="AK171" s="57">
        <f t="shared" si="88"/>
        <v>0</v>
      </c>
      <c r="AL171" s="19">
        <f t="shared" si="89"/>
        <v>0</v>
      </c>
      <c r="AM171" s="20">
        <f t="shared" si="90"/>
        <v>0</v>
      </c>
      <c r="AN171" s="27">
        <f t="shared" si="91"/>
        <v>0</v>
      </c>
      <c r="AO171" s="57">
        <f t="shared" si="103"/>
        <v>0</v>
      </c>
      <c r="AP171" s="19">
        <f t="shared" si="92"/>
        <v>0</v>
      </c>
      <c r="AQ171" s="20">
        <f t="shared" si="93"/>
        <v>0</v>
      </c>
      <c r="AR171" s="58">
        <f t="shared" si="94"/>
        <v>0</v>
      </c>
      <c r="AS171" s="1">
        <f t="shared" si="95"/>
        <v>0</v>
      </c>
      <c r="AT171" s="21">
        <f t="shared" si="96"/>
        <v>0</v>
      </c>
      <c r="AU171" s="28">
        <f t="shared" si="97"/>
        <v>0</v>
      </c>
      <c r="AV171" s="19">
        <f t="shared" si="98"/>
        <v>0</v>
      </c>
      <c r="AW171" s="19">
        <f t="shared" si="99"/>
        <v>0</v>
      </c>
      <c r="AX171" s="27">
        <f t="shared" si="100"/>
        <v>0</v>
      </c>
      <c r="AY171" s="1" t="e">
        <f t="shared" si="101"/>
        <v>#DIV/0!</v>
      </c>
      <c r="AZ171" s="1" t="e">
        <f t="shared" si="102"/>
        <v>#DIV/0!</v>
      </c>
    </row>
    <row r="172" spans="1:52" hidden="1" x14ac:dyDescent="0.35">
      <c r="A172" s="6" t="s">
        <v>423</v>
      </c>
      <c r="B172" s="6">
        <v>1000</v>
      </c>
      <c r="C172" s="2" t="e">
        <f>+VLOOKUP(E172,inventario!#REF!,2,0)</f>
        <v>#REF!</v>
      </c>
      <c r="D172" t="str">
        <f t="shared" si="72"/>
        <v>4300</v>
      </c>
      <c r="E172" t="s">
        <v>787</v>
      </c>
      <c r="F172" s="6" t="str">
        <f>+IFERROR(VLOOKUP(E172,#REF!,29,0),"C")</f>
        <v>C</v>
      </c>
      <c r="G172" s="6" t="str">
        <f>+IFERROR(VLOOKUP(E172,#REF!,34,0),"C")</f>
        <v>C</v>
      </c>
      <c r="H172" s="64">
        <f>+IFERROR(VLOOKUP(E172,#REF!,31,0),0)</f>
        <v>0</v>
      </c>
      <c r="I172" s="44">
        <f>+IFERROR(VLOOKUP(E172,#REF!,26,0),0)</f>
        <v>0</v>
      </c>
      <c r="J172" s="44">
        <f>+IFERROR(VLOOKUP(E172,#REF!,30,0),0)</f>
        <v>0</v>
      </c>
      <c r="K172" s="3"/>
      <c r="L172" s="25">
        <f t="shared" si="73"/>
        <v>0.7</v>
      </c>
      <c r="M172" s="26">
        <f t="shared" si="74"/>
        <v>0.52440051270804078</v>
      </c>
      <c r="O172">
        <f>+IFERROR(VLOOKUP(D172,lt!A:J,10,0),15)</f>
        <v>15</v>
      </c>
      <c r="P172">
        <v>2</v>
      </c>
      <c r="Q172">
        <v>1</v>
      </c>
      <c r="R172">
        <v>2</v>
      </c>
      <c r="S172" s="22">
        <f t="shared" si="75"/>
        <v>20</v>
      </c>
      <c r="T172" s="9">
        <v>3</v>
      </c>
      <c r="U172" s="23">
        <f t="shared" si="76"/>
        <v>0.76666666666666672</v>
      </c>
      <c r="V172" s="11">
        <f t="shared" si="77"/>
        <v>0</v>
      </c>
      <c r="W172" s="11">
        <f t="shared" si="78"/>
        <v>0</v>
      </c>
      <c r="X172" s="11">
        <f t="shared" si="79"/>
        <v>0</v>
      </c>
      <c r="Y172" s="11">
        <f t="shared" si="80"/>
        <v>0</v>
      </c>
      <c r="Z172" s="65">
        <f t="shared" si="81"/>
        <v>0</v>
      </c>
      <c r="AA172" s="24">
        <f t="shared" si="82"/>
        <v>0</v>
      </c>
      <c r="AB172">
        <f t="shared" si="83"/>
        <v>0</v>
      </c>
      <c r="AC172" s="46">
        <f>+IFERROR(VLOOKUP(E172,#REF!,24,0),0.2)</f>
        <v>0.2</v>
      </c>
      <c r="AD172" s="42">
        <f>+IFERROR(VLOOKUP(E172,h!$C:$D,2,0),0.3866)</f>
        <v>0.38610833333333339</v>
      </c>
      <c r="AE172" s="42">
        <f>+VLOOKUP(A172,k!$A$1:$G$4,5,0)</f>
        <v>0.35799365240740744</v>
      </c>
      <c r="AF172" s="47">
        <f t="shared" si="84"/>
        <v>0.94410198574074089</v>
      </c>
      <c r="AG172" s="48">
        <f t="shared" si="85"/>
        <v>0.1132922382888889</v>
      </c>
      <c r="AH172" s="20">
        <f>+IFERROR(VLOOKUP(C172,k!$A$7:$L$13,7,0),0)</f>
        <v>0</v>
      </c>
      <c r="AI172" s="20">
        <f t="shared" si="86"/>
        <v>0</v>
      </c>
      <c r="AJ172" s="5">
        <f t="shared" si="87"/>
        <v>0</v>
      </c>
      <c r="AK172" s="57">
        <f t="shared" si="88"/>
        <v>0</v>
      </c>
      <c r="AL172" s="19">
        <f t="shared" si="89"/>
        <v>0</v>
      </c>
      <c r="AM172" s="20">
        <f t="shared" si="90"/>
        <v>0</v>
      </c>
      <c r="AN172" s="27">
        <f t="shared" si="91"/>
        <v>0</v>
      </c>
      <c r="AO172" s="57">
        <f t="shared" si="103"/>
        <v>0</v>
      </c>
      <c r="AP172" s="19">
        <f t="shared" si="92"/>
        <v>0</v>
      </c>
      <c r="AQ172" s="20">
        <f t="shared" si="93"/>
        <v>0</v>
      </c>
      <c r="AR172" s="58">
        <f t="shared" si="94"/>
        <v>0</v>
      </c>
      <c r="AS172" s="1">
        <f t="shared" si="95"/>
        <v>0</v>
      </c>
      <c r="AT172" s="21">
        <f t="shared" si="96"/>
        <v>0</v>
      </c>
      <c r="AU172" s="28">
        <f t="shared" si="97"/>
        <v>0</v>
      </c>
      <c r="AV172" s="19">
        <f t="shared" si="98"/>
        <v>0</v>
      </c>
      <c r="AW172" s="19">
        <f t="shared" si="99"/>
        <v>0</v>
      </c>
      <c r="AX172" s="27">
        <f t="shared" si="100"/>
        <v>0</v>
      </c>
      <c r="AY172" s="1" t="e">
        <f t="shared" si="101"/>
        <v>#DIV/0!</v>
      </c>
      <c r="AZ172" s="1" t="e">
        <f t="shared" si="102"/>
        <v>#DIV/0!</v>
      </c>
    </row>
    <row r="173" spans="1:52" hidden="1" x14ac:dyDescent="0.35">
      <c r="A173" s="6" t="s">
        <v>423</v>
      </c>
      <c r="B173" s="6">
        <v>1000</v>
      </c>
      <c r="C173" s="2" t="e">
        <f>+VLOOKUP(E173,inventario!#REF!,2,0)</f>
        <v>#REF!</v>
      </c>
      <c r="D173" t="str">
        <f t="shared" si="72"/>
        <v>9504</v>
      </c>
      <c r="E173" s="55" t="s">
        <v>1040</v>
      </c>
      <c r="F173" s="6" t="str">
        <f>+IFERROR(VLOOKUP(E173,#REF!,29,0),"C")</f>
        <v>C</v>
      </c>
      <c r="G173" s="6" t="str">
        <f>+IFERROR(VLOOKUP(E173,#REF!,34,0),"C")</f>
        <v>C</v>
      </c>
      <c r="H173" s="64">
        <f>+IFERROR(VLOOKUP(E173,#REF!,31,0),0)</f>
        <v>0</v>
      </c>
      <c r="I173" s="44">
        <f>+IFERROR(VLOOKUP(E173,#REF!,26,0),0)</f>
        <v>0</v>
      </c>
      <c r="J173" s="44">
        <f>+IFERROR(VLOOKUP(E173,#REF!,30,0),0)</f>
        <v>0</v>
      </c>
      <c r="L173" s="25">
        <f t="shared" si="73"/>
        <v>0.7</v>
      </c>
      <c r="M173" s="26">
        <f t="shared" si="74"/>
        <v>0.52440051270804078</v>
      </c>
      <c r="O173">
        <f>+IFERROR(VLOOKUP(D173,lt!A:J,10,0),15)</f>
        <v>15</v>
      </c>
      <c r="P173">
        <v>2</v>
      </c>
      <c r="Q173">
        <v>1</v>
      </c>
      <c r="R173">
        <v>2</v>
      </c>
      <c r="S173" s="22">
        <f t="shared" si="75"/>
        <v>20</v>
      </c>
      <c r="T173" s="9">
        <v>3</v>
      </c>
      <c r="U173" s="23">
        <f t="shared" si="76"/>
        <v>0.76666666666666672</v>
      </c>
      <c r="V173" s="11">
        <f t="shared" si="77"/>
        <v>0</v>
      </c>
      <c r="W173" s="11">
        <f t="shared" si="78"/>
        <v>0</v>
      </c>
      <c r="X173" s="11">
        <f t="shared" si="79"/>
        <v>0</v>
      </c>
      <c r="Y173" s="11">
        <f t="shared" si="80"/>
        <v>0</v>
      </c>
      <c r="Z173" s="65">
        <f t="shared" si="81"/>
        <v>0</v>
      </c>
      <c r="AA173" s="24">
        <f t="shared" si="82"/>
        <v>0</v>
      </c>
      <c r="AB173">
        <f t="shared" si="83"/>
        <v>0</v>
      </c>
      <c r="AC173" s="46">
        <f>+IFERROR(VLOOKUP(E173,#REF!,24,0),0.2)</f>
        <v>0.2</v>
      </c>
      <c r="AD173" s="42">
        <f>+IFERROR(VLOOKUP(E173,h!$C:$D,2,0),0.3866)</f>
        <v>0.3866</v>
      </c>
      <c r="AE173" s="42">
        <f>+VLOOKUP(A173,k!$A$1:$G$4,5,0)</f>
        <v>0.35799365240740744</v>
      </c>
      <c r="AF173" s="47">
        <f t="shared" si="84"/>
        <v>0.94459365240740745</v>
      </c>
      <c r="AG173" s="48">
        <f t="shared" si="85"/>
        <v>0.11335123828888889</v>
      </c>
      <c r="AH173" s="20">
        <f>+IFERROR(VLOOKUP(C173,k!$A$7:$L$13,7,0),0)</f>
        <v>0</v>
      </c>
      <c r="AI173" s="20">
        <f t="shared" si="86"/>
        <v>0</v>
      </c>
      <c r="AJ173" s="5">
        <f t="shared" si="87"/>
        <v>0</v>
      </c>
      <c r="AK173" s="57">
        <f t="shared" si="88"/>
        <v>0</v>
      </c>
      <c r="AL173" s="19">
        <f t="shared" si="89"/>
        <v>0</v>
      </c>
      <c r="AM173" s="20">
        <f t="shared" si="90"/>
        <v>0</v>
      </c>
      <c r="AN173" s="27">
        <f t="shared" si="91"/>
        <v>0</v>
      </c>
      <c r="AO173" s="57">
        <f t="shared" si="103"/>
        <v>0</v>
      </c>
      <c r="AP173" s="19">
        <f t="shared" si="92"/>
        <v>0</v>
      </c>
      <c r="AQ173" s="20">
        <f t="shared" si="93"/>
        <v>0</v>
      </c>
      <c r="AR173" s="58">
        <f t="shared" si="94"/>
        <v>0</v>
      </c>
      <c r="AS173" s="1">
        <f t="shared" si="95"/>
        <v>0</v>
      </c>
      <c r="AT173" s="21">
        <f t="shared" si="96"/>
        <v>0</v>
      </c>
      <c r="AU173" s="28">
        <f t="shared" si="97"/>
        <v>0</v>
      </c>
      <c r="AV173" s="19">
        <f t="shared" si="98"/>
        <v>0</v>
      </c>
      <c r="AW173" s="19">
        <f t="shared" si="99"/>
        <v>0</v>
      </c>
      <c r="AX173" s="27">
        <f t="shared" si="100"/>
        <v>0</v>
      </c>
      <c r="AY173" s="1" t="e">
        <f t="shared" si="101"/>
        <v>#DIV/0!</v>
      </c>
      <c r="AZ173" s="1" t="e">
        <f t="shared" si="102"/>
        <v>#DIV/0!</v>
      </c>
    </row>
    <row r="174" spans="1:52" hidden="1" x14ac:dyDescent="0.35">
      <c r="A174" s="6" t="s">
        <v>423</v>
      </c>
      <c r="B174" s="6">
        <v>1000</v>
      </c>
      <c r="C174" s="2" t="e">
        <f>+VLOOKUP(E174,inventario!#REF!,2,0)</f>
        <v>#REF!</v>
      </c>
      <c r="D174" t="str">
        <f t="shared" si="72"/>
        <v>2435</v>
      </c>
      <c r="E174" t="s">
        <v>801</v>
      </c>
      <c r="F174" s="6" t="str">
        <f>+IFERROR(VLOOKUP(E174,#REF!,29,0),"C")</f>
        <v>C</v>
      </c>
      <c r="G174" s="6" t="str">
        <f>+IFERROR(VLOOKUP(E174,#REF!,34,0),"C")</f>
        <v>C</v>
      </c>
      <c r="H174" s="64">
        <f>+IFERROR(VLOOKUP(E174,#REF!,31,0),0)</f>
        <v>0</v>
      </c>
      <c r="I174" s="44">
        <f>+IFERROR(VLOOKUP(E174,#REF!,26,0),0)</f>
        <v>0</v>
      </c>
      <c r="J174" s="44">
        <f>+IFERROR(VLOOKUP(E174,#REF!,30,0),0)</f>
        <v>0</v>
      </c>
      <c r="K174" s="3"/>
      <c r="L174" s="25">
        <f t="shared" si="73"/>
        <v>0.7</v>
      </c>
      <c r="M174" s="26">
        <f t="shared" si="74"/>
        <v>0.52440051270804078</v>
      </c>
      <c r="O174">
        <f>+IFERROR(VLOOKUP(D174,lt!A:J,10,0),15)</f>
        <v>15</v>
      </c>
      <c r="P174">
        <v>2</v>
      </c>
      <c r="Q174">
        <v>1</v>
      </c>
      <c r="R174">
        <v>2</v>
      </c>
      <c r="S174" s="22">
        <f t="shared" si="75"/>
        <v>20</v>
      </c>
      <c r="T174" s="9">
        <v>3</v>
      </c>
      <c r="U174" s="23">
        <f t="shared" si="76"/>
        <v>0.76666666666666672</v>
      </c>
      <c r="V174" s="11">
        <f t="shared" si="77"/>
        <v>0</v>
      </c>
      <c r="W174" s="11">
        <f t="shared" si="78"/>
        <v>0</v>
      </c>
      <c r="X174" s="11">
        <f t="shared" si="79"/>
        <v>0</v>
      </c>
      <c r="Y174" s="11">
        <f t="shared" si="80"/>
        <v>0</v>
      </c>
      <c r="Z174" s="65">
        <f t="shared" si="81"/>
        <v>0</v>
      </c>
      <c r="AA174" s="24">
        <f t="shared" si="82"/>
        <v>0</v>
      </c>
      <c r="AB174">
        <f t="shared" si="83"/>
        <v>0</v>
      </c>
      <c r="AC174" s="46">
        <f>+IFERROR(VLOOKUP(E174,#REF!,24,0),0.2)</f>
        <v>0.2</v>
      </c>
      <c r="AD174" s="42">
        <f>+IFERROR(VLOOKUP(E174,h!$C:$D,2,0),0.3866)</f>
        <v>0.38610833333333339</v>
      </c>
      <c r="AE174" s="42">
        <f>+VLOOKUP(A174,k!$A$1:$G$4,5,0)</f>
        <v>0.35799365240740744</v>
      </c>
      <c r="AF174" s="47">
        <f t="shared" si="84"/>
        <v>0.94410198574074089</v>
      </c>
      <c r="AG174" s="48">
        <f t="shared" si="85"/>
        <v>0.1132922382888889</v>
      </c>
      <c r="AH174" s="20">
        <f>+IFERROR(VLOOKUP(C174,k!$A$7:$L$13,7,0),0)</f>
        <v>0</v>
      </c>
      <c r="AI174" s="20">
        <f t="shared" si="86"/>
        <v>0</v>
      </c>
      <c r="AJ174" s="5">
        <f t="shared" si="87"/>
        <v>0</v>
      </c>
      <c r="AK174" s="57">
        <f t="shared" si="88"/>
        <v>0</v>
      </c>
      <c r="AL174" s="19">
        <f t="shared" si="89"/>
        <v>0</v>
      </c>
      <c r="AM174" s="20">
        <f t="shared" si="90"/>
        <v>0</v>
      </c>
      <c r="AN174" s="27">
        <f t="shared" si="91"/>
        <v>0</v>
      </c>
      <c r="AO174" s="57">
        <f t="shared" si="103"/>
        <v>0</v>
      </c>
      <c r="AP174" s="19">
        <f t="shared" si="92"/>
        <v>0</v>
      </c>
      <c r="AQ174" s="20">
        <f t="shared" si="93"/>
        <v>0</v>
      </c>
      <c r="AR174" s="58">
        <f t="shared" si="94"/>
        <v>0</v>
      </c>
      <c r="AS174" s="1">
        <f t="shared" si="95"/>
        <v>0</v>
      </c>
      <c r="AT174" s="21">
        <f t="shared" si="96"/>
        <v>0</v>
      </c>
      <c r="AU174" s="28">
        <f t="shared" si="97"/>
        <v>0</v>
      </c>
      <c r="AV174" s="19">
        <f t="shared" si="98"/>
        <v>0</v>
      </c>
      <c r="AW174" s="19">
        <f t="shared" si="99"/>
        <v>0</v>
      </c>
      <c r="AX174" s="27">
        <f t="shared" si="100"/>
        <v>0</v>
      </c>
      <c r="AY174" s="1" t="e">
        <f t="shared" si="101"/>
        <v>#DIV/0!</v>
      </c>
      <c r="AZ174" s="1" t="e">
        <f t="shared" si="102"/>
        <v>#DIV/0!</v>
      </c>
    </row>
    <row r="175" spans="1:52" hidden="1" x14ac:dyDescent="0.35">
      <c r="A175" s="6" t="s">
        <v>423</v>
      </c>
      <c r="B175" s="6">
        <v>1000</v>
      </c>
      <c r="C175" s="2" t="e">
        <f>+VLOOKUP(E175,inventario!#REF!,2,0)</f>
        <v>#REF!</v>
      </c>
      <c r="D175" t="str">
        <f t="shared" si="72"/>
        <v>2434</v>
      </c>
      <c r="E175" t="s">
        <v>777</v>
      </c>
      <c r="F175" s="6" t="str">
        <f>+IFERROR(VLOOKUP(E175,#REF!,29,0),"C")</f>
        <v>C</v>
      </c>
      <c r="G175" s="6" t="str">
        <f>+IFERROR(VLOOKUP(E175,#REF!,34,0),"C")</f>
        <v>C</v>
      </c>
      <c r="H175" s="64">
        <f>+IFERROR(VLOOKUP(E175,#REF!,31,0),0)</f>
        <v>0</v>
      </c>
      <c r="I175" s="44">
        <f>+IFERROR(VLOOKUP(E175,#REF!,26,0),0)</f>
        <v>0</v>
      </c>
      <c r="J175" s="44">
        <f>+IFERROR(VLOOKUP(E175,#REF!,30,0),0)</f>
        <v>0</v>
      </c>
      <c r="K175" s="3"/>
      <c r="L175" s="25">
        <f t="shared" si="73"/>
        <v>0.7</v>
      </c>
      <c r="M175" s="26">
        <f t="shared" si="74"/>
        <v>0.52440051270804078</v>
      </c>
      <c r="O175">
        <f>+IFERROR(VLOOKUP(D175,lt!A:J,10,0),15)</f>
        <v>15</v>
      </c>
      <c r="P175">
        <v>2</v>
      </c>
      <c r="Q175">
        <v>1</v>
      </c>
      <c r="R175">
        <v>2</v>
      </c>
      <c r="S175" s="22">
        <f t="shared" si="75"/>
        <v>20</v>
      </c>
      <c r="T175" s="9">
        <v>3</v>
      </c>
      <c r="U175" s="23">
        <f t="shared" si="76"/>
        <v>0.76666666666666672</v>
      </c>
      <c r="V175" s="11">
        <f t="shared" si="77"/>
        <v>0</v>
      </c>
      <c r="W175" s="11">
        <f t="shared" si="78"/>
        <v>0</v>
      </c>
      <c r="X175" s="11">
        <f t="shared" si="79"/>
        <v>0</v>
      </c>
      <c r="Y175" s="11">
        <f t="shared" si="80"/>
        <v>0</v>
      </c>
      <c r="Z175" s="65">
        <f t="shared" si="81"/>
        <v>0</v>
      </c>
      <c r="AA175" s="24">
        <f t="shared" si="82"/>
        <v>0</v>
      </c>
      <c r="AB175">
        <f t="shared" si="83"/>
        <v>0</v>
      </c>
      <c r="AC175" s="46">
        <f>+IFERROR(VLOOKUP(E175,#REF!,24,0),0.2)</f>
        <v>0.2</v>
      </c>
      <c r="AD175" s="42">
        <f>+IFERROR(VLOOKUP(E175,h!$C:$D,2,0),0.3866)</f>
        <v>0.3866</v>
      </c>
      <c r="AE175" s="42">
        <f>+VLOOKUP(A175,k!$A$1:$G$4,5,0)</f>
        <v>0.35799365240740744</v>
      </c>
      <c r="AF175" s="47">
        <f t="shared" si="84"/>
        <v>0.94459365240740745</v>
      </c>
      <c r="AG175" s="48">
        <f t="shared" si="85"/>
        <v>0.11335123828888889</v>
      </c>
      <c r="AH175" s="20">
        <f>+IFERROR(VLOOKUP(C175,k!$A$7:$L$13,7,0),0)</f>
        <v>0</v>
      </c>
      <c r="AI175" s="20">
        <f t="shared" si="86"/>
        <v>0</v>
      </c>
      <c r="AJ175" s="5">
        <f t="shared" si="87"/>
        <v>0</v>
      </c>
      <c r="AK175" s="57">
        <f t="shared" si="88"/>
        <v>0</v>
      </c>
      <c r="AL175" s="19">
        <f t="shared" si="89"/>
        <v>0</v>
      </c>
      <c r="AM175" s="20">
        <f t="shared" si="90"/>
        <v>0</v>
      </c>
      <c r="AN175" s="27">
        <f t="shared" si="91"/>
        <v>0</v>
      </c>
      <c r="AO175" s="57">
        <f t="shared" si="103"/>
        <v>0</v>
      </c>
      <c r="AP175" s="19">
        <f t="shared" si="92"/>
        <v>0</v>
      </c>
      <c r="AQ175" s="20">
        <f t="shared" si="93"/>
        <v>0</v>
      </c>
      <c r="AR175" s="58">
        <f t="shared" si="94"/>
        <v>0</v>
      </c>
      <c r="AS175" s="1">
        <f t="shared" si="95"/>
        <v>0</v>
      </c>
      <c r="AT175" s="21">
        <f t="shared" si="96"/>
        <v>0</v>
      </c>
      <c r="AU175" s="28">
        <f t="shared" si="97"/>
        <v>0</v>
      </c>
      <c r="AV175" s="19">
        <f t="shared" si="98"/>
        <v>0</v>
      </c>
      <c r="AW175" s="19">
        <f t="shared" si="99"/>
        <v>0</v>
      </c>
      <c r="AX175" s="27">
        <f t="shared" si="100"/>
        <v>0</v>
      </c>
      <c r="AY175" s="1" t="e">
        <f t="shared" si="101"/>
        <v>#DIV/0!</v>
      </c>
      <c r="AZ175" s="1" t="e">
        <f t="shared" si="102"/>
        <v>#DIV/0!</v>
      </c>
    </row>
    <row r="176" spans="1:52" hidden="1" x14ac:dyDescent="0.35">
      <c r="A176" s="6" t="s">
        <v>423</v>
      </c>
      <c r="B176" s="6">
        <v>1000</v>
      </c>
      <c r="C176" s="2" t="e">
        <f>+VLOOKUP(E176,inventario!#REF!,2,0)</f>
        <v>#REF!</v>
      </c>
      <c r="D176" t="str">
        <f t="shared" si="72"/>
        <v>4200</v>
      </c>
      <c r="E176" t="s">
        <v>790</v>
      </c>
      <c r="F176" s="6" t="str">
        <f>+IFERROR(VLOOKUP(E176,#REF!,29,0),"C")</f>
        <v>C</v>
      </c>
      <c r="G176" s="6" t="str">
        <f>+IFERROR(VLOOKUP(E176,#REF!,34,0),"C")</f>
        <v>C</v>
      </c>
      <c r="H176" s="64">
        <f>+IFERROR(VLOOKUP(E176,#REF!,31,0),0)</f>
        <v>0</v>
      </c>
      <c r="I176" s="44">
        <f>+IFERROR(VLOOKUP(E176,#REF!,26,0),0)</f>
        <v>0</v>
      </c>
      <c r="J176" s="44">
        <f>+IFERROR(VLOOKUP(E176,#REF!,30,0),0)</f>
        <v>0</v>
      </c>
      <c r="K176" s="3"/>
      <c r="L176" s="25">
        <f t="shared" si="73"/>
        <v>0.7</v>
      </c>
      <c r="M176" s="26">
        <f t="shared" si="74"/>
        <v>0.52440051270804078</v>
      </c>
      <c r="O176">
        <f>+IFERROR(VLOOKUP(D176,lt!A:J,10,0),15)</f>
        <v>15</v>
      </c>
      <c r="P176">
        <v>2</v>
      </c>
      <c r="Q176">
        <v>1</v>
      </c>
      <c r="R176">
        <v>2</v>
      </c>
      <c r="S176" s="22">
        <f t="shared" si="75"/>
        <v>20</v>
      </c>
      <c r="T176" s="9">
        <v>3</v>
      </c>
      <c r="U176" s="23">
        <f t="shared" si="76"/>
        <v>0.76666666666666672</v>
      </c>
      <c r="V176" s="11">
        <f t="shared" si="77"/>
        <v>0</v>
      </c>
      <c r="W176" s="11">
        <f t="shared" si="78"/>
        <v>0</v>
      </c>
      <c r="X176" s="11">
        <f t="shared" si="79"/>
        <v>0</v>
      </c>
      <c r="Y176" s="11">
        <f t="shared" si="80"/>
        <v>0</v>
      </c>
      <c r="Z176" s="65">
        <f t="shared" si="81"/>
        <v>0</v>
      </c>
      <c r="AA176" s="24">
        <f t="shared" si="82"/>
        <v>0</v>
      </c>
      <c r="AB176">
        <f t="shared" si="83"/>
        <v>0</v>
      </c>
      <c r="AC176" s="46">
        <f>+IFERROR(VLOOKUP(E176,#REF!,24,0),0.2)</f>
        <v>0.2</v>
      </c>
      <c r="AD176" s="42">
        <f>+IFERROR(VLOOKUP(E176,h!$C:$D,2,0),0.3866)</f>
        <v>0.38610833333333339</v>
      </c>
      <c r="AE176" s="42">
        <f>+VLOOKUP(A176,k!$A$1:$G$4,5,0)</f>
        <v>0.35799365240740744</v>
      </c>
      <c r="AF176" s="47">
        <f t="shared" si="84"/>
        <v>0.94410198574074089</v>
      </c>
      <c r="AG176" s="48">
        <f t="shared" si="85"/>
        <v>0.1132922382888889</v>
      </c>
      <c r="AH176" s="20">
        <f>+IFERROR(VLOOKUP(C176,k!$A$7:$L$13,7,0),0)</f>
        <v>0</v>
      </c>
      <c r="AI176" s="20">
        <f t="shared" si="86"/>
        <v>0</v>
      </c>
      <c r="AJ176" s="5">
        <f t="shared" si="87"/>
        <v>0</v>
      </c>
      <c r="AK176" s="57">
        <f t="shared" si="88"/>
        <v>0</v>
      </c>
      <c r="AL176" s="19">
        <f t="shared" si="89"/>
        <v>0</v>
      </c>
      <c r="AM176" s="20">
        <f t="shared" si="90"/>
        <v>0</v>
      </c>
      <c r="AN176" s="27">
        <f t="shared" si="91"/>
        <v>0</v>
      </c>
      <c r="AO176" s="57">
        <f t="shared" si="103"/>
        <v>0</v>
      </c>
      <c r="AP176" s="19">
        <f t="shared" si="92"/>
        <v>0</v>
      </c>
      <c r="AQ176" s="20">
        <f t="shared" si="93"/>
        <v>0</v>
      </c>
      <c r="AR176" s="58">
        <f t="shared" si="94"/>
        <v>0</v>
      </c>
      <c r="AS176" s="1">
        <f t="shared" si="95"/>
        <v>0</v>
      </c>
      <c r="AT176" s="21">
        <f t="shared" si="96"/>
        <v>0</v>
      </c>
      <c r="AU176" s="28">
        <f t="shared" si="97"/>
        <v>0</v>
      </c>
      <c r="AV176" s="19">
        <f t="shared" si="98"/>
        <v>0</v>
      </c>
      <c r="AW176" s="19">
        <f t="shared" si="99"/>
        <v>0</v>
      </c>
      <c r="AX176" s="27">
        <f t="shared" si="100"/>
        <v>0</v>
      </c>
      <c r="AY176" s="1" t="e">
        <f t="shared" si="101"/>
        <v>#DIV/0!</v>
      </c>
      <c r="AZ176" s="1" t="e">
        <f t="shared" si="102"/>
        <v>#DIV/0!</v>
      </c>
    </row>
    <row r="177" spans="1:52" hidden="1" x14ac:dyDescent="0.35">
      <c r="A177" s="29" t="s">
        <v>423</v>
      </c>
      <c r="B177" s="6">
        <v>1000</v>
      </c>
      <c r="C177" s="2" t="e">
        <f>+VLOOKUP(E177,inventario!#REF!,2,0)</f>
        <v>#REF!</v>
      </c>
      <c r="D177" t="str">
        <f t="shared" si="72"/>
        <v>6410-FER</v>
      </c>
      <c r="E177" t="s">
        <v>783</v>
      </c>
      <c r="F177" s="6" t="str">
        <f>+IFERROR(VLOOKUP(E177,#REF!,29,0),"C")</f>
        <v>C</v>
      </c>
      <c r="G177" s="6" t="str">
        <f>+IFERROR(VLOOKUP(E177,#REF!,34,0),"C")</f>
        <v>C</v>
      </c>
      <c r="H177" s="64">
        <f>+IFERROR(VLOOKUP(E177,#REF!,31,0),0)</f>
        <v>0</v>
      </c>
      <c r="I177" s="44">
        <f>+IFERROR(VLOOKUP(E177,#REF!,26,0),0)</f>
        <v>0</v>
      </c>
      <c r="J177" s="44">
        <f>+IFERROR(VLOOKUP(E177,#REF!,30,0),0)</f>
        <v>0</v>
      </c>
      <c r="K177" s="3"/>
      <c r="L177" s="25">
        <f t="shared" si="73"/>
        <v>0.7</v>
      </c>
      <c r="M177" s="26">
        <f t="shared" si="74"/>
        <v>0.52440051270804078</v>
      </c>
      <c r="O177">
        <f>+IFERROR(VLOOKUP(D177,lt!A:J,10,0),15)</f>
        <v>15</v>
      </c>
      <c r="P177">
        <v>2</v>
      </c>
      <c r="Q177">
        <v>1</v>
      </c>
      <c r="R177">
        <v>2</v>
      </c>
      <c r="S177" s="22">
        <f t="shared" si="75"/>
        <v>20</v>
      </c>
      <c r="T177" s="9">
        <v>3</v>
      </c>
      <c r="U177" s="23">
        <f t="shared" si="76"/>
        <v>0.76666666666666672</v>
      </c>
      <c r="V177" s="11">
        <f t="shared" si="77"/>
        <v>0</v>
      </c>
      <c r="W177" s="11">
        <f t="shared" si="78"/>
        <v>0</v>
      </c>
      <c r="X177" s="11">
        <f t="shared" si="79"/>
        <v>0</v>
      </c>
      <c r="Y177" s="11">
        <f t="shared" si="80"/>
        <v>0</v>
      </c>
      <c r="Z177" s="65">
        <f t="shared" si="81"/>
        <v>0</v>
      </c>
      <c r="AA177" s="24">
        <f t="shared" si="82"/>
        <v>0</v>
      </c>
      <c r="AB177">
        <f t="shared" si="83"/>
        <v>0</v>
      </c>
      <c r="AC177" s="46">
        <f>+IFERROR(VLOOKUP(E177,#REF!,24,0),0.2)</f>
        <v>0.2</v>
      </c>
      <c r="AD177" s="42">
        <f>+IFERROR(VLOOKUP(E177,h!$C:$D,2,0),0.3866)</f>
        <v>0.38610833333333339</v>
      </c>
      <c r="AE177" s="42">
        <f>+VLOOKUP(A177,k!$A$1:$G$4,5,0)</f>
        <v>0.35799365240740744</v>
      </c>
      <c r="AF177" s="47">
        <f t="shared" si="84"/>
        <v>0.94410198574074089</v>
      </c>
      <c r="AG177" s="48">
        <f t="shared" si="85"/>
        <v>0.1132922382888889</v>
      </c>
      <c r="AH177" s="20">
        <f>+IFERROR(VLOOKUP(C177,k!$A$7:$L$13,7,0),0)</f>
        <v>0</v>
      </c>
      <c r="AI177" s="20">
        <f t="shared" si="86"/>
        <v>0</v>
      </c>
      <c r="AJ177" s="5">
        <f t="shared" si="87"/>
        <v>0</v>
      </c>
      <c r="AK177" s="57">
        <f t="shared" si="88"/>
        <v>0</v>
      </c>
      <c r="AL177" s="19">
        <f t="shared" si="89"/>
        <v>0</v>
      </c>
      <c r="AM177" s="20">
        <f t="shared" si="90"/>
        <v>0</v>
      </c>
      <c r="AN177" s="27">
        <f t="shared" si="91"/>
        <v>0</v>
      </c>
      <c r="AO177" s="57">
        <f t="shared" si="103"/>
        <v>0</v>
      </c>
      <c r="AP177" s="19">
        <f t="shared" si="92"/>
        <v>0</v>
      </c>
      <c r="AQ177" s="20">
        <f t="shared" si="93"/>
        <v>0</v>
      </c>
      <c r="AR177" s="58">
        <f t="shared" si="94"/>
        <v>0</v>
      </c>
      <c r="AS177" s="1">
        <f t="shared" si="95"/>
        <v>0</v>
      </c>
      <c r="AT177" s="21">
        <f t="shared" si="96"/>
        <v>0</v>
      </c>
      <c r="AU177" s="28">
        <f t="shared" si="97"/>
        <v>0</v>
      </c>
      <c r="AV177" s="19">
        <f t="shared" si="98"/>
        <v>0</v>
      </c>
      <c r="AW177" s="19">
        <f t="shared" si="99"/>
        <v>0</v>
      </c>
      <c r="AX177" s="27">
        <f t="shared" si="100"/>
        <v>0</v>
      </c>
      <c r="AY177" s="1" t="e">
        <f t="shared" si="101"/>
        <v>#DIV/0!</v>
      </c>
      <c r="AZ177" s="1" t="e">
        <f t="shared" si="102"/>
        <v>#DIV/0!</v>
      </c>
    </row>
    <row r="178" spans="1:52" hidden="1" x14ac:dyDescent="0.35">
      <c r="A178" s="29" t="s">
        <v>423</v>
      </c>
      <c r="B178" s="6">
        <v>1000</v>
      </c>
      <c r="C178" s="2" t="e">
        <f>+VLOOKUP(E178,inventario!#REF!,2,0)</f>
        <v>#REF!</v>
      </c>
      <c r="D178" t="str">
        <f t="shared" si="72"/>
        <v>6202-FER</v>
      </c>
      <c r="E178" s="67" t="s">
        <v>792</v>
      </c>
      <c r="F178" s="6" t="str">
        <f>+IFERROR(VLOOKUP(E178,#REF!,29,0),"C")</f>
        <v>C</v>
      </c>
      <c r="G178" s="6" t="str">
        <f>+IFERROR(VLOOKUP(E178,#REF!,34,0),"C")</f>
        <v>C</v>
      </c>
      <c r="H178" s="64">
        <f>+IFERROR(VLOOKUP(E178,#REF!,31,0),0)</f>
        <v>0</v>
      </c>
      <c r="I178" s="44">
        <f>+IFERROR(VLOOKUP(E178,#REF!,26,0),0)</f>
        <v>0</v>
      </c>
      <c r="J178" s="44">
        <f>+IFERROR(VLOOKUP(E178,#REF!,30,0),0)</f>
        <v>0</v>
      </c>
      <c r="K178" s="3"/>
      <c r="L178" s="25">
        <f t="shared" si="73"/>
        <v>0.7</v>
      </c>
      <c r="M178" s="26">
        <f t="shared" si="74"/>
        <v>0.52440051270804078</v>
      </c>
      <c r="O178">
        <f>+IFERROR(VLOOKUP(D178,lt!A:J,10,0),15)</f>
        <v>15</v>
      </c>
      <c r="P178">
        <v>2</v>
      </c>
      <c r="Q178">
        <v>1</v>
      </c>
      <c r="R178">
        <v>2</v>
      </c>
      <c r="S178" s="22">
        <f t="shared" si="75"/>
        <v>20</v>
      </c>
      <c r="T178" s="9">
        <v>3</v>
      </c>
      <c r="U178" s="23">
        <f t="shared" si="76"/>
        <v>0.76666666666666672</v>
      </c>
      <c r="V178" s="11">
        <f t="shared" si="77"/>
        <v>0</v>
      </c>
      <c r="W178" s="11">
        <f t="shared" si="78"/>
        <v>0</v>
      </c>
      <c r="X178" s="11">
        <f t="shared" si="79"/>
        <v>0</v>
      </c>
      <c r="Y178" s="11">
        <f t="shared" si="80"/>
        <v>0</v>
      </c>
      <c r="Z178" s="65">
        <f t="shared" si="81"/>
        <v>0</v>
      </c>
      <c r="AA178" s="24">
        <f t="shared" si="82"/>
        <v>0</v>
      </c>
      <c r="AB178">
        <f t="shared" si="83"/>
        <v>0</v>
      </c>
      <c r="AC178" s="46">
        <f>+IFERROR(VLOOKUP(E178,#REF!,24,0),0.2)</f>
        <v>0.2</v>
      </c>
      <c r="AD178" s="42">
        <f>+IFERROR(VLOOKUP(E178,h!$C:$D,2,0),0.3866)</f>
        <v>0.38610833333333339</v>
      </c>
      <c r="AE178" s="42">
        <f>+VLOOKUP(A178,k!$A$1:$G$4,5,0)</f>
        <v>0.35799365240740744</v>
      </c>
      <c r="AF178" s="47">
        <f t="shared" si="84"/>
        <v>0.94410198574074089</v>
      </c>
      <c r="AG178" s="48">
        <f t="shared" si="85"/>
        <v>0.1132922382888889</v>
      </c>
      <c r="AH178" s="20">
        <f>+IFERROR(VLOOKUP(C178,k!$A$7:$L$13,7,0),0)</f>
        <v>0</v>
      </c>
      <c r="AI178" s="20">
        <f t="shared" si="86"/>
        <v>0</v>
      </c>
      <c r="AJ178" s="5">
        <f t="shared" si="87"/>
        <v>0</v>
      </c>
      <c r="AK178" s="57">
        <f t="shared" si="88"/>
        <v>0</v>
      </c>
      <c r="AL178" s="19">
        <f t="shared" si="89"/>
        <v>0</v>
      </c>
      <c r="AM178" s="20">
        <f t="shared" si="90"/>
        <v>0</v>
      </c>
      <c r="AN178" s="27">
        <f t="shared" si="91"/>
        <v>0</v>
      </c>
      <c r="AO178" s="57">
        <f t="shared" si="103"/>
        <v>0</v>
      </c>
      <c r="AP178" s="19">
        <f t="shared" si="92"/>
        <v>0</v>
      </c>
      <c r="AQ178" s="20">
        <f t="shared" si="93"/>
        <v>0</v>
      </c>
      <c r="AR178" s="58">
        <f t="shared" si="94"/>
        <v>0</v>
      </c>
      <c r="AS178" s="1">
        <f t="shared" si="95"/>
        <v>0</v>
      </c>
      <c r="AT178" s="21">
        <f t="shared" si="96"/>
        <v>0</v>
      </c>
      <c r="AU178" s="28">
        <f t="shared" si="97"/>
        <v>0</v>
      </c>
      <c r="AV178" s="19">
        <f t="shared" si="98"/>
        <v>0</v>
      </c>
      <c r="AW178" s="19">
        <f t="shared" si="99"/>
        <v>0</v>
      </c>
      <c r="AX178" s="27">
        <f t="shared" si="100"/>
        <v>0</v>
      </c>
      <c r="AY178" s="1" t="e">
        <f t="shared" si="101"/>
        <v>#DIV/0!</v>
      </c>
      <c r="AZ178" s="1" t="e">
        <f t="shared" si="102"/>
        <v>#DIV/0!</v>
      </c>
    </row>
    <row r="179" spans="1:52" hidden="1" x14ac:dyDescent="0.35">
      <c r="A179" s="6" t="s">
        <v>423</v>
      </c>
      <c r="B179" s="6">
        <v>1000</v>
      </c>
      <c r="C179" s="2" t="e">
        <f>+VLOOKUP(E179,inventario!#REF!,2,0)</f>
        <v>#REF!</v>
      </c>
      <c r="D179" t="str">
        <f t="shared" si="72"/>
        <v>2408</v>
      </c>
      <c r="E179" s="66" t="s">
        <v>789</v>
      </c>
      <c r="F179" s="6" t="str">
        <f>+IFERROR(VLOOKUP(E179,#REF!,29,0),"C")</f>
        <v>C</v>
      </c>
      <c r="G179" s="6" t="str">
        <f>+IFERROR(VLOOKUP(E179,#REF!,34,0),"C")</f>
        <v>C</v>
      </c>
      <c r="H179" s="64">
        <f>+IFERROR(VLOOKUP(E179,#REF!,31,0),0)</f>
        <v>0</v>
      </c>
      <c r="I179" s="44">
        <f>+IFERROR(VLOOKUP(E179,#REF!,26,0),0)</f>
        <v>0</v>
      </c>
      <c r="J179" s="44">
        <f>+IFERROR(VLOOKUP(E179,#REF!,30,0),0)</f>
        <v>0</v>
      </c>
      <c r="K179" s="3"/>
      <c r="L179" s="25">
        <f t="shared" si="73"/>
        <v>0.7</v>
      </c>
      <c r="M179" s="26">
        <f t="shared" si="74"/>
        <v>0.52440051270804078</v>
      </c>
      <c r="O179">
        <f>+IFERROR(VLOOKUP(D179,lt!A:J,10,0),15)</f>
        <v>15</v>
      </c>
      <c r="P179">
        <v>2</v>
      </c>
      <c r="Q179">
        <v>1</v>
      </c>
      <c r="R179">
        <v>2</v>
      </c>
      <c r="S179" s="22">
        <f t="shared" si="75"/>
        <v>20</v>
      </c>
      <c r="T179" s="9">
        <v>3</v>
      </c>
      <c r="U179" s="23">
        <f t="shared" si="76"/>
        <v>0.76666666666666672</v>
      </c>
      <c r="V179" s="11">
        <f t="shared" si="77"/>
        <v>0</v>
      </c>
      <c r="W179" s="11">
        <f t="shared" si="78"/>
        <v>0</v>
      </c>
      <c r="X179" s="11">
        <f t="shared" si="79"/>
        <v>0</v>
      </c>
      <c r="Y179" s="11">
        <f t="shared" si="80"/>
        <v>0</v>
      </c>
      <c r="Z179" s="65">
        <f t="shared" si="81"/>
        <v>0</v>
      </c>
      <c r="AA179" s="24">
        <f t="shared" si="82"/>
        <v>0</v>
      </c>
      <c r="AB179">
        <f t="shared" si="83"/>
        <v>0</v>
      </c>
      <c r="AC179" s="46">
        <f>+IFERROR(VLOOKUP(E179,#REF!,24,0),0.2)</f>
        <v>0.2</v>
      </c>
      <c r="AD179" s="42">
        <f>+IFERROR(VLOOKUP(E179,h!$C:$D,2,0),0.3866)</f>
        <v>0.38610833333333339</v>
      </c>
      <c r="AE179" s="42">
        <f>+VLOOKUP(A179,k!$A$1:$G$4,5,0)</f>
        <v>0.35799365240740744</v>
      </c>
      <c r="AF179" s="47">
        <f t="shared" si="84"/>
        <v>0.94410198574074089</v>
      </c>
      <c r="AG179" s="48">
        <f t="shared" si="85"/>
        <v>0.1132922382888889</v>
      </c>
      <c r="AH179" s="20">
        <f>+IFERROR(VLOOKUP(C179,k!$A$7:$L$13,7,0),0)</f>
        <v>0</v>
      </c>
      <c r="AI179" s="20">
        <f t="shared" si="86"/>
        <v>0</v>
      </c>
      <c r="AJ179" s="5">
        <f t="shared" si="87"/>
        <v>0</v>
      </c>
      <c r="AK179" s="57">
        <f t="shared" si="88"/>
        <v>0</v>
      </c>
      <c r="AL179" s="19">
        <f t="shared" si="89"/>
        <v>0</v>
      </c>
      <c r="AM179" s="20">
        <f t="shared" si="90"/>
        <v>0</v>
      </c>
      <c r="AN179" s="27">
        <f t="shared" si="91"/>
        <v>0</v>
      </c>
      <c r="AO179" s="57">
        <f t="shared" si="103"/>
        <v>0</v>
      </c>
      <c r="AP179" s="19">
        <f t="shared" si="92"/>
        <v>0</v>
      </c>
      <c r="AQ179" s="20">
        <f t="shared" si="93"/>
        <v>0</v>
      </c>
      <c r="AR179" s="58">
        <f t="shared" si="94"/>
        <v>0</v>
      </c>
      <c r="AS179" s="1">
        <f t="shared" si="95"/>
        <v>0</v>
      </c>
      <c r="AT179" s="21">
        <f t="shared" si="96"/>
        <v>0</v>
      </c>
      <c r="AU179" s="28">
        <f t="shared" si="97"/>
        <v>0</v>
      </c>
      <c r="AV179" s="19">
        <f t="shared" si="98"/>
        <v>0</v>
      </c>
      <c r="AW179" s="19">
        <f t="shared" si="99"/>
        <v>0</v>
      </c>
      <c r="AX179" s="27">
        <f t="shared" si="100"/>
        <v>0</v>
      </c>
      <c r="AY179" s="1" t="e">
        <f t="shared" si="101"/>
        <v>#DIV/0!</v>
      </c>
      <c r="AZ179" s="1" t="e">
        <f t="shared" si="102"/>
        <v>#DIV/0!</v>
      </c>
    </row>
    <row r="180" spans="1:52" hidden="1" x14ac:dyDescent="0.35">
      <c r="A180" s="6" t="s">
        <v>423</v>
      </c>
      <c r="B180" s="6">
        <v>1000</v>
      </c>
      <c r="C180" s="2" t="e">
        <f>+VLOOKUP(E180,inventario!#REF!,2,0)</f>
        <v>#REF!</v>
      </c>
      <c r="D180" t="str">
        <f t="shared" si="72"/>
        <v>3001</v>
      </c>
      <c r="E180" t="s">
        <v>781</v>
      </c>
      <c r="F180" s="6" t="str">
        <f>+IFERROR(VLOOKUP(E180,#REF!,29,0),"C")</f>
        <v>C</v>
      </c>
      <c r="G180" s="6" t="str">
        <f>+IFERROR(VLOOKUP(E180,#REF!,34,0),"C")</f>
        <v>C</v>
      </c>
      <c r="H180" s="64">
        <f>+IFERROR(VLOOKUP(E180,#REF!,31,0),0)</f>
        <v>0</v>
      </c>
      <c r="I180" s="44">
        <f>+IFERROR(VLOOKUP(E180,#REF!,26,0),0)</f>
        <v>0</v>
      </c>
      <c r="J180" s="44">
        <f>+IFERROR(VLOOKUP(E180,#REF!,30,0),0)</f>
        <v>0</v>
      </c>
      <c r="K180" s="3"/>
      <c r="L180" s="25">
        <f t="shared" si="73"/>
        <v>0.7</v>
      </c>
      <c r="M180" s="26">
        <f t="shared" si="74"/>
        <v>0.52440051270804078</v>
      </c>
      <c r="O180">
        <f>+IFERROR(VLOOKUP(D180,lt!A:J,10,0),15)</f>
        <v>15</v>
      </c>
      <c r="P180">
        <v>2</v>
      </c>
      <c r="Q180">
        <v>1</v>
      </c>
      <c r="R180">
        <v>2</v>
      </c>
      <c r="S180" s="22">
        <f t="shared" si="75"/>
        <v>20</v>
      </c>
      <c r="T180" s="9">
        <v>3</v>
      </c>
      <c r="U180" s="23">
        <f t="shared" si="76"/>
        <v>0.76666666666666672</v>
      </c>
      <c r="V180" s="11">
        <f t="shared" si="77"/>
        <v>0</v>
      </c>
      <c r="W180" s="11">
        <f t="shared" si="78"/>
        <v>0</v>
      </c>
      <c r="X180" s="11">
        <f t="shared" si="79"/>
        <v>0</v>
      </c>
      <c r="Y180" s="11">
        <f t="shared" si="80"/>
        <v>0</v>
      </c>
      <c r="Z180" s="65">
        <f t="shared" si="81"/>
        <v>0</v>
      </c>
      <c r="AA180" s="24">
        <f t="shared" si="82"/>
        <v>0</v>
      </c>
      <c r="AB180">
        <f t="shared" si="83"/>
        <v>0</v>
      </c>
      <c r="AC180" s="46">
        <f>+IFERROR(VLOOKUP(E180,#REF!,24,0),0.2)</f>
        <v>0.2</v>
      </c>
      <c r="AD180" s="42">
        <f>+IFERROR(VLOOKUP(E180,h!$C:$D,2,0),0.3866)</f>
        <v>0.38610833333333339</v>
      </c>
      <c r="AE180" s="42">
        <f>+VLOOKUP(A180,k!$A$1:$G$4,5,0)</f>
        <v>0.35799365240740744</v>
      </c>
      <c r="AF180" s="47">
        <f t="shared" si="84"/>
        <v>0.94410198574074089</v>
      </c>
      <c r="AG180" s="48">
        <f t="shared" si="85"/>
        <v>0.1132922382888889</v>
      </c>
      <c r="AH180" s="20">
        <f>+IFERROR(VLOOKUP(C180,k!$A$7:$L$13,7,0),0)</f>
        <v>0</v>
      </c>
      <c r="AI180" s="20">
        <f t="shared" si="86"/>
        <v>0</v>
      </c>
      <c r="AJ180" s="5">
        <f t="shared" si="87"/>
        <v>0</v>
      </c>
      <c r="AK180" s="57">
        <f t="shared" si="88"/>
        <v>0</v>
      </c>
      <c r="AL180" s="19">
        <f t="shared" si="89"/>
        <v>0</v>
      </c>
      <c r="AM180" s="20">
        <f t="shared" si="90"/>
        <v>0</v>
      </c>
      <c r="AN180" s="27">
        <f t="shared" si="91"/>
        <v>0</v>
      </c>
      <c r="AO180" s="57">
        <f t="shared" si="103"/>
        <v>0</v>
      </c>
      <c r="AP180" s="19">
        <f t="shared" si="92"/>
        <v>0</v>
      </c>
      <c r="AQ180" s="20">
        <f t="shared" si="93"/>
        <v>0</v>
      </c>
      <c r="AR180" s="58">
        <f t="shared" si="94"/>
        <v>0</v>
      </c>
      <c r="AS180" s="1">
        <f t="shared" si="95"/>
        <v>0</v>
      </c>
      <c r="AT180" s="21">
        <f t="shared" si="96"/>
        <v>0</v>
      </c>
      <c r="AU180" s="28">
        <f t="shared" si="97"/>
        <v>0</v>
      </c>
      <c r="AV180" s="19">
        <f t="shared" si="98"/>
        <v>0</v>
      </c>
      <c r="AW180" s="19">
        <f t="shared" si="99"/>
        <v>0</v>
      </c>
      <c r="AX180" s="27">
        <f t="shared" si="100"/>
        <v>0</v>
      </c>
      <c r="AY180" s="1" t="e">
        <f t="shared" si="101"/>
        <v>#DIV/0!</v>
      </c>
      <c r="AZ180" s="1" t="e">
        <f t="shared" si="102"/>
        <v>#DIV/0!</v>
      </c>
    </row>
    <row r="181" spans="1:52" hidden="1" x14ac:dyDescent="0.35">
      <c r="A181" s="6" t="s">
        <v>423</v>
      </c>
      <c r="B181" s="6">
        <v>1000</v>
      </c>
      <c r="C181" s="2" t="e">
        <f>+VLOOKUP(E181,inventario!#REF!,2,0)</f>
        <v>#REF!</v>
      </c>
      <c r="D181" t="str">
        <f t="shared" si="72"/>
        <v>2423</v>
      </c>
      <c r="E181" s="55" t="s">
        <v>779</v>
      </c>
      <c r="F181" s="6" t="str">
        <f>+IFERROR(VLOOKUP(E181,#REF!,29,0),"C")</f>
        <v>C</v>
      </c>
      <c r="G181" s="6" t="str">
        <f>+IFERROR(VLOOKUP(E181,#REF!,34,0),"C")</f>
        <v>C</v>
      </c>
      <c r="H181" s="64">
        <f>+IFERROR(VLOOKUP(E181,#REF!,31,0),0)</f>
        <v>0</v>
      </c>
      <c r="I181" s="44">
        <f>+IFERROR(VLOOKUP(E181,#REF!,26,0),0)</f>
        <v>0</v>
      </c>
      <c r="J181" s="44">
        <f>+IFERROR(VLOOKUP(E181,#REF!,30,0),0)</f>
        <v>0</v>
      </c>
      <c r="L181" s="25">
        <f t="shared" si="73"/>
        <v>0.7</v>
      </c>
      <c r="M181" s="26">
        <f t="shared" si="74"/>
        <v>0.52440051270804078</v>
      </c>
      <c r="O181">
        <f>+IFERROR(VLOOKUP(D181,lt!A:J,10,0),15)</f>
        <v>15</v>
      </c>
      <c r="P181">
        <v>2</v>
      </c>
      <c r="Q181">
        <v>1</v>
      </c>
      <c r="R181">
        <v>2</v>
      </c>
      <c r="S181" s="22">
        <f t="shared" si="75"/>
        <v>20</v>
      </c>
      <c r="T181" s="9">
        <v>4</v>
      </c>
      <c r="U181" s="23">
        <f t="shared" si="76"/>
        <v>0.8</v>
      </c>
      <c r="V181" s="11">
        <f t="shared" si="77"/>
        <v>0</v>
      </c>
      <c r="W181" s="11">
        <f t="shared" si="78"/>
        <v>0</v>
      </c>
      <c r="X181" s="11">
        <f t="shared" si="79"/>
        <v>0</v>
      </c>
      <c r="Y181" s="11">
        <f t="shared" si="80"/>
        <v>0</v>
      </c>
      <c r="Z181" s="65">
        <f t="shared" si="81"/>
        <v>0</v>
      </c>
      <c r="AA181" s="24">
        <f t="shared" si="82"/>
        <v>0</v>
      </c>
      <c r="AB181">
        <f t="shared" si="83"/>
        <v>0</v>
      </c>
      <c r="AC181" s="46">
        <f>+IFERROR(VLOOKUP(E181,#REF!,24,0),0.2)</f>
        <v>0.2</v>
      </c>
      <c r="AD181" s="42">
        <f>+IFERROR(VLOOKUP(E181,h!$C:$D,2,0),0.3866)</f>
        <v>0.3866</v>
      </c>
      <c r="AE181" s="42">
        <f>+VLOOKUP(A181,k!$A$1:$G$4,5,0)</f>
        <v>0.35799365240740744</v>
      </c>
      <c r="AF181" s="47">
        <f t="shared" si="84"/>
        <v>0.94459365240740745</v>
      </c>
      <c r="AG181" s="48">
        <f t="shared" si="85"/>
        <v>0.11335123828888889</v>
      </c>
      <c r="AH181" s="20">
        <f>+IFERROR(VLOOKUP(C181,k!$A$7:$L$13,7,0),0)</f>
        <v>0</v>
      </c>
      <c r="AI181" s="20">
        <f t="shared" si="86"/>
        <v>0</v>
      </c>
      <c r="AJ181" s="5">
        <f t="shared" si="87"/>
        <v>0</v>
      </c>
      <c r="AK181" s="57">
        <f t="shared" si="88"/>
        <v>0</v>
      </c>
      <c r="AL181" s="19">
        <f t="shared" si="89"/>
        <v>0</v>
      </c>
      <c r="AM181" s="20">
        <f t="shared" si="90"/>
        <v>0</v>
      </c>
      <c r="AN181" s="27">
        <f t="shared" si="91"/>
        <v>0</v>
      </c>
      <c r="AO181" s="57">
        <f t="shared" si="103"/>
        <v>0</v>
      </c>
      <c r="AP181" s="19">
        <f t="shared" si="92"/>
        <v>0</v>
      </c>
      <c r="AQ181" s="20">
        <f t="shared" si="93"/>
        <v>0</v>
      </c>
      <c r="AR181" s="58">
        <f t="shared" si="94"/>
        <v>0</v>
      </c>
      <c r="AS181" s="1">
        <f t="shared" si="95"/>
        <v>0</v>
      </c>
      <c r="AT181" s="21">
        <f t="shared" si="96"/>
        <v>0</v>
      </c>
      <c r="AU181" s="28">
        <f t="shared" si="97"/>
        <v>0</v>
      </c>
      <c r="AV181" s="19">
        <f t="shared" si="98"/>
        <v>0</v>
      </c>
      <c r="AW181" s="19">
        <f t="shared" si="99"/>
        <v>0</v>
      </c>
      <c r="AX181" s="27">
        <f t="shared" si="100"/>
        <v>0</v>
      </c>
      <c r="AY181" s="1" t="e">
        <f t="shared" si="101"/>
        <v>#DIV/0!</v>
      </c>
      <c r="AZ181" s="1" t="e">
        <f t="shared" si="102"/>
        <v>#DIV/0!</v>
      </c>
    </row>
    <row r="182" spans="1:52" hidden="1" x14ac:dyDescent="0.35">
      <c r="A182" s="6" t="s">
        <v>423</v>
      </c>
      <c r="B182" s="6">
        <v>1000</v>
      </c>
      <c r="C182" s="2" t="e">
        <f>+VLOOKUP(E182,inventario!#REF!,2,0)</f>
        <v>#REF!</v>
      </c>
      <c r="D182" t="str">
        <f t="shared" si="72"/>
        <v>6102-FER</v>
      </c>
      <c r="E182" t="s">
        <v>802</v>
      </c>
      <c r="F182" s="6" t="str">
        <f>+IFERROR(VLOOKUP(E182,#REF!,29,0),"C")</f>
        <v>C</v>
      </c>
      <c r="G182" s="6" t="str">
        <f>+IFERROR(VLOOKUP(E182,#REF!,34,0),"C")</f>
        <v>C</v>
      </c>
      <c r="H182" s="64">
        <f>+IFERROR(VLOOKUP(E182,#REF!,31,0),0)</f>
        <v>0</v>
      </c>
      <c r="I182" s="44">
        <f>+IFERROR(VLOOKUP(E182,#REF!,26,0),0)</f>
        <v>0</v>
      </c>
      <c r="J182" s="44">
        <f>+IFERROR(VLOOKUP(E182,#REF!,30,0),0)</f>
        <v>0</v>
      </c>
      <c r="K182" s="3"/>
      <c r="L182" s="25">
        <f t="shared" si="73"/>
        <v>0.7</v>
      </c>
      <c r="M182" s="26">
        <f t="shared" si="74"/>
        <v>0.52440051270804078</v>
      </c>
      <c r="O182">
        <f>+IFERROR(VLOOKUP(D182,lt!A:J,10,0),15)</f>
        <v>15</v>
      </c>
      <c r="P182">
        <v>2</v>
      </c>
      <c r="Q182">
        <v>1</v>
      </c>
      <c r="R182">
        <v>2</v>
      </c>
      <c r="S182" s="22">
        <f t="shared" si="75"/>
        <v>20</v>
      </c>
      <c r="T182" s="9">
        <v>3</v>
      </c>
      <c r="U182" s="23">
        <f t="shared" si="76"/>
        <v>0.76666666666666672</v>
      </c>
      <c r="V182" s="11">
        <f t="shared" si="77"/>
        <v>0</v>
      </c>
      <c r="W182" s="11">
        <f t="shared" si="78"/>
        <v>0</v>
      </c>
      <c r="X182" s="11">
        <f t="shared" si="79"/>
        <v>0</v>
      </c>
      <c r="Y182" s="11">
        <f t="shared" si="80"/>
        <v>0</v>
      </c>
      <c r="Z182" s="65">
        <f t="shared" si="81"/>
        <v>0</v>
      </c>
      <c r="AA182" s="24">
        <f t="shared" si="82"/>
        <v>0</v>
      </c>
      <c r="AB182">
        <f t="shared" si="83"/>
        <v>0</v>
      </c>
      <c r="AC182" s="46">
        <f>+IFERROR(VLOOKUP(E182,#REF!,24,0),0.2)</f>
        <v>0.2</v>
      </c>
      <c r="AD182" s="42">
        <f>+IFERROR(VLOOKUP(E182,h!$C:$D,2,0),0.3866)</f>
        <v>0.38610833333333339</v>
      </c>
      <c r="AE182" s="42">
        <f>+VLOOKUP(A182,k!$A$1:$G$4,5,0)</f>
        <v>0.35799365240740744</v>
      </c>
      <c r="AF182" s="47">
        <f t="shared" si="84"/>
        <v>0.94410198574074089</v>
      </c>
      <c r="AG182" s="48">
        <f t="shared" si="85"/>
        <v>0.1132922382888889</v>
      </c>
      <c r="AH182" s="20">
        <f>+IFERROR(VLOOKUP(C182,k!$A$7:$L$13,7,0),0)</f>
        <v>0</v>
      </c>
      <c r="AI182" s="20">
        <f t="shared" si="86"/>
        <v>0</v>
      </c>
      <c r="AJ182" s="5">
        <f t="shared" si="87"/>
        <v>0</v>
      </c>
      <c r="AK182" s="57">
        <f t="shared" si="88"/>
        <v>0</v>
      </c>
      <c r="AL182" s="19">
        <f t="shared" si="89"/>
        <v>0</v>
      </c>
      <c r="AM182" s="20">
        <f t="shared" si="90"/>
        <v>0</v>
      </c>
      <c r="AN182" s="27">
        <f t="shared" si="91"/>
        <v>0</v>
      </c>
      <c r="AO182" s="57">
        <f t="shared" si="103"/>
        <v>0</v>
      </c>
      <c r="AP182" s="19">
        <f t="shared" si="92"/>
        <v>0</v>
      </c>
      <c r="AQ182" s="20">
        <f t="shared" si="93"/>
        <v>0</v>
      </c>
      <c r="AR182" s="58">
        <f t="shared" si="94"/>
        <v>0</v>
      </c>
      <c r="AS182" s="1">
        <f t="shared" si="95"/>
        <v>0</v>
      </c>
      <c r="AT182" s="21">
        <f t="shared" si="96"/>
        <v>0</v>
      </c>
      <c r="AU182" s="28">
        <f t="shared" si="97"/>
        <v>0</v>
      </c>
      <c r="AV182" s="19">
        <f t="shared" si="98"/>
        <v>0</v>
      </c>
      <c r="AW182" s="19">
        <f t="shared" si="99"/>
        <v>0</v>
      </c>
      <c r="AX182" s="27">
        <f t="shared" si="100"/>
        <v>0</v>
      </c>
      <c r="AY182" s="1" t="e">
        <f t="shared" si="101"/>
        <v>#DIV/0!</v>
      </c>
      <c r="AZ182" s="1" t="e">
        <f t="shared" si="102"/>
        <v>#DIV/0!</v>
      </c>
    </row>
    <row r="183" spans="1:52" hidden="1" x14ac:dyDescent="0.35">
      <c r="A183" s="6" t="s">
        <v>423</v>
      </c>
      <c r="B183" s="6">
        <v>1000</v>
      </c>
      <c r="C183" s="2" t="e">
        <f>+VLOOKUP(E183,inventario!#REF!,2,0)</f>
        <v>#REF!</v>
      </c>
      <c r="D183" t="str">
        <f t="shared" si="72"/>
        <v>2451</v>
      </c>
      <c r="E183" t="s">
        <v>796</v>
      </c>
      <c r="F183" s="6" t="str">
        <f>+IFERROR(VLOOKUP(E183,#REF!,29,0),"C")</f>
        <v>C</v>
      </c>
      <c r="G183" s="6" t="str">
        <f>+IFERROR(VLOOKUP(E183,#REF!,34,0),"C")</f>
        <v>C</v>
      </c>
      <c r="H183" s="64">
        <f>+IFERROR(VLOOKUP(E183,#REF!,31,0),0)</f>
        <v>0</v>
      </c>
      <c r="I183" s="44">
        <f>+IFERROR(VLOOKUP(E183,#REF!,26,0),0)</f>
        <v>0</v>
      </c>
      <c r="J183" s="44">
        <f>+IFERROR(VLOOKUP(E183,#REF!,30,0),0)</f>
        <v>0</v>
      </c>
      <c r="K183" s="3"/>
      <c r="L183" s="25">
        <f t="shared" si="73"/>
        <v>0.7</v>
      </c>
      <c r="M183" s="26">
        <f t="shared" si="74"/>
        <v>0.52440051270804078</v>
      </c>
      <c r="O183">
        <f>+IFERROR(VLOOKUP(D183,lt!A:J,10,0),15)</f>
        <v>15</v>
      </c>
      <c r="P183">
        <v>2</v>
      </c>
      <c r="Q183">
        <v>1</v>
      </c>
      <c r="R183">
        <v>2</v>
      </c>
      <c r="S183" s="22">
        <f t="shared" si="75"/>
        <v>20</v>
      </c>
      <c r="T183" s="9">
        <v>3</v>
      </c>
      <c r="U183" s="23">
        <f t="shared" si="76"/>
        <v>0.76666666666666672</v>
      </c>
      <c r="V183" s="11">
        <f t="shared" si="77"/>
        <v>0</v>
      </c>
      <c r="W183" s="11">
        <f t="shared" si="78"/>
        <v>0</v>
      </c>
      <c r="X183" s="11">
        <f t="shared" si="79"/>
        <v>0</v>
      </c>
      <c r="Y183" s="11">
        <f t="shared" si="80"/>
        <v>0</v>
      </c>
      <c r="Z183" s="65">
        <f t="shared" si="81"/>
        <v>0</v>
      </c>
      <c r="AA183" s="24">
        <f t="shared" si="82"/>
        <v>0</v>
      </c>
      <c r="AB183">
        <f t="shared" si="83"/>
        <v>0</v>
      </c>
      <c r="AC183" s="46">
        <f>+IFERROR(VLOOKUP(E183,#REF!,24,0),0.2)</f>
        <v>0.2</v>
      </c>
      <c r="AD183" s="42">
        <f>+IFERROR(VLOOKUP(E183,h!$C:$D,2,0),0.3866)</f>
        <v>0.38610833333333339</v>
      </c>
      <c r="AE183" s="42">
        <f>+VLOOKUP(A183,k!$A$1:$G$4,5,0)</f>
        <v>0.35799365240740744</v>
      </c>
      <c r="AF183" s="47">
        <f t="shared" si="84"/>
        <v>0.94410198574074089</v>
      </c>
      <c r="AG183" s="48">
        <f t="shared" si="85"/>
        <v>0.1132922382888889</v>
      </c>
      <c r="AH183" s="20">
        <f>+IFERROR(VLOOKUP(C183,k!$A$7:$L$13,7,0),0)</f>
        <v>0</v>
      </c>
      <c r="AI183" s="20">
        <f t="shared" si="86"/>
        <v>0</v>
      </c>
      <c r="AJ183" s="5">
        <f t="shared" si="87"/>
        <v>0</v>
      </c>
      <c r="AK183" s="57">
        <f t="shared" si="88"/>
        <v>0</v>
      </c>
      <c r="AL183" s="19">
        <f t="shared" si="89"/>
        <v>0</v>
      </c>
      <c r="AM183" s="20">
        <f t="shared" si="90"/>
        <v>0</v>
      </c>
      <c r="AN183" s="27">
        <f t="shared" si="91"/>
        <v>0</v>
      </c>
      <c r="AO183" s="57">
        <f t="shared" si="103"/>
        <v>0</v>
      </c>
      <c r="AP183" s="19">
        <f t="shared" si="92"/>
        <v>0</v>
      </c>
      <c r="AQ183" s="20">
        <f t="shared" si="93"/>
        <v>0</v>
      </c>
      <c r="AR183" s="58">
        <f t="shared" si="94"/>
        <v>0</v>
      </c>
      <c r="AS183" s="1">
        <f t="shared" si="95"/>
        <v>0</v>
      </c>
      <c r="AT183" s="21">
        <f t="shared" si="96"/>
        <v>0</v>
      </c>
      <c r="AU183" s="28">
        <f t="shared" si="97"/>
        <v>0</v>
      </c>
      <c r="AV183" s="19">
        <f t="shared" si="98"/>
        <v>0</v>
      </c>
      <c r="AW183" s="19">
        <f t="shared" si="99"/>
        <v>0</v>
      </c>
      <c r="AX183" s="27">
        <f t="shared" si="100"/>
        <v>0</v>
      </c>
      <c r="AY183" s="1" t="e">
        <f t="shared" si="101"/>
        <v>#DIV/0!</v>
      </c>
      <c r="AZ183" s="1" t="e">
        <f t="shared" si="102"/>
        <v>#DIV/0!</v>
      </c>
    </row>
    <row r="184" spans="1:52" hidden="1" x14ac:dyDescent="0.35">
      <c r="A184" s="6" t="s">
        <v>423</v>
      </c>
      <c r="B184" s="6">
        <v>1000</v>
      </c>
      <c r="C184" s="2" t="e">
        <f>+VLOOKUP(E184,inventario!#REF!,2,0)</f>
        <v>#REF!</v>
      </c>
      <c r="D184" t="str">
        <f t="shared" si="72"/>
        <v>1202</v>
      </c>
      <c r="E184" t="s">
        <v>785</v>
      </c>
      <c r="F184" s="6" t="str">
        <f>+IFERROR(VLOOKUP(E184,#REF!,29,0),"C")</f>
        <v>C</v>
      </c>
      <c r="G184" s="6" t="str">
        <f>+IFERROR(VLOOKUP(E184,#REF!,34,0),"C")</f>
        <v>C</v>
      </c>
      <c r="H184" s="64">
        <f>+IFERROR(VLOOKUP(E184,#REF!,31,0),0)</f>
        <v>0</v>
      </c>
      <c r="I184" s="44">
        <f>+IFERROR(VLOOKUP(E184,#REF!,26,0),0)</f>
        <v>0</v>
      </c>
      <c r="J184" s="44">
        <f>+IFERROR(VLOOKUP(E184,#REF!,30,0),0)</f>
        <v>0</v>
      </c>
      <c r="K184" s="3"/>
      <c r="L184" s="25">
        <f t="shared" si="73"/>
        <v>0.7</v>
      </c>
      <c r="M184" s="26">
        <f t="shared" si="74"/>
        <v>0.52440051270804078</v>
      </c>
      <c r="O184">
        <f>+IFERROR(VLOOKUP(D184,lt!A:J,10,0),15)</f>
        <v>15</v>
      </c>
      <c r="P184">
        <v>2</v>
      </c>
      <c r="Q184">
        <v>1</v>
      </c>
      <c r="R184">
        <v>2</v>
      </c>
      <c r="S184" s="22">
        <f t="shared" si="75"/>
        <v>20</v>
      </c>
      <c r="T184" s="9">
        <v>3</v>
      </c>
      <c r="U184" s="23">
        <f t="shared" si="76"/>
        <v>0.76666666666666672</v>
      </c>
      <c r="V184" s="11">
        <f t="shared" si="77"/>
        <v>0</v>
      </c>
      <c r="W184" s="11">
        <f t="shared" si="78"/>
        <v>0</v>
      </c>
      <c r="X184" s="11">
        <f t="shared" si="79"/>
        <v>0</v>
      </c>
      <c r="Y184" s="11">
        <f t="shared" si="80"/>
        <v>0</v>
      </c>
      <c r="Z184" s="65">
        <f t="shared" si="81"/>
        <v>0</v>
      </c>
      <c r="AA184" s="24">
        <f t="shared" si="82"/>
        <v>0</v>
      </c>
      <c r="AB184">
        <f t="shared" si="83"/>
        <v>0</v>
      </c>
      <c r="AC184" s="46">
        <f>+IFERROR(VLOOKUP(E184,#REF!,24,0),0.2)</f>
        <v>0.2</v>
      </c>
      <c r="AD184" s="42">
        <f>+IFERROR(VLOOKUP(E184,h!$C:$D,2,0),0.3866)</f>
        <v>0.38610833333333339</v>
      </c>
      <c r="AE184" s="42">
        <f>+VLOOKUP(A184,k!$A$1:$G$4,5,0)</f>
        <v>0.35799365240740744</v>
      </c>
      <c r="AF184" s="47">
        <f t="shared" si="84"/>
        <v>0.94410198574074089</v>
      </c>
      <c r="AG184" s="48">
        <f t="shared" si="85"/>
        <v>0.1132922382888889</v>
      </c>
      <c r="AH184" s="20">
        <f>+IFERROR(VLOOKUP(C184,k!$A$7:$L$13,7,0),0)</f>
        <v>0</v>
      </c>
      <c r="AI184" s="20">
        <f t="shared" si="86"/>
        <v>0</v>
      </c>
      <c r="AJ184" s="5">
        <f t="shared" si="87"/>
        <v>0</v>
      </c>
      <c r="AK184" s="57">
        <f t="shared" si="88"/>
        <v>0</v>
      </c>
      <c r="AL184" s="19">
        <f t="shared" si="89"/>
        <v>0</v>
      </c>
      <c r="AM184" s="20">
        <f t="shared" si="90"/>
        <v>0</v>
      </c>
      <c r="AN184" s="27">
        <f t="shared" si="91"/>
        <v>0</v>
      </c>
      <c r="AO184" s="57">
        <f t="shared" si="103"/>
        <v>0</v>
      </c>
      <c r="AP184" s="19">
        <f t="shared" si="92"/>
        <v>0</v>
      </c>
      <c r="AQ184" s="20">
        <f t="shared" si="93"/>
        <v>0</v>
      </c>
      <c r="AR184" s="58">
        <f t="shared" si="94"/>
        <v>0</v>
      </c>
      <c r="AS184" s="1">
        <f t="shared" si="95"/>
        <v>0</v>
      </c>
      <c r="AT184" s="21">
        <f t="shared" si="96"/>
        <v>0</v>
      </c>
      <c r="AU184" s="28">
        <f t="shared" si="97"/>
        <v>0</v>
      </c>
      <c r="AV184" s="19">
        <f t="shared" si="98"/>
        <v>0</v>
      </c>
      <c r="AW184" s="19">
        <f t="shared" si="99"/>
        <v>0</v>
      </c>
      <c r="AX184" s="27">
        <f t="shared" si="100"/>
        <v>0</v>
      </c>
      <c r="AY184" s="1" t="e">
        <f t="shared" si="101"/>
        <v>#DIV/0!</v>
      </c>
      <c r="AZ184" s="1" t="e">
        <f t="shared" si="102"/>
        <v>#DIV/0!</v>
      </c>
    </row>
    <row r="185" spans="1:52" hidden="1" x14ac:dyDescent="0.35">
      <c r="A185" s="6" t="s">
        <v>423</v>
      </c>
      <c r="B185" s="6">
        <v>1000</v>
      </c>
      <c r="C185" s="2" t="e">
        <f>+VLOOKUP(E185,inventario!#REF!,2,0)</f>
        <v>#REF!</v>
      </c>
      <c r="D185" t="str">
        <f t="shared" si="72"/>
        <v>1102</v>
      </c>
      <c r="E185" t="s">
        <v>804</v>
      </c>
      <c r="F185" s="6" t="str">
        <f>+IFERROR(VLOOKUP(E185,#REF!,29,0),"C")</f>
        <v>C</v>
      </c>
      <c r="G185" s="6" t="str">
        <f>+IFERROR(VLOOKUP(E185,#REF!,34,0),"C")</f>
        <v>C</v>
      </c>
      <c r="H185" s="64">
        <f>+IFERROR(VLOOKUP(E185,#REF!,31,0),0)</f>
        <v>0</v>
      </c>
      <c r="I185" s="44">
        <f>+IFERROR(VLOOKUP(E185,#REF!,26,0),0)</f>
        <v>0</v>
      </c>
      <c r="J185" s="44">
        <f>+IFERROR(VLOOKUP(E185,#REF!,30,0),0)</f>
        <v>0</v>
      </c>
      <c r="K185" s="3"/>
      <c r="L185" s="25">
        <f t="shared" si="73"/>
        <v>0.7</v>
      </c>
      <c r="M185" s="26">
        <f t="shared" si="74"/>
        <v>0.52440051270804078</v>
      </c>
      <c r="O185">
        <f>+IFERROR(VLOOKUP(D185,lt!A:J,10,0),15)</f>
        <v>15</v>
      </c>
      <c r="P185">
        <v>2</v>
      </c>
      <c r="Q185">
        <v>1</v>
      </c>
      <c r="R185">
        <v>2</v>
      </c>
      <c r="S185" s="22">
        <f t="shared" si="75"/>
        <v>20</v>
      </c>
      <c r="T185" s="9">
        <v>3</v>
      </c>
      <c r="U185" s="23">
        <f t="shared" si="76"/>
        <v>0.76666666666666672</v>
      </c>
      <c r="V185" s="11">
        <f t="shared" si="77"/>
        <v>0</v>
      </c>
      <c r="W185" s="11">
        <f t="shared" si="78"/>
        <v>0</v>
      </c>
      <c r="X185" s="11">
        <f t="shared" si="79"/>
        <v>0</v>
      </c>
      <c r="Y185" s="11">
        <f t="shared" si="80"/>
        <v>0</v>
      </c>
      <c r="Z185" s="65">
        <f t="shared" si="81"/>
        <v>0</v>
      </c>
      <c r="AA185" s="24">
        <f t="shared" si="82"/>
        <v>0</v>
      </c>
      <c r="AB185">
        <f t="shared" si="83"/>
        <v>0</v>
      </c>
      <c r="AC185" s="46">
        <f>+IFERROR(VLOOKUP(E185,#REF!,24,0),0.2)</f>
        <v>0.2</v>
      </c>
      <c r="AD185" s="42">
        <f>+IFERROR(VLOOKUP(E185,h!$C:$D,2,0),0.3866)</f>
        <v>0.38610833333333339</v>
      </c>
      <c r="AE185" s="42">
        <f>+VLOOKUP(A185,k!$A$1:$G$4,5,0)</f>
        <v>0.35799365240740744</v>
      </c>
      <c r="AF185" s="47">
        <f t="shared" si="84"/>
        <v>0.94410198574074089</v>
      </c>
      <c r="AG185" s="48">
        <f t="shared" si="85"/>
        <v>0.1132922382888889</v>
      </c>
      <c r="AH185" s="20">
        <f>+IFERROR(VLOOKUP(C185,k!$A$7:$L$13,7,0),0)</f>
        <v>0</v>
      </c>
      <c r="AI185" s="20">
        <f t="shared" si="86"/>
        <v>0</v>
      </c>
      <c r="AJ185" s="5">
        <f t="shared" si="87"/>
        <v>0</v>
      </c>
      <c r="AK185" s="57">
        <f t="shared" si="88"/>
        <v>0</v>
      </c>
      <c r="AL185" s="19">
        <f t="shared" si="89"/>
        <v>0</v>
      </c>
      <c r="AM185" s="20">
        <f t="shared" si="90"/>
        <v>0</v>
      </c>
      <c r="AN185" s="27">
        <f t="shared" si="91"/>
        <v>0</v>
      </c>
      <c r="AO185" s="57">
        <f t="shared" si="103"/>
        <v>0</v>
      </c>
      <c r="AP185" s="19">
        <f t="shared" si="92"/>
        <v>0</v>
      </c>
      <c r="AQ185" s="20">
        <f t="shared" si="93"/>
        <v>0</v>
      </c>
      <c r="AR185" s="58">
        <f t="shared" si="94"/>
        <v>0</v>
      </c>
      <c r="AS185" s="1">
        <f t="shared" si="95"/>
        <v>0</v>
      </c>
      <c r="AT185" s="21">
        <f t="shared" si="96"/>
        <v>0</v>
      </c>
      <c r="AU185" s="28">
        <f t="shared" si="97"/>
        <v>0</v>
      </c>
      <c r="AV185" s="19">
        <f t="shared" si="98"/>
        <v>0</v>
      </c>
      <c r="AW185" s="19">
        <f t="shared" si="99"/>
        <v>0</v>
      </c>
      <c r="AX185" s="27">
        <f t="shared" si="100"/>
        <v>0</v>
      </c>
      <c r="AY185" s="1" t="e">
        <f t="shared" si="101"/>
        <v>#DIV/0!</v>
      </c>
      <c r="AZ185" s="1" t="e">
        <f t="shared" si="102"/>
        <v>#DIV/0!</v>
      </c>
    </row>
    <row r="186" spans="1:52" hidden="1" x14ac:dyDescent="0.35">
      <c r="A186" s="6" t="s">
        <v>423</v>
      </c>
      <c r="B186" s="6">
        <v>1000</v>
      </c>
      <c r="C186" s="2" t="e">
        <f>+VLOOKUP(E186,inventario!#REF!,2,0)</f>
        <v>#REF!</v>
      </c>
      <c r="D186" t="str">
        <f t="shared" si="72"/>
        <v>4100</v>
      </c>
      <c r="E186" t="s">
        <v>810</v>
      </c>
      <c r="F186" s="6" t="str">
        <f>+IFERROR(VLOOKUP(E186,#REF!,29,0),"C")</f>
        <v>C</v>
      </c>
      <c r="G186" s="6" t="str">
        <f>+IFERROR(VLOOKUP(E186,#REF!,34,0),"C")</f>
        <v>C</v>
      </c>
      <c r="H186" s="64">
        <f>+IFERROR(VLOOKUP(E186,#REF!,31,0),0)</f>
        <v>0</v>
      </c>
      <c r="I186" s="44">
        <f>+IFERROR(VLOOKUP(E186,#REF!,26,0),0)</f>
        <v>0</v>
      </c>
      <c r="J186" s="44">
        <f>+IFERROR(VLOOKUP(E186,#REF!,30,0),0)</f>
        <v>0</v>
      </c>
      <c r="K186" s="3"/>
      <c r="L186" s="25">
        <f t="shared" si="73"/>
        <v>0.7</v>
      </c>
      <c r="M186" s="26">
        <f t="shared" si="74"/>
        <v>0.52440051270804078</v>
      </c>
      <c r="O186">
        <f>+IFERROR(VLOOKUP(D186,lt!A:J,10,0),15)</f>
        <v>15</v>
      </c>
      <c r="P186">
        <v>2</v>
      </c>
      <c r="Q186">
        <v>1</v>
      </c>
      <c r="R186">
        <v>2</v>
      </c>
      <c r="S186" s="22">
        <f t="shared" si="75"/>
        <v>20</v>
      </c>
      <c r="T186" s="9">
        <v>3</v>
      </c>
      <c r="U186" s="23">
        <f t="shared" si="76"/>
        <v>0.76666666666666672</v>
      </c>
      <c r="V186" s="11">
        <f t="shared" si="77"/>
        <v>0</v>
      </c>
      <c r="W186" s="11">
        <f t="shared" si="78"/>
        <v>0</v>
      </c>
      <c r="X186" s="11">
        <f t="shared" si="79"/>
        <v>0</v>
      </c>
      <c r="Y186" s="11">
        <f t="shared" si="80"/>
        <v>0</v>
      </c>
      <c r="Z186" s="65">
        <f t="shared" si="81"/>
        <v>0</v>
      </c>
      <c r="AA186" s="24">
        <f t="shared" si="82"/>
        <v>0</v>
      </c>
      <c r="AB186">
        <f t="shared" si="83"/>
        <v>0</v>
      </c>
      <c r="AC186" s="46">
        <f>+IFERROR(VLOOKUP(E186,#REF!,24,0),0.2)</f>
        <v>0.2</v>
      </c>
      <c r="AD186" s="42">
        <f>+IFERROR(VLOOKUP(E186,h!$C:$D,2,0),0.3866)</f>
        <v>0.38610833333333339</v>
      </c>
      <c r="AE186" s="42">
        <f>+VLOOKUP(A186,k!$A$1:$G$4,5,0)</f>
        <v>0.35799365240740744</v>
      </c>
      <c r="AF186" s="47">
        <f t="shared" si="84"/>
        <v>0.94410198574074089</v>
      </c>
      <c r="AG186" s="48">
        <f t="shared" si="85"/>
        <v>0.1132922382888889</v>
      </c>
      <c r="AH186" s="20">
        <f>+IFERROR(VLOOKUP(C186,k!$A$7:$L$13,7,0),0)</f>
        <v>0</v>
      </c>
      <c r="AI186" s="20">
        <f t="shared" si="86"/>
        <v>0</v>
      </c>
      <c r="AJ186" s="5">
        <f t="shared" si="87"/>
        <v>0</v>
      </c>
      <c r="AK186" s="57">
        <f t="shared" si="88"/>
        <v>0</v>
      </c>
      <c r="AL186" s="19">
        <f t="shared" si="89"/>
        <v>0</v>
      </c>
      <c r="AM186" s="20">
        <f t="shared" si="90"/>
        <v>0</v>
      </c>
      <c r="AN186" s="27">
        <f t="shared" si="91"/>
        <v>0</v>
      </c>
      <c r="AO186" s="57">
        <f t="shared" si="103"/>
        <v>0</v>
      </c>
      <c r="AP186" s="19">
        <f t="shared" si="92"/>
        <v>0</v>
      </c>
      <c r="AQ186" s="20">
        <f t="shared" si="93"/>
        <v>0</v>
      </c>
      <c r="AR186" s="58">
        <f t="shared" si="94"/>
        <v>0</v>
      </c>
      <c r="AS186" s="1">
        <f t="shared" si="95"/>
        <v>0</v>
      </c>
      <c r="AT186" s="21">
        <f t="shared" si="96"/>
        <v>0</v>
      </c>
      <c r="AU186" s="28">
        <f t="shared" si="97"/>
        <v>0</v>
      </c>
      <c r="AV186" s="19">
        <f t="shared" si="98"/>
        <v>0</v>
      </c>
      <c r="AW186" s="19">
        <f t="shared" si="99"/>
        <v>0</v>
      </c>
      <c r="AX186" s="27">
        <f t="shared" si="100"/>
        <v>0</v>
      </c>
      <c r="AY186" s="1" t="e">
        <f t="shared" si="101"/>
        <v>#DIV/0!</v>
      </c>
      <c r="AZ186" s="1" t="e">
        <f t="shared" si="102"/>
        <v>#DIV/0!</v>
      </c>
    </row>
    <row r="187" spans="1:52" hidden="1" x14ac:dyDescent="0.35">
      <c r="A187" s="6" t="s">
        <v>423</v>
      </c>
      <c r="B187" s="6">
        <v>1000</v>
      </c>
      <c r="C187" s="2" t="e">
        <f>+VLOOKUP(E187,inventario!#REF!,2,0)</f>
        <v>#REF!</v>
      </c>
      <c r="D187" t="str">
        <f t="shared" si="72"/>
        <v>3262</v>
      </c>
      <c r="E187" t="s">
        <v>786</v>
      </c>
      <c r="F187" s="6" t="str">
        <f>+IFERROR(VLOOKUP(E187,#REF!,29,0),"C")</f>
        <v>C</v>
      </c>
      <c r="G187" s="6" t="str">
        <f>+IFERROR(VLOOKUP(E187,#REF!,34,0),"C")</f>
        <v>C</v>
      </c>
      <c r="H187" s="64">
        <f>+IFERROR(VLOOKUP(E187,#REF!,31,0),0)</f>
        <v>0</v>
      </c>
      <c r="I187" s="44">
        <f>+IFERROR(VLOOKUP(E187,#REF!,26,0),0)</f>
        <v>0</v>
      </c>
      <c r="J187" s="44">
        <f>+IFERROR(VLOOKUP(E187,#REF!,30,0),0)</f>
        <v>0</v>
      </c>
      <c r="K187" s="3"/>
      <c r="L187" s="25">
        <f t="shared" si="73"/>
        <v>0.7</v>
      </c>
      <c r="M187" s="26">
        <f t="shared" si="74"/>
        <v>0.52440051270804078</v>
      </c>
      <c r="O187">
        <f>+IFERROR(VLOOKUP(D187,lt!A:J,10,0),15)</f>
        <v>15</v>
      </c>
      <c r="P187">
        <v>2</v>
      </c>
      <c r="Q187">
        <v>1</v>
      </c>
      <c r="R187">
        <v>2</v>
      </c>
      <c r="S187" s="22">
        <f t="shared" si="75"/>
        <v>20</v>
      </c>
      <c r="T187" s="9">
        <v>3</v>
      </c>
      <c r="U187" s="23">
        <f t="shared" si="76"/>
        <v>0.76666666666666672</v>
      </c>
      <c r="V187" s="11">
        <f t="shared" si="77"/>
        <v>0</v>
      </c>
      <c r="W187" s="11">
        <f t="shared" si="78"/>
        <v>0</v>
      </c>
      <c r="X187" s="11">
        <f t="shared" si="79"/>
        <v>0</v>
      </c>
      <c r="Y187" s="11">
        <f t="shared" si="80"/>
        <v>0</v>
      </c>
      <c r="Z187" s="65">
        <f t="shared" si="81"/>
        <v>0</v>
      </c>
      <c r="AA187" s="24">
        <f t="shared" si="82"/>
        <v>0</v>
      </c>
      <c r="AB187">
        <f t="shared" si="83"/>
        <v>0</v>
      </c>
      <c r="AC187" s="46">
        <f>+IFERROR(VLOOKUP(E187,#REF!,24,0),0.2)</f>
        <v>0.2</v>
      </c>
      <c r="AD187" s="42">
        <f>+IFERROR(VLOOKUP(E187,h!$C:$D,2,0),0.3866)</f>
        <v>0.38610833333333339</v>
      </c>
      <c r="AE187" s="42">
        <f>+VLOOKUP(A187,k!$A$1:$G$4,5,0)</f>
        <v>0.35799365240740744</v>
      </c>
      <c r="AF187" s="47">
        <f t="shared" si="84"/>
        <v>0.94410198574074089</v>
      </c>
      <c r="AG187" s="48">
        <f t="shared" si="85"/>
        <v>0.1132922382888889</v>
      </c>
      <c r="AH187" s="20">
        <f>+IFERROR(VLOOKUP(C187,k!$A$7:$L$13,7,0),0)</f>
        <v>0</v>
      </c>
      <c r="AI187" s="20">
        <f t="shared" si="86"/>
        <v>0</v>
      </c>
      <c r="AJ187" s="5">
        <f t="shared" si="87"/>
        <v>0</v>
      </c>
      <c r="AK187" s="57">
        <f t="shared" si="88"/>
        <v>0</v>
      </c>
      <c r="AL187" s="19">
        <f t="shared" si="89"/>
        <v>0</v>
      </c>
      <c r="AM187" s="20">
        <f t="shared" si="90"/>
        <v>0</v>
      </c>
      <c r="AN187" s="27">
        <f t="shared" si="91"/>
        <v>0</v>
      </c>
      <c r="AO187" s="57">
        <f t="shared" si="103"/>
        <v>0</v>
      </c>
      <c r="AP187" s="19">
        <f t="shared" si="92"/>
        <v>0</v>
      </c>
      <c r="AQ187" s="20">
        <f t="shared" si="93"/>
        <v>0</v>
      </c>
      <c r="AR187" s="58">
        <f t="shared" si="94"/>
        <v>0</v>
      </c>
      <c r="AS187" s="1">
        <f t="shared" si="95"/>
        <v>0</v>
      </c>
      <c r="AT187" s="21">
        <f t="shared" si="96"/>
        <v>0</v>
      </c>
      <c r="AU187" s="28">
        <f t="shared" si="97"/>
        <v>0</v>
      </c>
      <c r="AV187" s="19">
        <f t="shared" si="98"/>
        <v>0</v>
      </c>
      <c r="AW187" s="19">
        <f t="shared" si="99"/>
        <v>0</v>
      </c>
      <c r="AX187" s="27">
        <f t="shared" si="100"/>
        <v>0</v>
      </c>
      <c r="AY187" s="1" t="e">
        <f t="shared" si="101"/>
        <v>#DIV/0!</v>
      </c>
      <c r="AZ187" s="1" t="e">
        <f t="shared" si="102"/>
        <v>#DIV/0!</v>
      </c>
    </row>
    <row r="188" spans="1:52" hidden="1" x14ac:dyDescent="0.35">
      <c r="A188" s="6" t="s">
        <v>423</v>
      </c>
      <c r="B188" s="6">
        <v>1000</v>
      </c>
      <c r="C188" s="2" t="e">
        <f>+VLOOKUP(E188,inventario!#REF!,2,0)</f>
        <v>#REF!</v>
      </c>
      <c r="D188" t="str">
        <f t="shared" si="72"/>
        <v>4101</v>
      </c>
      <c r="E188" t="s">
        <v>811</v>
      </c>
      <c r="F188" s="6" t="str">
        <f>+IFERROR(VLOOKUP(E188,#REF!,29,0),"C")</f>
        <v>C</v>
      </c>
      <c r="G188" s="6" t="str">
        <f>+IFERROR(VLOOKUP(E188,#REF!,34,0),"C")</f>
        <v>C</v>
      </c>
      <c r="H188" s="64">
        <f>+IFERROR(VLOOKUP(E188,#REF!,31,0),0)</f>
        <v>0</v>
      </c>
      <c r="I188" s="44">
        <f>+IFERROR(VLOOKUP(E188,#REF!,26,0),0)</f>
        <v>0</v>
      </c>
      <c r="J188" s="44">
        <f>+IFERROR(VLOOKUP(E188,#REF!,30,0),0)</f>
        <v>0</v>
      </c>
      <c r="K188" s="3"/>
      <c r="L188" s="25">
        <f t="shared" si="73"/>
        <v>0.7</v>
      </c>
      <c r="M188" s="26">
        <f t="shared" si="74"/>
        <v>0.52440051270804078</v>
      </c>
      <c r="O188">
        <f>+IFERROR(VLOOKUP(D188,lt!A:J,10,0),15)</f>
        <v>15</v>
      </c>
      <c r="P188">
        <v>2</v>
      </c>
      <c r="Q188">
        <v>1</v>
      </c>
      <c r="R188">
        <v>2</v>
      </c>
      <c r="S188" s="22">
        <f t="shared" si="75"/>
        <v>20</v>
      </c>
      <c r="T188" s="9">
        <v>3</v>
      </c>
      <c r="U188" s="23">
        <f t="shared" si="76"/>
        <v>0.76666666666666672</v>
      </c>
      <c r="V188" s="11">
        <f t="shared" si="77"/>
        <v>0</v>
      </c>
      <c r="W188" s="11">
        <f t="shared" si="78"/>
        <v>0</v>
      </c>
      <c r="X188" s="11">
        <f t="shared" si="79"/>
        <v>0</v>
      </c>
      <c r="Y188" s="11">
        <f t="shared" si="80"/>
        <v>0</v>
      </c>
      <c r="Z188" s="65">
        <f t="shared" si="81"/>
        <v>0</v>
      </c>
      <c r="AA188" s="24">
        <f t="shared" si="82"/>
        <v>0</v>
      </c>
      <c r="AB188">
        <f t="shared" si="83"/>
        <v>0</v>
      </c>
      <c r="AC188" s="46">
        <f>+IFERROR(VLOOKUP(E188,#REF!,24,0),0.2)</f>
        <v>0.2</v>
      </c>
      <c r="AD188" s="42">
        <f>+IFERROR(VLOOKUP(E188,h!$C:$D,2,0),0.3866)</f>
        <v>0.38610833333333339</v>
      </c>
      <c r="AE188" s="42">
        <f>+VLOOKUP(A188,k!$A$1:$G$4,5,0)</f>
        <v>0.35799365240740744</v>
      </c>
      <c r="AF188" s="47">
        <f t="shared" si="84"/>
        <v>0.94410198574074089</v>
      </c>
      <c r="AG188" s="48">
        <f t="shared" si="85"/>
        <v>0.1132922382888889</v>
      </c>
      <c r="AH188" s="20">
        <f>+IFERROR(VLOOKUP(C188,k!$A$7:$L$13,7,0),0)</f>
        <v>0</v>
      </c>
      <c r="AI188" s="20">
        <f t="shared" si="86"/>
        <v>0</v>
      </c>
      <c r="AJ188" s="5">
        <f t="shared" si="87"/>
        <v>0</v>
      </c>
      <c r="AK188" s="57">
        <f t="shared" si="88"/>
        <v>0</v>
      </c>
      <c r="AL188" s="19">
        <f t="shared" si="89"/>
        <v>0</v>
      </c>
      <c r="AM188" s="20">
        <f t="shared" si="90"/>
        <v>0</v>
      </c>
      <c r="AN188" s="27">
        <f t="shared" si="91"/>
        <v>0</v>
      </c>
      <c r="AO188" s="57">
        <f t="shared" si="103"/>
        <v>0</v>
      </c>
      <c r="AP188" s="19">
        <f t="shared" si="92"/>
        <v>0</v>
      </c>
      <c r="AQ188" s="20">
        <f t="shared" si="93"/>
        <v>0</v>
      </c>
      <c r="AR188" s="58">
        <f t="shared" si="94"/>
        <v>0</v>
      </c>
      <c r="AS188" s="1">
        <f t="shared" si="95"/>
        <v>0</v>
      </c>
      <c r="AT188" s="21">
        <f t="shared" si="96"/>
        <v>0</v>
      </c>
      <c r="AU188" s="28">
        <f t="shared" si="97"/>
        <v>0</v>
      </c>
      <c r="AV188" s="19">
        <f t="shared" si="98"/>
        <v>0</v>
      </c>
      <c r="AW188" s="19">
        <f t="shared" si="99"/>
        <v>0</v>
      </c>
      <c r="AX188" s="27">
        <f t="shared" si="100"/>
        <v>0</v>
      </c>
      <c r="AY188" s="1" t="e">
        <f t="shared" si="101"/>
        <v>#DIV/0!</v>
      </c>
      <c r="AZ188" s="1" t="e">
        <f t="shared" si="102"/>
        <v>#DIV/0!</v>
      </c>
    </row>
    <row r="189" spans="1:52" hidden="1" x14ac:dyDescent="0.35">
      <c r="A189" s="6" t="s">
        <v>423</v>
      </c>
      <c r="B189" s="6">
        <v>1000</v>
      </c>
      <c r="C189" s="2" t="e">
        <f>+VLOOKUP(E189,inventario!#REF!,2,0)</f>
        <v>#REF!</v>
      </c>
      <c r="D189" t="str">
        <f t="shared" si="72"/>
        <v>3500</v>
      </c>
      <c r="E189" t="s">
        <v>797</v>
      </c>
      <c r="F189" s="6" t="str">
        <f>+IFERROR(VLOOKUP(E189,#REF!,29,0),"C")</f>
        <v>C</v>
      </c>
      <c r="G189" s="6" t="str">
        <f>+IFERROR(VLOOKUP(E189,#REF!,34,0),"C")</f>
        <v>C</v>
      </c>
      <c r="H189" s="64">
        <f>+IFERROR(VLOOKUP(E189,#REF!,31,0),0)</f>
        <v>0</v>
      </c>
      <c r="I189" s="44">
        <f>+IFERROR(VLOOKUP(E189,#REF!,26,0),0)</f>
        <v>0</v>
      </c>
      <c r="J189" s="44">
        <f>+IFERROR(VLOOKUP(E189,#REF!,30,0),0)</f>
        <v>0</v>
      </c>
      <c r="K189" s="3"/>
      <c r="L189" s="25">
        <f t="shared" si="73"/>
        <v>0.7</v>
      </c>
      <c r="M189" s="26">
        <f t="shared" si="74"/>
        <v>0.52440051270804078</v>
      </c>
      <c r="O189">
        <f>+IFERROR(VLOOKUP(D189,lt!A:J,10,0),15)</f>
        <v>15</v>
      </c>
      <c r="P189">
        <v>2</v>
      </c>
      <c r="Q189">
        <v>1</v>
      </c>
      <c r="R189">
        <v>2</v>
      </c>
      <c r="S189" s="22">
        <f t="shared" si="75"/>
        <v>20</v>
      </c>
      <c r="T189" s="9">
        <v>3</v>
      </c>
      <c r="U189" s="23">
        <f t="shared" si="76"/>
        <v>0.76666666666666672</v>
      </c>
      <c r="V189" s="11">
        <f t="shared" si="77"/>
        <v>0</v>
      </c>
      <c r="W189" s="11">
        <f t="shared" si="78"/>
        <v>0</v>
      </c>
      <c r="X189" s="11">
        <f t="shared" si="79"/>
        <v>0</v>
      </c>
      <c r="Y189" s="11">
        <f t="shared" si="80"/>
        <v>0</v>
      </c>
      <c r="Z189" s="65">
        <f t="shared" si="81"/>
        <v>0</v>
      </c>
      <c r="AA189" s="24">
        <f t="shared" si="82"/>
        <v>0</v>
      </c>
      <c r="AB189">
        <f t="shared" si="83"/>
        <v>0</v>
      </c>
      <c r="AC189" s="46">
        <f>+IFERROR(VLOOKUP(E189,#REF!,24,0),0.2)</f>
        <v>0.2</v>
      </c>
      <c r="AD189" s="42">
        <f>+IFERROR(VLOOKUP(E189,h!$C:$D,2,0),0.3866)</f>
        <v>0.38610833333333339</v>
      </c>
      <c r="AE189" s="42">
        <f>+VLOOKUP(A189,k!$A$1:$G$4,5,0)</f>
        <v>0.35799365240740744</v>
      </c>
      <c r="AF189" s="47">
        <f t="shared" si="84"/>
        <v>0.94410198574074089</v>
      </c>
      <c r="AG189" s="48">
        <f t="shared" si="85"/>
        <v>0.1132922382888889</v>
      </c>
      <c r="AH189" s="20">
        <f>+IFERROR(VLOOKUP(C189,k!$A$7:$L$13,7,0),0)</f>
        <v>0</v>
      </c>
      <c r="AI189" s="20">
        <f t="shared" si="86"/>
        <v>0</v>
      </c>
      <c r="AJ189" s="5">
        <f t="shared" si="87"/>
        <v>0</v>
      </c>
      <c r="AK189" s="57">
        <f t="shared" si="88"/>
        <v>0</v>
      </c>
      <c r="AL189" s="19">
        <f t="shared" si="89"/>
        <v>0</v>
      </c>
      <c r="AM189" s="20">
        <f t="shared" si="90"/>
        <v>0</v>
      </c>
      <c r="AN189" s="27">
        <f t="shared" si="91"/>
        <v>0</v>
      </c>
      <c r="AO189" s="57">
        <f t="shared" si="103"/>
        <v>0</v>
      </c>
      <c r="AP189" s="19">
        <f t="shared" si="92"/>
        <v>0</v>
      </c>
      <c r="AQ189" s="20">
        <f t="shared" si="93"/>
        <v>0</v>
      </c>
      <c r="AR189" s="58">
        <f t="shared" si="94"/>
        <v>0</v>
      </c>
      <c r="AS189" s="1">
        <f t="shared" si="95"/>
        <v>0</v>
      </c>
      <c r="AT189" s="21">
        <f t="shared" si="96"/>
        <v>0</v>
      </c>
      <c r="AU189" s="28">
        <f t="shared" si="97"/>
        <v>0</v>
      </c>
      <c r="AV189" s="19">
        <f t="shared" si="98"/>
        <v>0</v>
      </c>
      <c r="AW189" s="19">
        <f t="shared" si="99"/>
        <v>0</v>
      </c>
      <c r="AX189" s="27">
        <f t="shared" si="100"/>
        <v>0</v>
      </c>
      <c r="AY189" s="1" t="e">
        <f t="shared" si="101"/>
        <v>#DIV/0!</v>
      </c>
      <c r="AZ189" s="1" t="e">
        <f t="shared" si="102"/>
        <v>#DIV/0!</v>
      </c>
    </row>
    <row r="190" spans="1:52" hidden="1" x14ac:dyDescent="0.35">
      <c r="A190" s="6" t="s">
        <v>423</v>
      </c>
      <c r="B190" s="6">
        <v>1000</v>
      </c>
      <c r="C190" s="2" t="e">
        <f>+VLOOKUP(E190,inventario!#REF!,2,0)</f>
        <v>#REF!</v>
      </c>
      <c r="D190" t="str">
        <f t="shared" si="72"/>
        <v>5207</v>
      </c>
      <c r="E190" t="s">
        <v>803</v>
      </c>
      <c r="F190" s="6" t="str">
        <f>+IFERROR(VLOOKUP(E190,#REF!,29,0),"C")</f>
        <v>C</v>
      </c>
      <c r="G190" s="6" t="str">
        <f>+IFERROR(VLOOKUP(E190,#REF!,34,0),"C")</f>
        <v>C</v>
      </c>
      <c r="H190" s="64">
        <f>+IFERROR(VLOOKUP(E190,#REF!,31,0),0)</f>
        <v>0</v>
      </c>
      <c r="I190" s="44">
        <f>+IFERROR(VLOOKUP(E190,#REF!,26,0),0)</f>
        <v>0</v>
      </c>
      <c r="J190" s="44">
        <f>+IFERROR(VLOOKUP(E190,#REF!,30,0),0)</f>
        <v>0</v>
      </c>
      <c r="K190" s="3"/>
      <c r="L190" s="25">
        <f t="shared" si="73"/>
        <v>0.7</v>
      </c>
      <c r="M190" s="26">
        <f t="shared" si="74"/>
        <v>0.52440051270804078</v>
      </c>
      <c r="O190">
        <f>+IFERROR(VLOOKUP(D190,lt!A:J,10,0),15)</f>
        <v>15</v>
      </c>
      <c r="P190">
        <v>2</v>
      </c>
      <c r="Q190">
        <v>1</v>
      </c>
      <c r="R190">
        <v>2</v>
      </c>
      <c r="S190" s="22">
        <f t="shared" si="75"/>
        <v>20</v>
      </c>
      <c r="T190" s="9">
        <v>3</v>
      </c>
      <c r="U190" s="23">
        <f t="shared" si="76"/>
        <v>0.76666666666666672</v>
      </c>
      <c r="V190" s="11">
        <f t="shared" si="77"/>
        <v>0</v>
      </c>
      <c r="W190" s="11">
        <f t="shared" si="78"/>
        <v>0</v>
      </c>
      <c r="X190" s="11">
        <f t="shared" si="79"/>
        <v>0</v>
      </c>
      <c r="Y190" s="11">
        <f t="shared" si="80"/>
        <v>0</v>
      </c>
      <c r="Z190" s="65">
        <f t="shared" si="81"/>
        <v>0</v>
      </c>
      <c r="AA190" s="24">
        <f t="shared" si="82"/>
        <v>0</v>
      </c>
      <c r="AB190">
        <f t="shared" si="83"/>
        <v>0</v>
      </c>
      <c r="AC190" s="46">
        <f>+IFERROR(VLOOKUP(E190,#REF!,24,0),0.2)</f>
        <v>0.2</v>
      </c>
      <c r="AD190" s="42">
        <f>+IFERROR(VLOOKUP(E190,h!$C:$D,2,0),0.3866)</f>
        <v>0.38610833333333339</v>
      </c>
      <c r="AE190" s="42">
        <f>+VLOOKUP(A190,k!$A$1:$G$4,5,0)</f>
        <v>0.35799365240740744</v>
      </c>
      <c r="AF190" s="47">
        <f t="shared" si="84"/>
        <v>0.94410198574074089</v>
      </c>
      <c r="AG190" s="48">
        <f t="shared" si="85"/>
        <v>0.1132922382888889</v>
      </c>
      <c r="AH190" s="20">
        <f>+IFERROR(VLOOKUP(C190,k!$A$7:$L$13,7,0),0)</f>
        <v>0</v>
      </c>
      <c r="AI190" s="20">
        <f t="shared" si="86"/>
        <v>0</v>
      </c>
      <c r="AJ190" s="5">
        <f t="shared" si="87"/>
        <v>0</v>
      </c>
      <c r="AK190" s="57">
        <f t="shared" si="88"/>
        <v>0</v>
      </c>
      <c r="AL190" s="19">
        <f t="shared" si="89"/>
        <v>0</v>
      </c>
      <c r="AM190" s="20">
        <f t="shared" si="90"/>
        <v>0</v>
      </c>
      <c r="AN190" s="27">
        <f t="shared" si="91"/>
        <v>0</v>
      </c>
      <c r="AO190" s="57">
        <f t="shared" si="103"/>
        <v>0</v>
      </c>
      <c r="AP190" s="19">
        <f t="shared" si="92"/>
        <v>0</v>
      </c>
      <c r="AQ190" s="20">
        <f t="shared" si="93"/>
        <v>0</v>
      </c>
      <c r="AR190" s="58">
        <f t="shared" si="94"/>
        <v>0</v>
      </c>
      <c r="AS190" s="1">
        <f t="shared" si="95"/>
        <v>0</v>
      </c>
      <c r="AT190" s="21">
        <f t="shared" si="96"/>
        <v>0</v>
      </c>
      <c r="AU190" s="28">
        <f t="shared" si="97"/>
        <v>0</v>
      </c>
      <c r="AV190" s="19">
        <f t="shared" si="98"/>
        <v>0</v>
      </c>
      <c r="AW190" s="19">
        <f t="shared" si="99"/>
        <v>0</v>
      </c>
      <c r="AX190" s="27">
        <f t="shared" si="100"/>
        <v>0</v>
      </c>
      <c r="AY190" s="1" t="e">
        <f t="shared" si="101"/>
        <v>#DIV/0!</v>
      </c>
      <c r="AZ190" s="1" t="e">
        <f t="shared" si="102"/>
        <v>#DIV/0!</v>
      </c>
    </row>
    <row r="191" spans="1:52" hidden="1" x14ac:dyDescent="0.35">
      <c r="A191" s="6" t="s">
        <v>423</v>
      </c>
      <c r="B191" s="6">
        <v>1000</v>
      </c>
      <c r="C191" s="2" t="e">
        <f>+VLOOKUP(E191,inventario!#REF!,2,0)</f>
        <v>#REF!</v>
      </c>
      <c r="D191" t="str">
        <f t="shared" si="72"/>
        <v>1217</v>
      </c>
      <c r="E191" t="s">
        <v>791</v>
      </c>
      <c r="F191" s="6" t="str">
        <f>+IFERROR(VLOOKUP(E191,#REF!,29,0),"C")</f>
        <v>C</v>
      </c>
      <c r="G191" s="6" t="str">
        <f>+IFERROR(VLOOKUP(E191,#REF!,34,0),"C")</f>
        <v>C</v>
      </c>
      <c r="H191" s="64">
        <f>+IFERROR(VLOOKUP(E191,#REF!,31,0),0)</f>
        <v>0</v>
      </c>
      <c r="I191" s="44">
        <f>+IFERROR(VLOOKUP(E191,#REF!,26,0),0)</f>
        <v>0</v>
      </c>
      <c r="J191" s="44">
        <f>+IFERROR(VLOOKUP(E191,#REF!,30,0),0)</f>
        <v>0</v>
      </c>
      <c r="K191" s="3"/>
      <c r="L191" s="25">
        <f t="shared" si="73"/>
        <v>0.7</v>
      </c>
      <c r="M191" s="26">
        <f t="shared" si="74"/>
        <v>0.52440051270804078</v>
      </c>
      <c r="O191">
        <f>+IFERROR(VLOOKUP(D191,lt!A:J,10,0),15)</f>
        <v>15</v>
      </c>
      <c r="P191">
        <v>2</v>
      </c>
      <c r="Q191">
        <v>1</v>
      </c>
      <c r="R191">
        <v>2</v>
      </c>
      <c r="S191" s="22">
        <f t="shared" si="75"/>
        <v>20</v>
      </c>
      <c r="T191" s="9">
        <v>3</v>
      </c>
      <c r="U191" s="23">
        <f t="shared" si="76"/>
        <v>0.76666666666666672</v>
      </c>
      <c r="V191" s="11">
        <f t="shared" si="77"/>
        <v>0</v>
      </c>
      <c r="W191" s="11">
        <f t="shared" si="78"/>
        <v>0</v>
      </c>
      <c r="X191" s="11">
        <f t="shared" si="79"/>
        <v>0</v>
      </c>
      <c r="Y191" s="11">
        <f t="shared" si="80"/>
        <v>0</v>
      </c>
      <c r="Z191" s="65">
        <f t="shared" si="81"/>
        <v>0</v>
      </c>
      <c r="AA191" s="24">
        <f t="shared" si="82"/>
        <v>0</v>
      </c>
      <c r="AB191">
        <f t="shared" si="83"/>
        <v>0</v>
      </c>
      <c r="AC191" s="46">
        <f>+IFERROR(VLOOKUP(E191,#REF!,24,0),0.2)</f>
        <v>0.2</v>
      </c>
      <c r="AD191" s="42">
        <f>+IFERROR(VLOOKUP(E191,h!$C:$D,2,0),0.3866)</f>
        <v>0.38610833333333339</v>
      </c>
      <c r="AE191" s="42">
        <f>+VLOOKUP(A191,k!$A$1:$G$4,5,0)</f>
        <v>0.35799365240740744</v>
      </c>
      <c r="AF191" s="47">
        <f t="shared" si="84"/>
        <v>0.94410198574074089</v>
      </c>
      <c r="AG191" s="48">
        <f t="shared" si="85"/>
        <v>0.1132922382888889</v>
      </c>
      <c r="AH191" s="20">
        <f>+IFERROR(VLOOKUP(C191,k!$A$7:$L$13,7,0),0)</f>
        <v>0</v>
      </c>
      <c r="AI191" s="20">
        <f t="shared" si="86"/>
        <v>0</v>
      </c>
      <c r="AJ191" s="5">
        <f t="shared" si="87"/>
        <v>0</v>
      </c>
      <c r="AK191" s="57">
        <f t="shared" si="88"/>
        <v>0</v>
      </c>
      <c r="AL191" s="19">
        <f t="shared" si="89"/>
        <v>0</v>
      </c>
      <c r="AM191" s="20">
        <f t="shared" si="90"/>
        <v>0</v>
      </c>
      <c r="AN191" s="27">
        <f t="shared" si="91"/>
        <v>0</v>
      </c>
      <c r="AO191" s="57">
        <f t="shared" si="103"/>
        <v>0</v>
      </c>
      <c r="AP191" s="19">
        <f t="shared" si="92"/>
        <v>0</v>
      </c>
      <c r="AQ191" s="20">
        <f t="shared" si="93"/>
        <v>0</v>
      </c>
      <c r="AR191" s="58">
        <f t="shared" si="94"/>
        <v>0</v>
      </c>
      <c r="AS191" s="1">
        <f t="shared" si="95"/>
        <v>0</v>
      </c>
      <c r="AT191" s="21">
        <f t="shared" si="96"/>
        <v>0</v>
      </c>
      <c r="AU191" s="28">
        <f t="shared" si="97"/>
        <v>0</v>
      </c>
      <c r="AV191" s="19">
        <f t="shared" si="98"/>
        <v>0</v>
      </c>
      <c r="AW191" s="19">
        <f t="shared" si="99"/>
        <v>0</v>
      </c>
      <c r="AX191" s="27">
        <f t="shared" si="100"/>
        <v>0</v>
      </c>
      <c r="AY191" s="1" t="e">
        <f t="shared" si="101"/>
        <v>#DIV/0!</v>
      </c>
      <c r="AZ191" s="1" t="e">
        <f t="shared" si="102"/>
        <v>#DIV/0!</v>
      </c>
    </row>
    <row r="192" spans="1:52" hidden="1" x14ac:dyDescent="0.35">
      <c r="A192" s="6" t="s">
        <v>423</v>
      </c>
      <c r="B192" s="6">
        <v>1000</v>
      </c>
      <c r="C192" s="2" t="e">
        <f>+VLOOKUP(E192,inventario!#REF!,2,0)</f>
        <v>#REF!</v>
      </c>
      <c r="D192" t="str">
        <f t="shared" si="72"/>
        <v>6100</v>
      </c>
      <c r="E192" t="s">
        <v>793</v>
      </c>
      <c r="F192" s="6" t="str">
        <f>+IFERROR(VLOOKUP(E192,#REF!,29,0),"C")</f>
        <v>C</v>
      </c>
      <c r="G192" s="6" t="str">
        <f>+IFERROR(VLOOKUP(E192,#REF!,34,0),"C")</f>
        <v>C</v>
      </c>
      <c r="H192" s="64">
        <f>+IFERROR(VLOOKUP(E192,#REF!,31,0),0)</f>
        <v>0</v>
      </c>
      <c r="I192" s="44">
        <f>+IFERROR(VLOOKUP(E192,#REF!,26,0),0)</f>
        <v>0</v>
      </c>
      <c r="J192" s="44">
        <f>+IFERROR(VLOOKUP(E192,#REF!,30,0),0)</f>
        <v>0</v>
      </c>
      <c r="K192" s="3"/>
      <c r="L192" s="25">
        <f t="shared" si="73"/>
        <v>0.7</v>
      </c>
      <c r="M192" s="26">
        <f t="shared" si="74"/>
        <v>0.52440051270804078</v>
      </c>
      <c r="O192">
        <f>+IFERROR(VLOOKUP(D192,lt!A:J,10,0),15)</f>
        <v>15</v>
      </c>
      <c r="P192">
        <v>2</v>
      </c>
      <c r="Q192">
        <v>1</v>
      </c>
      <c r="R192">
        <v>2</v>
      </c>
      <c r="S192" s="22">
        <f t="shared" si="75"/>
        <v>20</v>
      </c>
      <c r="T192" s="9">
        <v>3</v>
      </c>
      <c r="U192" s="23">
        <f t="shared" si="76"/>
        <v>0.76666666666666672</v>
      </c>
      <c r="V192" s="11">
        <f t="shared" si="77"/>
        <v>0</v>
      </c>
      <c r="W192" s="11">
        <f t="shared" si="78"/>
        <v>0</v>
      </c>
      <c r="X192" s="11">
        <f t="shared" si="79"/>
        <v>0</v>
      </c>
      <c r="Y192" s="11">
        <f t="shared" si="80"/>
        <v>0</v>
      </c>
      <c r="Z192" s="65">
        <f t="shared" si="81"/>
        <v>0</v>
      </c>
      <c r="AA192" s="24">
        <f t="shared" si="82"/>
        <v>0</v>
      </c>
      <c r="AB192">
        <f t="shared" si="83"/>
        <v>0</v>
      </c>
      <c r="AC192" s="46">
        <f>+IFERROR(VLOOKUP(E192,#REF!,24,0),0.2)</f>
        <v>0.2</v>
      </c>
      <c r="AD192" s="42">
        <f>+IFERROR(VLOOKUP(E192,h!$C:$D,2,0),0.3866)</f>
        <v>0.38610833333333339</v>
      </c>
      <c r="AE192" s="42">
        <f>+VLOOKUP(A192,k!$A$1:$G$4,5,0)</f>
        <v>0.35799365240740744</v>
      </c>
      <c r="AF192" s="47">
        <f t="shared" si="84"/>
        <v>0.94410198574074089</v>
      </c>
      <c r="AG192" s="48">
        <f t="shared" si="85"/>
        <v>0.1132922382888889</v>
      </c>
      <c r="AH192" s="20">
        <f>+IFERROR(VLOOKUP(C192,k!$A$7:$L$13,7,0),0)</f>
        <v>0</v>
      </c>
      <c r="AI192" s="20">
        <f t="shared" si="86"/>
        <v>0</v>
      </c>
      <c r="AJ192" s="5">
        <f t="shared" si="87"/>
        <v>0</v>
      </c>
      <c r="AK192" s="57">
        <f t="shared" si="88"/>
        <v>0</v>
      </c>
      <c r="AL192" s="19">
        <f t="shared" si="89"/>
        <v>0</v>
      </c>
      <c r="AM192" s="20">
        <f t="shared" si="90"/>
        <v>0</v>
      </c>
      <c r="AN192" s="27">
        <f t="shared" si="91"/>
        <v>0</v>
      </c>
      <c r="AO192" s="57">
        <f t="shared" si="103"/>
        <v>0</v>
      </c>
      <c r="AP192" s="19">
        <f t="shared" si="92"/>
        <v>0</v>
      </c>
      <c r="AQ192" s="20">
        <f t="shared" si="93"/>
        <v>0</v>
      </c>
      <c r="AR192" s="58">
        <f t="shared" si="94"/>
        <v>0</v>
      </c>
      <c r="AS192" s="1">
        <f t="shared" si="95"/>
        <v>0</v>
      </c>
      <c r="AT192" s="21">
        <f t="shared" si="96"/>
        <v>0</v>
      </c>
      <c r="AU192" s="28">
        <f t="shared" si="97"/>
        <v>0</v>
      </c>
      <c r="AV192" s="19">
        <f t="shared" si="98"/>
        <v>0</v>
      </c>
      <c r="AW192" s="19">
        <f t="shared" si="99"/>
        <v>0</v>
      </c>
      <c r="AX192" s="27">
        <f t="shared" si="100"/>
        <v>0</v>
      </c>
      <c r="AY192" s="1" t="e">
        <f t="shared" si="101"/>
        <v>#DIV/0!</v>
      </c>
      <c r="AZ192" s="1" t="e">
        <f t="shared" si="102"/>
        <v>#DIV/0!</v>
      </c>
    </row>
    <row r="193" spans="1:52" hidden="1" x14ac:dyDescent="0.35">
      <c r="A193" s="6" t="s">
        <v>423</v>
      </c>
      <c r="B193" s="6">
        <v>1000</v>
      </c>
      <c r="C193" s="2" t="e">
        <f>+VLOOKUP(E193,inventario!#REF!,2,0)</f>
        <v>#REF!</v>
      </c>
      <c r="D193" t="str">
        <f t="shared" si="72"/>
        <v>5206</v>
      </c>
      <c r="E193" t="s">
        <v>805</v>
      </c>
      <c r="F193" s="6" t="str">
        <f>+IFERROR(VLOOKUP(E193,#REF!,29,0),"C")</f>
        <v>C</v>
      </c>
      <c r="G193" s="6" t="str">
        <f>+IFERROR(VLOOKUP(E193,#REF!,34,0),"C")</f>
        <v>C</v>
      </c>
      <c r="H193" s="64">
        <f>+IFERROR(VLOOKUP(E193,#REF!,31,0),0)</f>
        <v>0</v>
      </c>
      <c r="I193" s="44">
        <f>+IFERROR(VLOOKUP(E193,#REF!,26,0),0)</f>
        <v>0</v>
      </c>
      <c r="J193" s="44">
        <f>+IFERROR(VLOOKUP(E193,#REF!,30,0),0)</f>
        <v>0</v>
      </c>
      <c r="K193" s="3"/>
      <c r="L193" s="25">
        <f t="shared" si="73"/>
        <v>0.7</v>
      </c>
      <c r="M193" s="26">
        <f t="shared" si="74"/>
        <v>0.52440051270804078</v>
      </c>
      <c r="O193">
        <f>+IFERROR(VLOOKUP(D193,lt!A:J,10,0),15)</f>
        <v>15</v>
      </c>
      <c r="P193">
        <v>2</v>
      </c>
      <c r="Q193">
        <v>1</v>
      </c>
      <c r="R193">
        <v>2</v>
      </c>
      <c r="S193" s="22">
        <f t="shared" si="75"/>
        <v>20</v>
      </c>
      <c r="T193" s="9">
        <v>3</v>
      </c>
      <c r="U193" s="23">
        <f t="shared" si="76"/>
        <v>0.76666666666666672</v>
      </c>
      <c r="V193" s="11">
        <f t="shared" si="77"/>
        <v>0</v>
      </c>
      <c r="W193" s="11">
        <f t="shared" si="78"/>
        <v>0</v>
      </c>
      <c r="X193" s="11">
        <f t="shared" si="79"/>
        <v>0</v>
      </c>
      <c r="Y193" s="11">
        <f t="shared" si="80"/>
        <v>0</v>
      </c>
      <c r="Z193" s="65">
        <f t="shared" si="81"/>
        <v>0</v>
      </c>
      <c r="AA193" s="24">
        <f t="shared" si="82"/>
        <v>0</v>
      </c>
      <c r="AB193">
        <f t="shared" si="83"/>
        <v>0</v>
      </c>
      <c r="AC193" s="46">
        <f>+IFERROR(VLOOKUP(E193,#REF!,24,0),0.2)</f>
        <v>0.2</v>
      </c>
      <c r="AD193" s="42">
        <f>+IFERROR(VLOOKUP(E193,h!$C:$D,2,0),0.3866)</f>
        <v>0.3866</v>
      </c>
      <c r="AE193" s="42">
        <f>+VLOOKUP(A193,k!$A$1:$G$4,5,0)</f>
        <v>0.35799365240740744</v>
      </c>
      <c r="AF193" s="47">
        <f t="shared" si="84"/>
        <v>0.94459365240740745</v>
      </c>
      <c r="AG193" s="48">
        <f t="shared" si="85"/>
        <v>0.11335123828888889</v>
      </c>
      <c r="AH193" s="20">
        <f>+IFERROR(VLOOKUP(C193,k!$A$7:$L$13,7,0),0)</f>
        <v>0</v>
      </c>
      <c r="AI193" s="20">
        <f t="shared" si="86"/>
        <v>0</v>
      </c>
      <c r="AJ193" s="5">
        <f t="shared" si="87"/>
        <v>0</v>
      </c>
      <c r="AK193" s="57">
        <f t="shared" si="88"/>
        <v>0</v>
      </c>
      <c r="AL193" s="19">
        <f t="shared" si="89"/>
        <v>0</v>
      </c>
      <c r="AM193" s="20">
        <f t="shared" si="90"/>
        <v>0</v>
      </c>
      <c r="AN193" s="27">
        <f t="shared" si="91"/>
        <v>0</v>
      </c>
      <c r="AO193" s="57">
        <f t="shared" si="103"/>
        <v>0</v>
      </c>
      <c r="AP193" s="19">
        <f t="shared" si="92"/>
        <v>0</v>
      </c>
      <c r="AQ193" s="20">
        <f t="shared" si="93"/>
        <v>0</v>
      </c>
      <c r="AR193" s="58">
        <f t="shared" si="94"/>
        <v>0</v>
      </c>
      <c r="AS193" s="1">
        <f t="shared" si="95"/>
        <v>0</v>
      </c>
      <c r="AT193" s="21">
        <f t="shared" si="96"/>
        <v>0</v>
      </c>
      <c r="AU193" s="28">
        <f t="shared" si="97"/>
        <v>0</v>
      </c>
      <c r="AV193" s="19">
        <f t="shared" si="98"/>
        <v>0</v>
      </c>
      <c r="AW193" s="19">
        <f t="shared" si="99"/>
        <v>0</v>
      </c>
      <c r="AX193" s="27">
        <f t="shared" si="100"/>
        <v>0</v>
      </c>
      <c r="AY193" s="1" t="e">
        <f t="shared" si="101"/>
        <v>#DIV/0!</v>
      </c>
      <c r="AZ193" s="1" t="e">
        <f t="shared" si="102"/>
        <v>#DIV/0!</v>
      </c>
    </row>
    <row r="194" spans="1:52" hidden="1" x14ac:dyDescent="0.35">
      <c r="A194" s="6" t="s">
        <v>423</v>
      </c>
      <c r="B194" s="6">
        <v>1000</v>
      </c>
      <c r="C194" s="2" t="e">
        <f>+VLOOKUP(E194,inventario!#REF!,2,0)</f>
        <v>#REF!</v>
      </c>
      <c r="D194" t="str">
        <f t="shared" si="72"/>
        <v>5205</v>
      </c>
      <c r="E194" t="s">
        <v>807</v>
      </c>
      <c r="F194" s="6" t="str">
        <f>+IFERROR(VLOOKUP(E194,#REF!,29,0),"C")</f>
        <v>C</v>
      </c>
      <c r="G194" s="6" t="str">
        <f>+IFERROR(VLOOKUP(E194,#REF!,34,0),"C")</f>
        <v>C</v>
      </c>
      <c r="H194" s="64">
        <f>+IFERROR(VLOOKUP(E194,#REF!,31,0),0)</f>
        <v>0</v>
      </c>
      <c r="I194" s="44">
        <f>+IFERROR(VLOOKUP(E194,#REF!,26,0),0)</f>
        <v>0</v>
      </c>
      <c r="J194" s="44">
        <f>+IFERROR(VLOOKUP(E194,#REF!,30,0),0)</f>
        <v>0</v>
      </c>
      <c r="K194" s="3"/>
      <c r="L194" s="25">
        <f t="shared" si="73"/>
        <v>0.7</v>
      </c>
      <c r="M194" s="26">
        <f t="shared" si="74"/>
        <v>0.52440051270804078</v>
      </c>
      <c r="O194">
        <f>+IFERROR(VLOOKUP(D194,lt!A:J,10,0),15)</f>
        <v>15</v>
      </c>
      <c r="P194">
        <v>2</v>
      </c>
      <c r="Q194">
        <v>1</v>
      </c>
      <c r="R194">
        <v>2</v>
      </c>
      <c r="S194" s="22">
        <f t="shared" si="75"/>
        <v>20</v>
      </c>
      <c r="T194" s="9">
        <v>3</v>
      </c>
      <c r="U194" s="23">
        <f t="shared" si="76"/>
        <v>0.76666666666666672</v>
      </c>
      <c r="V194" s="11">
        <f t="shared" si="77"/>
        <v>0</v>
      </c>
      <c r="W194" s="11">
        <f t="shared" si="78"/>
        <v>0</v>
      </c>
      <c r="X194" s="11">
        <f t="shared" si="79"/>
        <v>0</v>
      </c>
      <c r="Y194" s="11">
        <f t="shared" si="80"/>
        <v>0</v>
      </c>
      <c r="Z194" s="65">
        <f t="shared" si="81"/>
        <v>0</v>
      </c>
      <c r="AA194" s="24">
        <f t="shared" si="82"/>
        <v>0</v>
      </c>
      <c r="AB194">
        <f t="shared" si="83"/>
        <v>0</v>
      </c>
      <c r="AC194" s="46">
        <f>+IFERROR(VLOOKUP(E194,#REF!,24,0),0.2)</f>
        <v>0.2</v>
      </c>
      <c r="AD194" s="42">
        <f>+IFERROR(VLOOKUP(E194,h!$C:$D,2,0),0.3866)</f>
        <v>0.38610833333333339</v>
      </c>
      <c r="AE194" s="42">
        <f>+VLOOKUP(A194,k!$A$1:$G$4,5,0)</f>
        <v>0.35799365240740744</v>
      </c>
      <c r="AF194" s="47">
        <f t="shared" si="84"/>
        <v>0.94410198574074089</v>
      </c>
      <c r="AG194" s="48">
        <f t="shared" si="85"/>
        <v>0.1132922382888889</v>
      </c>
      <c r="AH194" s="20">
        <f>+IFERROR(VLOOKUP(C194,k!$A$7:$L$13,7,0),0)</f>
        <v>0</v>
      </c>
      <c r="AI194" s="20">
        <f t="shared" si="86"/>
        <v>0</v>
      </c>
      <c r="AJ194" s="5">
        <f t="shared" si="87"/>
        <v>0</v>
      </c>
      <c r="AK194" s="57">
        <f t="shared" si="88"/>
        <v>0</v>
      </c>
      <c r="AL194" s="19">
        <f t="shared" si="89"/>
        <v>0</v>
      </c>
      <c r="AM194" s="20">
        <f t="shared" si="90"/>
        <v>0</v>
      </c>
      <c r="AN194" s="27">
        <f t="shared" si="91"/>
        <v>0</v>
      </c>
      <c r="AO194" s="57">
        <f t="shared" ref="AO194:AO225" si="104">+CEILING(IFERROR(SQRT(2*AI194*I194/AG194),0),B194)</f>
        <v>0</v>
      </c>
      <c r="AP194" s="19">
        <f t="shared" si="92"/>
        <v>0</v>
      </c>
      <c r="AQ194" s="20">
        <f t="shared" si="93"/>
        <v>0</v>
      </c>
      <c r="AR194" s="58">
        <f t="shared" si="94"/>
        <v>0</v>
      </c>
      <c r="AS194" s="1">
        <f t="shared" si="95"/>
        <v>0</v>
      </c>
      <c r="AT194" s="21">
        <f t="shared" si="96"/>
        <v>0</v>
      </c>
      <c r="AU194" s="28">
        <f t="shared" si="97"/>
        <v>0</v>
      </c>
      <c r="AV194" s="19">
        <f t="shared" si="98"/>
        <v>0</v>
      </c>
      <c r="AW194" s="19">
        <f t="shared" si="99"/>
        <v>0</v>
      </c>
      <c r="AX194" s="27">
        <f t="shared" si="100"/>
        <v>0</v>
      </c>
      <c r="AY194" s="1" t="e">
        <f t="shared" si="101"/>
        <v>#DIV/0!</v>
      </c>
      <c r="AZ194" s="1" t="e">
        <f t="shared" si="102"/>
        <v>#DIV/0!</v>
      </c>
    </row>
    <row r="195" spans="1:52" hidden="1" x14ac:dyDescent="0.35">
      <c r="A195" s="6" t="s">
        <v>423</v>
      </c>
      <c r="B195" s="6">
        <v>1000</v>
      </c>
      <c r="C195" s="2" t="e">
        <f>+VLOOKUP(E195,inventario!#REF!,2,0)</f>
        <v>#REF!</v>
      </c>
      <c r="D195" t="str">
        <f t="shared" si="72"/>
        <v>3280</v>
      </c>
      <c r="E195" t="s">
        <v>971</v>
      </c>
      <c r="F195" s="6" t="str">
        <f>+IFERROR(VLOOKUP(E195,#REF!,29,0),"C")</f>
        <v>C</v>
      </c>
      <c r="G195" s="6" t="str">
        <f>+IFERROR(VLOOKUP(E195,#REF!,34,0),"C")</f>
        <v>C</v>
      </c>
      <c r="H195" s="64">
        <f>+IFERROR(VLOOKUP(E195,#REF!,31,0),0)</f>
        <v>0</v>
      </c>
      <c r="I195" s="44">
        <f>+IFERROR(VLOOKUP(E195,#REF!,26,0),0)</f>
        <v>0</v>
      </c>
      <c r="J195" s="44">
        <f>+IFERROR(VLOOKUP(E195,#REF!,30,0),0)</f>
        <v>0</v>
      </c>
      <c r="K195" s="3"/>
      <c r="L195" s="25">
        <f t="shared" si="73"/>
        <v>0.7</v>
      </c>
      <c r="M195" s="26">
        <f t="shared" si="74"/>
        <v>0.52440051270804078</v>
      </c>
      <c r="O195">
        <f>+IFERROR(VLOOKUP(D195,lt!A:J,10,0),15)</f>
        <v>15</v>
      </c>
      <c r="P195">
        <v>2</v>
      </c>
      <c r="Q195">
        <v>1</v>
      </c>
      <c r="R195">
        <v>2</v>
      </c>
      <c r="S195" s="22">
        <f t="shared" si="75"/>
        <v>20</v>
      </c>
      <c r="T195" s="9">
        <v>3</v>
      </c>
      <c r="U195" s="23">
        <f t="shared" si="76"/>
        <v>0.76666666666666672</v>
      </c>
      <c r="V195" s="11">
        <f t="shared" si="77"/>
        <v>0</v>
      </c>
      <c r="W195" s="11">
        <f t="shared" si="78"/>
        <v>0</v>
      </c>
      <c r="X195" s="11">
        <f t="shared" si="79"/>
        <v>0</v>
      </c>
      <c r="Y195" s="11">
        <f t="shared" si="80"/>
        <v>0</v>
      </c>
      <c r="Z195" s="65">
        <f t="shared" si="81"/>
        <v>0</v>
      </c>
      <c r="AA195" s="24">
        <f t="shared" si="82"/>
        <v>0</v>
      </c>
      <c r="AB195">
        <f t="shared" si="83"/>
        <v>0</v>
      </c>
      <c r="AC195" s="46">
        <f>+IFERROR(VLOOKUP(E195,#REF!,24,0),0.2)</f>
        <v>0.2</v>
      </c>
      <c r="AD195" s="42">
        <f>+IFERROR(VLOOKUP(E195,h!$C:$D,2,0),0.3866)</f>
        <v>0.38610833333333339</v>
      </c>
      <c r="AE195" s="42">
        <f>+VLOOKUP(A195,k!$A$1:$G$4,5,0)</f>
        <v>0.35799365240740744</v>
      </c>
      <c r="AF195" s="47">
        <f t="shared" si="84"/>
        <v>0.94410198574074089</v>
      </c>
      <c r="AG195" s="48">
        <f t="shared" si="85"/>
        <v>0.1132922382888889</v>
      </c>
      <c r="AH195" s="20">
        <f>+IFERROR(VLOOKUP(C195,k!$A$7:$L$13,7,0),0)</f>
        <v>0</v>
      </c>
      <c r="AI195" s="20">
        <f t="shared" si="86"/>
        <v>0</v>
      </c>
      <c r="AJ195" s="5">
        <f t="shared" si="87"/>
        <v>0</v>
      </c>
      <c r="AK195" s="57">
        <f t="shared" si="88"/>
        <v>0</v>
      </c>
      <c r="AL195" s="19">
        <f t="shared" si="89"/>
        <v>0</v>
      </c>
      <c r="AM195" s="20">
        <f t="shared" si="90"/>
        <v>0</v>
      </c>
      <c r="AN195" s="27">
        <f t="shared" si="91"/>
        <v>0</v>
      </c>
      <c r="AO195" s="57">
        <f t="shared" si="104"/>
        <v>0</v>
      </c>
      <c r="AP195" s="19">
        <f t="shared" si="92"/>
        <v>0</v>
      </c>
      <c r="AQ195" s="20">
        <f t="shared" si="93"/>
        <v>0</v>
      </c>
      <c r="AR195" s="58">
        <f t="shared" si="94"/>
        <v>0</v>
      </c>
      <c r="AS195" s="1">
        <f t="shared" si="95"/>
        <v>0</v>
      </c>
      <c r="AT195" s="21">
        <f t="shared" si="96"/>
        <v>0</v>
      </c>
      <c r="AU195" s="28">
        <f t="shared" si="97"/>
        <v>0</v>
      </c>
      <c r="AV195" s="19">
        <f t="shared" si="98"/>
        <v>0</v>
      </c>
      <c r="AW195" s="19">
        <f t="shared" si="99"/>
        <v>0</v>
      </c>
      <c r="AX195" s="27">
        <f t="shared" si="100"/>
        <v>0</v>
      </c>
      <c r="AY195" s="1" t="e">
        <f t="shared" si="101"/>
        <v>#DIV/0!</v>
      </c>
      <c r="AZ195" s="1" t="e">
        <f t="shared" si="102"/>
        <v>#DIV/0!</v>
      </c>
    </row>
    <row r="196" spans="1:52" hidden="1" x14ac:dyDescent="0.35">
      <c r="A196" s="6" t="s">
        <v>423</v>
      </c>
      <c r="B196" s="6">
        <v>1000</v>
      </c>
      <c r="C196" s="2" t="e">
        <f>+VLOOKUP(E196,inventario!#REF!,2,0)</f>
        <v>#REF!</v>
      </c>
      <c r="D196" t="str">
        <f t="shared" si="72"/>
        <v>3135</v>
      </c>
      <c r="E196" t="s">
        <v>788</v>
      </c>
      <c r="F196" s="6" t="str">
        <f>+IFERROR(VLOOKUP(E196,#REF!,29,0),"C")</f>
        <v>C</v>
      </c>
      <c r="G196" s="6" t="str">
        <f>+IFERROR(VLOOKUP(E196,#REF!,34,0),"C")</f>
        <v>C</v>
      </c>
      <c r="H196" s="64">
        <f>+IFERROR(VLOOKUP(E196,#REF!,31,0),0)</f>
        <v>0</v>
      </c>
      <c r="I196" s="44">
        <f>+IFERROR(VLOOKUP(E196,#REF!,26,0),0)</f>
        <v>0</v>
      </c>
      <c r="J196" s="44">
        <f>+IFERROR(VLOOKUP(E196,#REF!,30,0),0)</f>
        <v>0</v>
      </c>
      <c r="K196" s="3"/>
      <c r="L196" s="25">
        <f t="shared" si="73"/>
        <v>0.7</v>
      </c>
      <c r="M196" s="26">
        <f t="shared" si="74"/>
        <v>0.52440051270804078</v>
      </c>
      <c r="O196">
        <f>+IFERROR(VLOOKUP(D196,lt!A:J,10,0),15)</f>
        <v>15</v>
      </c>
      <c r="P196">
        <v>2</v>
      </c>
      <c r="Q196">
        <v>1</v>
      </c>
      <c r="R196">
        <v>2</v>
      </c>
      <c r="S196" s="22">
        <f t="shared" si="75"/>
        <v>20</v>
      </c>
      <c r="T196" s="9">
        <v>3</v>
      </c>
      <c r="U196" s="23">
        <f t="shared" si="76"/>
        <v>0.76666666666666672</v>
      </c>
      <c r="V196" s="11">
        <f t="shared" si="77"/>
        <v>0</v>
      </c>
      <c r="W196" s="11">
        <f t="shared" si="78"/>
        <v>0</v>
      </c>
      <c r="X196" s="11">
        <f t="shared" si="79"/>
        <v>0</v>
      </c>
      <c r="Y196" s="11">
        <f t="shared" si="80"/>
        <v>0</v>
      </c>
      <c r="Z196" s="65">
        <f t="shared" si="81"/>
        <v>0</v>
      </c>
      <c r="AA196" s="24">
        <f t="shared" si="82"/>
        <v>0</v>
      </c>
      <c r="AB196">
        <f t="shared" si="83"/>
        <v>0</v>
      </c>
      <c r="AC196" s="46">
        <f>+IFERROR(VLOOKUP(E196,#REF!,24,0),0.2)</f>
        <v>0.2</v>
      </c>
      <c r="AD196" s="42">
        <f>+IFERROR(VLOOKUP(E196,h!$C:$D,2,0),0.3866)</f>
        <v>0.38610833333333339</v>
      </c>
      <c r="AE196" s="42">
        <f>+VLOOKUP(A196,k!$A$1:$G$4,5,0)</f>
        <v>0.35799365240740744</v>
      </c>
      <c r="AF196" s="47">
        <f t="shared" si="84"/>
        <v>0.94410198574074089</v>
      </c>
      <c r="AG196" s="48">
        <f t="shared" si="85"/>
        <v>0.1132922382888889</v>
      </c>
      <c r="AH196" s="20">
        <f>+IFERROR(VLOOKUP(C196,k!$A$7:$L$13,7,0),0)</f>
        <v>0</v>
      </c>
      <c r="AI196" s="20">
        <f t="shared" si="86"/>
        <v>0</v>
      </c>
      <c r="AJ196" s="5">
        <f t="shared" si="87"/>
        <v>0</v>
      </c>
      <c r="AK196" s="57">
        <f t="shared" si="88"/>
        <v>0</v>
      </c>
      <c r="AL196" s="19">
        <f t="shared" si="89"/>
        <v>0</v>
      </c>
      <c r="AM196" s="20">
        <f t="shared" si="90"/>
        <v>0</v>
      </c>
      <c r="AN196" s="27">
        <f t="shared" si="91"/>
        <v>0</v>
      </c>
      <c r="AO196" s="57">
        <f t="shared" si="104"/>
        <v>0</v>
      </c>
      <c r="AP196" s="19">
        <f t="shared" si="92"/>
        <v>0</v>
      </c>
      <c r="AQ196" s="20">
        <f t="shared" si="93"/>
        <v>0</v>
      </c>
      <c r="AR196" s="58">
        <f t="shared" si="94"/>
        <v>0</v>
      </c>
      <c r="AS196" s="1">
        <f t="shared" si="95"/>
        <v>0</v>
      </c>
      <c r="AT196" s="21">
        <f t="shared" si="96"/>
        <v>0</v>
      </c>
      <c r="AU196" s="28">
        <f t="shared" si="97"/>
        <v>0</v>
      </c>
      <c r="AV196" s="19">
        <f t="shared" si="98"/>
        <v>0</v>
      </c>
      <c r="AW196" s="19">
        <f t="shared" si="99"/>
        <v>0</v>
      </c>
      <c r="AX196" s="27">
        <f t="shared" si="100"/>
        <v>0</v>
      </c>
      <c r="AY196" s="1" t="e">
        <f t="shared" si="101"/>
        <v>#DIV/0!</v>
      </c>
      <c r="AZ196" s="1" t="e">
        <f t="shared" si="102"/>
        <v>#DIV/0!</v>
      </c>
    </row>
    <row r="197" spans="1:52" hidden="1" x14ac:dyDescent="0.35">
      <c r="A197" s="6" t="s">
        <v>423</v>
      </c>
      <c r="B197" s="6">
        <v>1000</v>
      </c>
      <c r="C197" s="2" t="e">
        <f>+VLOOKUP(E197,inventario!#REF!,2,0)</f>
        <v>#REF!</v>
      </c>
      <c r="D197" t="str">
        <f t="shared" ref="D197:D239" si="105">+RIGHT(E197, LEN(E197) - FIND("|", E197) - 1)</f>
        <v>5106</v>
      </c>
      <c r="E197" t="s">
        <v>782</v>
      </c>
      <c r="F197" s="6" t="str">
        <f>+IFERROR(VLOOKUP(E197,#REF!,29,0),"C")</f>
        <v>C</v>
      </c>
      <c r="G197" s="6" t="str">
        <f>+IFERROR(VLOOKUP(E197,#REF!,34,0),"C")</f>
        <v>C</v>
      </c>
      <c r="H197" s="64">
        <f>+IFERROR(VLOOKUP(E197,#REF!,31,0),0)</f>
        <v>0</v>
      </c>
      <c r="I197" s="44">
        <f>+IFERROR(VLOOKUP(E197,#REF!,26,0),0)</f>
        <v>0</v>
      </c>
      <c r="J197" s="44">
        <f>+IFERROR(VLOOKUP(E197,#REF!,30,0),0)</f>
        <v>0</v>
      </c>
      <c r="K197" s="3"/>
      <c r="L197" s="25">
        <f t="shared" ref="L197:L239" si="106">+IF(OR(F197="A",F197="A+"),0.95,IF(F197="B",0.75,0.7))</f>
        <v>0.7</v>
      </c>
      <c r="M197" s="26">
        <f t="shared" ref="M197:M239" si="107">+NORMSINV(L197)</f>
        <v>0.52440051270804078</v>
      </c>
      <c r="O197">
        <f>+IFERROR(VLOOKUP(D197,lt!A:J,10,0),15)</f>
        <v>15</v>
      </c>
      <c r="P197">
        <v>2</v>
      </c>
      <c r="Q197">
        <v>1</v>
      </c>
      <c r="R197">
        <v>2</v>
      </c>
      <c r="S197" s="22">
        <f t="shared" ref="S197:S239" si="108">+O197+P197+Q197+R197</f>
        <v>20</v>
      </c>
      <c r="T197" s="9">
        <v>3</v>
      </c>
      <c r="U197" s="23">
        <f t="shared" ref="U197:U239" si="109">(T197+S197)/30</f>
        <v>0.76666666666666672</v>
      </c>
      <c r="V197" s="11">
        <f t="shared" ref="V197:V239" si="110">+J197*NORMSINV(L197)*SQRT((S197+T197)/30)</f>
        <v>0</v>
      </c>
      <c r="W197" s="11">
        <f t="shared" ref="W197:W239" si="111">+(S197+T197)/30*H197</f>
        <v>0</v>
      </c>
      <c r="X197" s="11">
        <f t="shared" ref="X197:X239" si="112">+(H197)/30*T197/2</f>
        <v>0</v>
      </c>
      <c r="Y197" s="11">
        <f t="shared" ref="Y197:Y239" si="113">+X197+V197</f>
        <v>0</v>
      </c>
      <c r="Z197" s="65">
        <f t="shared" ref="Z197:Z239" si="114">+CEILING(W197+V197,B197)</f>
        <v>0</v>
      </c>
      <c r="AA197" s="24">
        <f t="shared" ref="AA197:AA239" si="115">+H197/30*S197</f>
        <v>0</v>
      </c>
      <c r="AB197">
        <f t="shared" ref="AB197:AB239" si="116">+H197*T197</f>
        <v>0</v>
      </c>
      <c r="AC197" s="46">
        <f>+IFERROR(VLOOKUP(E197,#REF!,24,0),0.2)</f>
        <v>0.2</v>
      </c>
      <c r="AD197" s="42">
        <f>+IFERROR(VLOOKUP(E197,h!$C:$D,2,0),0.3866)</f>
        <v>0.38610833333333339</v>
      </c>
      <c r="AE197" s="42">
        <f>+VLOOKUP(A197,k!$A$1:$G$4,5,0)</f>
        <v>0.35799365240740744</v>
      </c>
      <c r="AF197" s="47">
        <f t="shared" ref="AF197:AF239" si="117">+SUM(AC197:AE197)</f>
        <v>0.94410198574074089</v>
      </c>
      <c r="AG197" s="48">
        <f t="shared" ref="AG197:AG239" si="118">12%*AF197</f>
        <v>0.1132922382888889</v>
      </c>
      <c r="AH197" s="20">
        <f>+IFERROR(VLOOKUP(C197,k!$A$7:$L$13,7,0),0)</f>
        <v>0</v>
      </c>
      <c r="AI197" s="20">
        <f t="shared" ref="AI197:AI239" si="119">+AL197*AH197</f>
        <v>0</v>
      </c>
      <c r="AJ197" s="5">
        <f t="shared" ref="AJ197:AJ239" si="120">AH197</f>
        <v>0</v>
      </c>
      <c r="AK197" s="57">
        <f t="shared" ref="AK197:AK239" si="121">+CEILING(IFERROR(SQRT(2*AJ197*I197/AG197),0),B197)</f>
        <v>0</v>
      </c>
      <c r="AL197" s="19">
        <f t="shared" ref="AL197:AL239" si="122">+IF(AK197=0,0,ROUNDUP(I197/AK197,0))</f>
        <v>0</v>
      </c>
      <c r="AM197" s="20">
        <f t="shared" ref="AM197:AM239" si="123">+IFERROR(AK197/H197,0)</f>
        <v>0</v>
      </c>
      <c r="AN197" s="27">
        <f t="shared" ref="AN197:AN239" si="124">+AM197*30</f>
        <v>0</v>
      </c>
      <c r="AO197" s="57">
        <f t="shared" si="104"/>
        <v>0</v>
      </c>
      <c r="AP197" s="19">
        <f t="shared" ref="AP197:AP239" si="125">+IF(AO197=0,0,I197/AO197)</f>
        <v>0</v>
      </c>
      <c r="AQ197" s="20">
        <f t="shared" ref="AQ197:AQ239" si="126">+IFERROR(AO197/H197,0)</f>
        <v>0</v>
      </c>
      <c r="AR197" s="58">
        <f t="shared" ref="AR197:AR239" si="127">+AQ197*30</f>
        <v>0</v>
      </c>
      <c r="AS197" s="1">
        <f t="shared" ref="AS197:AS239" si="128">+AU197+H197/30*S197</f>
        <v>0</v>
      </c>
      <c r="AT197" s="21">
        <f t="shared" ref="AT197:AT239" si="129">+IFERROR(AS197/H197*22,0)</f>
        <v>0</v>
      </c>
      <c r="AU197" s="28">
        <f t="shared" ref="AU197:AU239" si="130">+NORMSINV(L197)*SQRT((S197)/30)*J197</f>
        <v>0</v>
      </c>
      <c r="AV197" s="19">
        <f t="shared" ref="AV197:AV239" si="131">+AO197/2</f>
        <v>0</v>
      </c>
      <c r="AW197" s="19">
        <f t="shared" ref="AW197:AW239" si="132">+AV197+AU197</f>
        <v>0</v>
      </c>
      <c r="AX197" s="27">
        <f t="shared" ref="AX197:AX239" si="133">+H197/30*S197</f>
        <v>0</v>
      </c>
      <c r="AY197" s="1" t="e">
        <f t="shared" ref="AY197:AY239" si="134">+AU197/H197*30</f>
        <v>#DIV/0!</v>
      </c>
      <c r="AZ197" s="1" t="e">
        <f t="shared" ref="AZ197:AZ239" si="135">+AW197/H197*30</f>
        <v>#DIV/0!</v>
      </c>
    </row>
    <row r="198" spans="1:52" hidden="1" x14ac:dyDescent="0.35">
      <c r="A198" s="6" t="s">
        <v>423</v>
      </c>
      <c r="B198" s="6">
        <v>1000</v>
      </c>
      <c r="C198" s="2" t="e">
        <f>+VLOOKUP(E198,inventario!#REF!,2,0)</f>
        <v>#REF!</v>
      </c>
      <c r="D198" t="str">
        <f t="shared" si="105"/>
        <v>5402</v>
      </c>
      <c r="E198" t="s">
        <v>784</v>
      </c>
      <c r="F198" s="6" t="str">
        <f>+IFERROR(VLOOKUP(E198,#REF!,29,0),"C")</f>
        <v>C</v>
      </c>
      <c r="G198" s="6" t="str">
        <f>+IFERROR(VLOOKUP(E198,#REF!,34,0),"C")</f>
        <v>C</v>
      </c>
      <c r="H198" s="64">
        <f>+IFERROR(VLOOKUP(E198,#REF!,31,0),0)</f>
        <v>0</v>
      </c>
      <c r="I198" s="44">
        <f>+IFERROR(VLOOKUP(E198,#REF!,26,0),0)</f>
        <v>0</v>
      </c>
      <c r="J198" s="44">
        <f>+IFERROR(VLOOKUP(E198,#REF!,30,0),0)</f>
        <v>0</v>
      </c>
      <c r="K198" s="3"/>
      <c r="L198" s="25">
        <f t="shared" si="106"/>
        <v>0.7</v>
      </c>
      <c r="M198" s="26">
        <f t="shared" si="107"/>
        <v>0.52440051270804078</v>
      </c>
      <c r="O198">
        <f>+IFERROR(VLOOKUP(D198,lt!A:J,10,0),15)</f>
        <v>15</v>
      </c>
      <c r="P198">
        <v>2</v>
      </c>
      <c r="Q198">
        <v>1</v>
      </c>
      <c r="R198">
        <v>2</v>
      </c>
      <c r="S198" s="22">
        <f t="shared" si="108"/>
        <v>20</v>
      </c>
      <c r="T198" s="9">
        <v>3</v>
      </c>
      <c r="U198" s="23">
        <f t="shared" si="109"/>
        <v>0.76666666666666672</v>
      </c>
      <c r="V198" s="11">
        <f t="shared" si="110"/>
        <v>0</v>
      </c>
      <c r="W198" s="11">
        <f t="shared" si="111"/>
        <v>0</v>
      </c>
      <c r="X198" s="11">
        <f t="shared" si="112"/>
        <v>0</v>
      </c>
      <c r="Y198" s="11">
        <f t="shared" si="113"/>
        <v>0</v>
      </c>
      <c r="Z198" s="65">
        <f t="shared" si="114"/>
        <v>0</v>
      </c>
      <c r="AA198" s="24">
        <f t="shared" si="115"/>
        <v>0</v>
      </c>
      <c r="AB198">
        <f t="shared" si="116"/>
        <v>0</v>
      </c>
      <c r="AC198" s="46">
        <f>+IFERROR(VLOOKUP(E198,#REF!,24,0),0.2)</f>
        <v>0.2</v>
      </c>
      <c r="AD198" s="42">
        <f>+IFERROR(VLOOKUP(E198,h!$C:$D,2,0),0.3866)</f>
        <v>0.38610833333333339</v>
      </c>
      <c r="AE198" s="42">
        <f>+VLOOKUP(A198,k!$A$1:$G$4,5,0)</f>
        <v>0.35799365240740744</v>
      </c>
      <c r="AF198" s="47">
        <f t="shared" si="117"/>
        <v>0.94410198574074089</v>
      </c>
      <c r="AG198" s="48">
        <f t="shared" si="118"/>
        <v>0.1132922382888889</v>
      </c>
      <c r="AH198" s="20">
        <f>+IFERROR(VLOOKUP(C198,k!$A$7:$L$13,7,0),0)</f>
        <v>0</v>
      </c>
      <c r="AI198" s="20">
        <f t="shared" si="119"/>
        <v>0</v>
      </c>
      <c r="AJ198" s="5">
        <f t="shared" si="120"/>
        <v>0</v>
      </c>
      <c r="AK198" s="57">
        <f t="shared" si="121"/>
        <v>0</v>
      </c>
      <c r="AL198" s="19">
        <f t="shared" si="122"/>
        <v>0</v>
      </c>
      <c r="AM198" s="20">
        <f t="shared" si="123"/>
        <v>0</v>
      </c>
      <c r="AN198" s="27">
        <f t="shared" si="124"/>
        <v>0</v>
      </c>
      <c r="AO198" s="57">
        <f t="shared" si="104"/>
        <v>0</v>
      </c>
      <c r="AP198" s="19">
        <f t="shared" si="125"/>
        <v>0</v>
      </c>
      <c r="AQ198" s="20">
        <f t="shared" si="126"/>
        <v>0</v>
      </c>
      <c r="AR198" s="58">
        <f t="shared" si="127"/>
        <v>0</v>
      </c>
      <c r="AS198" s="1">
        <f t="shared" si="128"/>
        <v>0</v>
      </c>
      <c r="AT198" s="21">
        <f t="shared" si="129"/>
        <v>0</v>
      </c>
      <c r="AU198" s="28">
        <f t="shared" si="130"/>
        <v>0</v>
      </c>
      <c r="AV198" s="19">
        <f t="shared" si="131"/>
        <v>0</v>
      </c>
      <c r="AW198" s="19">
        <f t="shared" si="132"/>
        <v>0</v>
      </c>
      <c r="AX198" s="27">
        <f t="shared" si="133"/>
        <v>0</v>
      </c>
      <c r="AY198" s="1" t="e">
        <f t="shared" si="134"/>
        <v>#DIV/0!</v>
      </c>
      <c r="AZ198" s="1" t="e">
        <f t="shared" si="135"/>
        <v>#DIV/0!</v>
      </c>
    </row>
    <row r="199" spans="1:52" hidden="1" x14ac:dyDescent="0.35">
      <c r="A199" s="6" t="s">
        <v>423</v>
      </c>
      <c r="B199" s="6">
        <v>1000</v>
      </c>
      <c r="C199" s="2" t="e">
        <f>+VLOOKUP(E199,inventario!#REF!,2,0)</f>
        <v>#REF!</v>
      </c>
      <c r="D199" t="str">
        <f t="shared" si="105"/>
        <v>6403</v>
      </c>
      <c r="E199" t="s">
        <v>809</v>
      </c>
      <c r="F199" s="6" t="str">
        <f>+IFERROR(VLOOKUP(E199,#REF!,29,0),"C")</f>
        <v>C</v>
      </c>
      <c r="G199" s="6" t="str">
        <f>+IFERROR(VLOOKUP(E199,#REF!,34,0),"C")</f>
        <v>C</v>
      </c>
      <c r="H199" s="64">
        <f>+IFERROR(VLOOKUP(E199,#REF!,31,0),0)</f>
        <v>0</v>
      </c>
      <c r="I199" s="44">
        <f>+IFERROR(VLOOKUP(E199,#REF!,26,0),0)</f>
        <v>0</v>
      </c>
      <c r="J199" s="44">
        <f>+IFERROR(VLOOKUP(E199,#REF!,30,0),0)</f>
        <v>0</v>
      </c>
      <c r="K199" s="3"/>
      <c r="L199" s="25">
        <f t="shared" si="106"/>
        <v>0.7</v>
      </c>
      <c r="M199" s="26">
        <f t="shared" si="107"/>
        <v>0.52440051270804078</v>
      </c>
      <c r="O199">
        <f>+IFERROR(VLOOKUP(D199,lt!A:J,10,0),15)</f>
        <v>15</v>
      </c>
      <c r="P199">
        <v>2</v>
      </c>
      <c r="Q199">
        <v>1</v>
      </c>
      <c r="R199">
        <v>2</v>
      </c>
      <c r="S199" s="22">
        <f t="shared" si="108"/>
        <v>20</v>
      </c>
      <c r="T199" s="9">
        <v>3</v>
      </c>
      <c r="U199" s="23">
        <f t="shared" si="109"/>
        <v>0.76666666666666672</v>
      </c>
      <c r="V199" s="11">
        <f t="shared" si="110"/>
        <v>0</v>
      </c>
      <c r="W199" s="11">
        <f t="shared" si="111"/>
        <v>0</v>
      </c>
      <c r="X199" s="11">
        <f t="shared" si="112"/>
        <v>0</v>
      </c>
      <c r="Y199" s="11">
        <f t="shared" si="113"/>
        <v>0</v>
      </c>
      <c r="Z199" s="65">
        <f t="shared" si="114"/>
        <v>0</v>
      </c>
      <c r="AA199" s="24">
        <f t="shared" si="115"/>
        <v>0</v>
      </c>
      <c r="AB199">
        <f t="shared" si="116"/>
        <v>0</v>
      </c>
      <c r="AC199" s="46">
        <f>+IFERROR(VLOOKUP(E199,#REF!,24,0),0.2)</f>
        <v>0.2</v>
      </c>
      <c r="AD199" s="42">
        <f>+IFERROR(VLOOKUP(E199,h!$C:$D,2,0),0.3866)</f>
        <v>0.38610833333333339</v>
      </c>
      <c r="AE199" s="42">
        <f>+VLOOKUP(A199,k!$A$1:$G$4,5,0)</f>
        <v>0.35799365240740744</v>
      </c>
      <c r="AF199" s="47">
        <f t="shared" si="117"/>
        <v>0.94410198574074089</v>
      </c>
      <c r="AG199" s="48">
        <f t="shared" si="118"/>
        <v>0.1132922382888889</v>
      </c>
      <c r="AH199" s="20">
        <f>+IFERROR(VLOOKUP(C199,k!$A$7:$L$13,7,0),0)</f>
        <v>0</v>
      </c>
      <c r="AI199" s="20">
        <f t="shared" si="119"/>
        <v>0</v>
      </c>
      <c r="AJ199" s="5">
        <f t="shared" si="120"/>
        <v>0</v>
      </c>
      <c r="AK199" s="57">
        <f t="shared" si="121"/>
        <v>0</v>
      </c>
      <c r="AL199" s="19">
        <f t="shared" si="122"/>
        <v>0</v>
      </c>
      <c r="AM199" s="20">
        <f t="shared" si="123"/>
        <v>0</v>
      </c>
      <c r="AN199" s="27">
        <f t="shared" si="124"/>
        <v>0</v>
      </c>
      <c r="AO199" s="57">
        <f t="shared" si="104"/>
        <v>0</v>
      </c>
      <c r="AP199" s="19">
        <f t="shared" si="125"/>
        <v>0</v>
      </c>
      <c r="AQ199" s="20">
        <f t="shared" si="126"/>
        <v>0</v>
      </c>
      <c r="AR199" s="58">
        <f t="shared" si="127"/>
        <v>0</v>
      </c>
      <c r="AS199" s="1">
        <f t="shared" si="128"/>
        <v>0</v>
      </c>
      <c r="AT199" s="21">
        <f t="shared" si="129"/>
        <v>0</v>
      </c>
      <c r="AU199" s="28">
        <f t="shared" si="130"/>
        <v>0</v>
      </c>
      <c r="AV199" s="19">
        <f t="shared" si="131"/>
        <v>0</v>
      </c>
      <c r="AW199" s="19">
        <f t="shared" si="132"/>
        <v>0</v>
      </c>
      <c r="AX199" s="27">
        <f t="shared" si="133"/>
        <v>0</v>
      </c>
      <c r="AY199" s="1" t="e">
        <f t="shared" si="134"/>
        <v>#DIV/0!</v>
      </c>
      <c r="AZ199" s="1" t="e">
        <f t="shared" si="135"/>
        <v>#DIV/0!</v>
      </c>
    </row>
    <row r="200" spans="1:52" hidden="1" x14ac:dyDescent="0.35">
      <c r="A200" s="6" t="s">
        <v>423</v>
      </c>
      <c r="B200" s="6">
        <v>1000</v>
      </c>
      <c r="C200" s="2" t="s">
        <v>680</v>
      </c>
      <c r="D200" t="str">
        <f t="shared" si="105"/>
        <v>6200</v>
      </c>
      <c r="E200" t="s">
        <v>794</v>
      </c>
      <c r="F200" s="6" t="str">
        <f>+IFERROR(VLOOKUP(E200,#REF!,29,0),"C")</f>
        <v>C</v>
      </c>
      <c r="G200" s="6" t="str">
        <f>+IFERROR(VLOOKUP(E200,#REF!,34,0),"C")</f>
        <v>C</v>
      </c>
      <c r="H200" s="64">
        <f>+IFERROR(VLOOKUP(E200,#REF!,31,0),0)</f>
        <v>0</v>
      </c>
      <c r="I200" s="44">
        <f>+IFERROR(VLOOKUP(E200,#REF!,26,0),0)</f>
        <v>0</v>
      </c>
      <c r="J200" s="44">
        <f>+IFERROR(VLOOKUP(E200,#REF!,30,0),0)</f>
        <v>0</v>
      </c>
      <c r="K200" s="3"/>
      <c r="L200" s="25">
        <f t="shared" si="106"/>
        <v>0.7</v>
      </c>
      <c r="M200" s="26">
        <f t="shared" si="107"/>
        <v>0.52440051270804078</v>
      </c>
      <c r="O200">
        <f>+IFERROR(VLOOKUP(D200,lt!A:J,10,0),15)</f>
        <v>15</v>
      </c>
      <c r="P200">
        <v>2</v>
      </c>
      <c r="Q200">
        <v>1</v>
      </c>
      <c r="R200">
        <v>2</v>
      </c>
      <c r="S200" s="22">
        <f t="shared" si="108"/>
        <v>20</v>
      </c>
      <c r="T200" s="9">
        <v>3</v>
      </c>
      <c r="U200" s="23">
        <f t="shared" si="109"/>
        <v>0.76666666666666672</v>
      </c>
      <c r="V200" s="11">
        <f t="shared" si="110"/>
        <v>0</v>
      </c>
      <c r="W200" s="11">
        <f t="shared" si="111"/>
        <v>0</v>
      </c>
      <c r="X200" s="11">
        <f t="shared" si="112"/>
        <v>0</v>
      </c>
      <c r="Y200" s="11">
        <f t="shared" si="113"/>
        <v>0</v>
      </c>
      <c r="Z200" s="65">
        <f t="shared" si="114"/>
        <v>0</v>
      </c>
      <c r="AA200" s="24">
        <f t="shared" si="115"/>
        <v>0</v>
      </c>
      <c r="AB200">
        <f t="shared" si="116"/>
        <v>0</v>
      </c>
      <c r="AC200" s="46">
        <f>+IFERROR(VLOOKUP(E200,#REF!,24,0),0.2)</f>
        <v>0.2</v>
      </c>
      <c r="AD200" s="42">
        <f>+IFERROR(VLOOKUP(E200,h!$C:$D,2,0),0.3866)</f>
        <v>0.38610833333333339</v>
      </c>
      <c r="AE200" s="42">
        <f>+VLOOKUP(A200,k!$A$1:$G$4,5,0)</f>
        <v>0.35799365240740744</v>
      </c>
      <c r="AF200" s="47">
        <f t="shared" si="117"/>
        <v>0.94410198574074089</v>
      </c>
      <c r="AG200" s="48">
        <f t="shared" si="118"/>
        <v>0.1132922382888889</v>
      </c>
      <c r="AH200" s="20">
        <f>+IFERROR(VLOOKUP(C200,k!$A$7:$L$13,7,0),0)</f>
        <v>7.4001689814814817</v>
      </c>
      <c r="AI200" s="20">
        <f t="shared" si="119"/>
        <v>0</v>
      </c>
      <c r="AJ200" s="5">
        <f t="shared" si="120"/>
        <v>7.4001689814814817</v>
      </c>
      <c r="AK200" s="57">
        <f t="shared" si="121"/>
        <v>0</v>
      </c>
      <c r="AL200" s="19">
        <f t="shared" si="122"/>
        <v>0</v>
      </c>
      <c r="AM200" s="20">
        <f t="shared" si="123"/>
        <v>0</v>
      </c>
      <c r="AN200" s="27">
        <f t="shared" si="124"/>
        <v>0</v>
      </c>
      <c r="AO200" s="57">
        <f t="shared" si="104"/>
        <v>0</v>
      </c>
      <c r="AP200" s="19">
        <f t="shared" si="125"/>
        <v>0</v>
      </c>
      <c r="AQ200" s="20">
        <f t="shared" si="126"/>
        <v>0</v>
      </c>
      <c r="AR200" s="58">
        <f t="shared" si="127"/>
        <v>0</v>
      </c>
      <c r="AS200" s="1">
        <f t="shared" si="128"/>
        <v>0</v>
      </c>
      <c r="AT200" s="21">
        <f t="shared" si="129"/>
        <v>0</v>
      </c>
      <c r="AU200" s="28">
        <f t="shared" si="130"/>
        <v>0</v>
      </c>
      <c r="AV200" s="19">
        <f t="shared" si="131"/>
        <v>0</v>
      </c>
      <c r="AW200" s="19">
        <f t="shared" si="132"/>
        <v>0</v>
      </c>
      <c r="AX200" s="27">
        <f t="shared" si="133"/>
        <v>0</v>
      </c>
      <c r="AY200" s="1" t="e">
        <f t="shared" si="134"/>
        <v>#DIV/0!</v>
      </c>
      <c r="AZ200" s="1" t="e">
        <f t="shared" si="135"/>
        <v>#DIV/0!</v>
      </c>
    </row>
    <row r="201" spans="1:52" hidden="1" x14ac:dyDescent="0.35">
      <c r="A201" s="6" t="s">
        <v>423</v>
      </c>
      <c r="B201" s="6">
        <v>1000</v>
      </c>
      <c r="C201" s="2" t="s">
        <v>680</v>
      </c>
      <c r="D201" t="str">
        <f t="shared" si="105"/>
        <v>3212</v>
      </c>
      <c r="E201" t="s">
        <v>795</v>
      </c>
      <c r="F201" s="6" t="str">
        <f>+IFERROR(VLOOKUP(E201,#REF!,29,0),"C")</f>
        <v>C</v>
      </c>
      <c r="G201" s="6" t="str">
        <f>+IFERROR(VLOOKUP(E201,#REF!,34,0),"C")</f>
        <v>C</v>
      </c>
      <c r="H201" s="64">
        <f>+IFERROR(VLOOKUP(E201,#REF!,31,0),0)</f>
        <v>0</v>
      </c>
      <c r="I201" s="44">
        <f>+IFERROR(VLOOKUP(E201,#REF!,26,0),0)</f>
        <v>0</v>
      </c>
      <c r="J201" s="44">
        <f>+IFERROR(VLOOKUP(E201,#REF!,30,0),0)</f>
        <v>0</v>
      </c>
      <c r="K201" s="3"/>
      <c r="L201" s="25">
        <f t="shared" si="106"/>
        <v>0.7</v>
      </c>
      <c r="M201" s="26">
        <f t="shared" si="107"/>
        <v>0.52440051270804078</v>
      </c>
      <c r="O201">
        <f>+IFERROR(VLOOKUP(D201,lt!A:J,10,0),15)</f>
        <v>15</v>
      </c>
      <c r="P201">
        <v>2</v>
      </c>
      <c r="Q201">
        <v>1</v>
      </c>
      <c r="R201">
        <v>2</v>
      </c>
      <c r="S201" s="22">
        <f t="shared" si="108"/>
        <v>20</v>
      </c>
      <c r="T201" s="9">
        <v>3</v>
      </c>
      <c r="U201" s="23">
        <f t="shared" si="109"/>
        <v>0.76666666666666672</v>
      </c>
      <c r="V201" s="11">
        <f t="shared" si="110"/>
        <v>0</v>
      </c>
      <c r="W201" s="11">
        <f t="shared" si="111"/>
        <v>0</v>
      </c>
      <c r="X201" s="11">
        <f t="shared" si="112"/>
        <v>0</v>
      </c>
      <c r="Y201" s="11">
        <f t="shared" si="113"/>
        <v>0</v>
      </c>
      <c r="Z201" s="65">
        <f t="shared" si="114"/>
        <v>0</v>
      </c>
      <c r="AA201" s="24">
        <f t="shared" si="115"/>
        <v>0</v>
      </c>
      <c r="AB201">
        <f t="shared" si="116"/>
        <v>0</v>
      </c>
      <c r="AC201" s="46">
        <f>+IFERROR(VLOOKUP(E201,#REF!,24,0),0.2)</f>
        <v>0.2</v>
      </c>
      <c r="AD201" s="42">
        <f>+IFERROR(VLOOKUP(E201,h!$C:$D,2,0),0.3866)</f>
        <v>0.38610833333333339</v>
      </c>
      <c r="AE201" s="42">
        <f>+VLOOKUP(A201,k!$A$1:$G$4,5,0)</f>
        <v>0.35799365240740744</v>
      </c>
      <c r="AF201" s="47">
        <f t="shared" si="117"/>
        <v>0.94410198574074089</v>
      </c>
      <c r="AG201" s="48">
        <f t="shared" si="118"/>
        <v>0.1132922382888889</v>
      </c>
      <c r="AH201" s="20">
        <f>+IFERROR(VLOOKUP(C201,k!$A$7:$L$13,7,0),0)</f>
        <v>7.4001689814814817</v>
      </c>
      <c r="AI201" s="20">
        <f t="shared" si="119"/>
        <v>0</v>
      </c>
      <c r="AJ201" s="5">
        <f t="shared" si="120"/>
        <v>7.4001689814814817</v>
      </c>
      <c r="AK201" s="57">
        <f t="shared" si="121"/>
        <v>0</v>
      </c>
      <c r="AL201" s="19">
        <f t="shared" si="122"/>
        <v>0</v>
      </c>
      <c r="AM201" s="20">
        <f t="shared" si="123"/>
        <v>0</v>
      </c>
      <c r="AN201" s="27">
        <f t="shared" si="124"/>
        <v>0</v>
      </c>
      <c r="AO201" s="57">
        <f t="shared" si="104"/>
        <v>0</v>
      </c>
      <c r="AP201" s="19">
        <f t="shared" si="125"/>
        <v>0</v>
      </c>
      <c r="AQ201" s="20">
        <f t="shared" si="126"/>
        <v>0</v>
      </c>
      <c r="AR201" s="58">
        <f t="shared" si="127"/>
        <v>0</v>
      </c>
      <c r="AS201" s="1">
        <f t="shared" si="128"/>
        <v>0</v>
      </c>
      <c r="AT201" s="21">
        <f t="shared" si="129"/>
        <v>0</v>
      </c>
      <c r="AU201" s="28">
        <f t="shared" si="130"/>
        <v>0</v>
      </c>
      <c r="AV201" s="19">
        <f t="shared" si="131"/>
        <v>0</v>
      </c>
      <c r="AW201" s="19">
        <f t="shared" si="132"/>
        <v>0</v>
      </c>
      <c r="AX201" s="27">
        <f t="shared" si="133"/>
        <v>0</v>
      </c>
      <c r="AY201" s="1" t="e">
        <f t="shared" si="134"/>
        <v>#DIV/0!</v>
      </c>
      <c r="AZ201" s="1" t="e">
        <f t="shared" si="135"/>
        <v>#DIV/0!</v>
      </c>
    </row>
    <row r="202" spans="1:52" hidden="1" x14ac:dyDescent="0.35">
      <c r="A202" s="6" t="s">
        <v>423</v>
      </c>
      <c r="B202" s="6">
        <v>1000</v>
      </c>
      <c r="C202" s="2" t="e">
        <f>+VLOOKUP(E202,inventario!#REF!,2,0)</f>
        <v>#REF!</v>
      </c>
      <c r="D202" t="str">
        <f t="shared" si="105"/>
        <v>5318</v>
      </c>
      <c r="E202" s="55" t="s">
        <v>1055</v>
      </c>
      <c r="F202" s="6" t="str">
        <f>+IFERROR(VLOOKUP(E202,#REF!,29,0),"C")</f>
        <v>C</v>
      </c>
      <c r="G202" s="6" t="str">
        <f>+IFERROR(VLOOKUP(E202,#REF!,34,0),"C")</f>
        <v>C</v>
      </c>
      <c r="H202" s="64">
        <f>+IFERROR(VLOOKUP(E202,#REF!,31,0),0)</f>
        <v>0</v>
      </c>
      <c r="I202" s="44">
        <f>+IFERROR(VLOOKUP(E202,#REF!,26,0),0)</f>
        <v>0</v>
      </c>
      <c r="J202" s="44">
        <f>+IFERROR(VLOOKUP(E202,#REF!,30,0),0)</f>
        <v>0</v>
      </c>
      <c r="L202" s="25">
        <f t="shared" si="106"/>
        <v>0.7</v>
      </c>
      <c r="M202" s="26">
        <f t="shared" si="107"/>
        <v>0.52440051270804078</v>
      </c>
      <c r="O202">
        <f>+IFERROR(VLOOKUP(D202,lt!A:J,10,0),15)</f>
        <v>15</v>
      </c>
      <c r="P202">
        <v>2</v>
      </c>
      <c r="Q202">
        <v>1</v>
      </c>
      <c r="R202">
        <v>2</v>
      </c>
      <c r="S202" s="22">
        <f t="shared" si="108"/>
        <v>20</v>
      </c>
      <c r="T202" s="9">
        <v>3</v>
      </c>
      <c r="U202" s="23">
        <f t="shared" si="109"/>
        <v>0.76666666666666672</v>
      </c>
      <c r="V202" s="11">
        <f t="shared" si="110"/>
        <v>0</v>
      </c>
      <c r="W202" s="11">
        <f t="shared" si="111"/>
        <v>0</v>
      </c>
      <c r="X202" s="11">
        <f t="shared" si="112"/>
        <v>0</v>
      </c>
      <c r="Y202" s="11">
        <f t="shared" si="113"/>
        <v>0</v>
      </c>
      <c r="Z202" s="65">
        <f t="shared" si="114"/>
        <v>0</v>
      </c>
      <c r="AA202" s="24">
        <f t="shared" si="115"/>
        <v>0</v>
      </c>
      <c r="AB202">
        <f t="shared" si="116"/>
        <v>0</v>
      </c>
      <c r="AC202" s="46">
        <f>+IFERROR(VLOOKUP(E202,#REF!,24,0),0.2)</f>
        <v>0.2</v>
      </c>
      <c r="AD202" s="42">
        <f>+IFERROR(VLOOKUP(E202,h!$C:$D,2,0),0.3866)</f>
        <v>0.3866</v>
      </c>
      <c r="AE202" s="42">
        <f>+VLOOKUP(A202,k!$A$1:$G$4,5,0)</f>
        <v>0.35799365240740744</v>
      </c>
      <c r="AF202" s="47">
        <f t="shared" si="117"/>
        <v>0.94459365240740745</v>
      </c>
      <c r="AG202" s="48">
        <f t="shared" si="118"/>
        <v>0.11335123828888889</v>
      </c>
      <c r="AH202" s="20">
        <f>+IFERROR(VLOOKUP(C202,k!$A$7:$L$13,7,0),0)</f>
        <v>0</v>
      </c>
      <c r="AI202" s="20">
        <f t="shared" si="119"/>
        <v>0</v>
      </c>
      <c r="AJ202" s="5">
        <f t="shared" si="120"/>
        <v>0</v>
      </c>
      <c r="AK202" s="57">
        <f t="shared" si="121"/>
        <v>0</v>
      </c>
      <c r="AL202" s="19">
        <f t="shared" si="122"/>
        <v>0</v>
      </c>
      <c r="AM202" s="20">
        <f t="shared" si="123"/>
        <v>0</v>
      </c>
      <c r="AN202" s="27">
        <f t="shared" si="124"/>
        <v>0</v>
      </c>
      <c r="AO202" s="57">
        <f t="shared" si="104"/>
        <v>0</v>
      </c>
      <c r="AP202" s="19">
        <f t="shared" si="125"/>
        <v>0</v>
      </c>
      <c r="AQ202" s="20">
        <f t="shared" si="126"/>
        <v>0</v>
      </c>
      <c r="AR202" s="58">
        <f t="shared" si="127"/>
        <v>0</v>
      </c>
      <c r="AS202" s="1">
        <f t="shared" si="128"/>
        <v>0</v>
      </c>
      <c r="AT202" s="21">
        <f t="shared" si="129"/>
        <v>0</v>
      </c>
      <c r="AU202" s="28">
        <f t="shared" si="130"/>
        <v>0</v>
      </c>
      <c r="AV202" s="19">
        <f t="shared" si="131"/>
        <v>0</v>
      </c>
      <c r="AW202" s="19">
        <f t="shared" si="132"/>
        <v>0</v>
      </c>
      <c r="AX202" s="27">
        <f t="shared" si="133"/>
        <v>0</v>
      </c>
      <c r="AY202" s="1" t="e">
        <f t="shared" si="134"/>
        <v>#DIV/0!</v>
      </c>
      <c r="AZ202" s="1" t="e">
        <f t="shared" si="135"/>
        <v>#DIV/0!</v>
      </c>
    </row>
    <row r="203" spans="1:52" hidden="1" x14ac:dyDescent="0.35">
      <c r="A203" s="6" t="s">
        <v>423</v>
      </c>
      <c r="B203" s="6">
        <v>1000</v>
      </c>
      <c r="C203" s="2" t="e">
        <f>+VLOOKUP(E203,inventario!#REF!,2,0)</f>
        <v>#REF!</v>
      </c>
      <c r="D203" t="str">
        <f t="shared" si="105"/>
        <v>9502</v>
      </c>
      <c r="E203" s="55" t="s">
        <v>1056</v>
      </c>
      <c r="F203" s="6" t="str">
        <f>+IFERROR(VLOOKUP(E203,#REF!,29,0),"C")</f>
        <v>C</v>
      </c>
      <c r="G203" s="6" t="str">
        <f>+IFERROR(VLOOKUP(E203,#REF!,34,0),"C")</f>
        <v>C</v>
      </c>
      <c r="H203" s="64">
        <f>+IFERROR(VLOOKUP(E203,#REF!,31,0),0)</f>
        <v>0</v>
      </c>
      <c r="I203" s="44">
        <f>+IFERROR(VLOOKUP(E203,#REF!,26,0),0)</f>
        <v>0</v>
      </c>
      <c r="J203" s="44">
        <f>+IFERROR(VLOOKUP(E203,#REF!,30,0),0)</f>
        <v>0</v>
      </c>
      <c r="L203" s="25">
        <f t="shared" si="106"/>
        <v>0.7</v>
      </c>
      <c r="M203" s="26">
        <f t="shared" si="107"/>
        <v>0.52440051270804078</v>
      </c>
      <c r="O203">
        <f>+IFERROR(VLOOKUP(D203,lt!A:J,10,0),15)</f>
        <v>15</v>
      </c>
      <c r="P203">
        <v>2</v>
      </c>
      <c r="Q203">
        <v>1</v>
      </c>
      <c r="R203">
        <v>2</v>
      </c>
      <c r="S203" s="22">
        <f t="shared" si="108"/>
        <v>20</v>
      </c>
      <c r="T203" s="9">
        <v>3</v>
      </c>
      <c r="U203" s="23">
        <f t="shared" si="109"/>
        <v>0.76666666666666672</v>
      </c>
      <c r="V203" s="11">
        <f t="shared" si="110"/>
        <v>0</v>
      </c>
      <c r="W203" s="11">
        <f t="shared" si="111"/>
        <v>0</v>
      </c>
      <c r="X203" s="11">
        <f t="shared" si="112"/>
        <v>0</v>
      </c>
      <c r="Y203" s="11">
        <f t="shared" si="113"/>
        <v>0</v>
      </c>
      <c r="Z203" s="65">
        <f t="shared" si="114"/>
        <v>0</v>
      </c>
      <c r="AA203" s="24">
        <f t="shared" si="115"/>
        <v>0</v>
      </c>
      <c r="AB203">
        <f t="shared" si="116"/>
        <v>0</v>
      </c>
      <c r="AC203" s="46">
        <f>+IFERROR(VLOOKUP(E203,#REF!,24,0),0.2)</f>
        <v>0.2</v>
      </c>
      <c r="AD203" s="42">
        <f>+IFERROR(VLOOKUP(E203,h!$C:$D,2,0),0.3866)</f>
        <v>0.3866</v>
      </c>
      <c r="AE203" s="42">
        <f>+VLOOKUP(A203,k!$A$1:$G$4,5,0)</f>
        <v>0.35799365240740744</v>
      </c>
      <c r="AF203" s="47">
        <f t="shared" si="117"/>
        <v>0.94459365240740745</v>
      </c>
      <c r="AG203" s="48">
        <f t="shared" si="118"/>
        <v>0.11335123828888889</v>
      </c>
      <c r="AH203" s="20">
        <f>+IFERROR(VLOOKUP(C203,k!$A$7:$L$13,7,0),0)</f>
        <v>0</v>
      </c>
      <c r="AI203" s="20">
        <f t="shared" si="119"/>
        <v>0</v>
      </c>
      <c r="AJ203" s="5">
        <f t="shared" si="120"/>
        <v>0</v>
      </c>
      <c r="AK203" s="57">
        <f t="shared" si="121"/>
        <v>0</v>
      </c>
      <c r="AL203" s="19">
        <f t="shared" si="122"/>
        <v>0</v>
      </c>
      <c r="AM203" s="20">
        <f t="shared" si="123"/>
        <v>0</v>
      </c>
      <c r="AN203" s="27">
        <f t="shared" si="124"/>
        <v>0</v>
      </c>
      <c r="AO203" s="57">
        <f t="shared" si="104"/>
        <v>0</v>
      </c>
      <c r="AP203" s="19">
        <f t="shared" si="125"/>
        <v>0</v>
      </c>
      <c r="AQ203" s="20">
        <f t="shared" si="126"/>
        <v>0</v>
      </c>
      <c r="AR203" s="58">
        <f t="shared" si="127"/>
        <v>0</v>
      </c>
      <c r="AS203" s="1">
        <f t="shared" si="128"/>
        <v>0</v>
      </c>
      <c r="AT203" s="21">
        <f t="shared" si="129"/>
        <v>0</v>
      </c>
      <c r="AU203" s="28">
        <f t="shared" si="130"/>
        <v>0</v>
      </c>
      <c r="AV203" s="19">
        <f t="shared" si="131"/>
        <v>0</v>
      </c>
      <c r="AW203" s="19">
        <f t="shared" si="132"/>
        <v>0</v>
      </c>
      <c r="AX203" s="27">
        <f t="shared" si="133"/>
        <v>0</v>
      </c>
      <c r="AY203" s="1" t="e">
        <f t="shared" si="134"/>
        <v>#DIV/0!</v>
      </c>
      <c r="AZ203" s="1" t="e">
        <f t="shared" si="135"/>
        <v>#DIV/0!</v>
      </c>
    </row>
    <row r="204" spans="1:52" hidden="1" x14ac:dyDescent="0.35">
      <c r="A204" s="6" t="s">
        <v>423</v>
      </c>
      <c r="B204" s="6">
        <v>1000</v>
      </c>
      <c r="C204" s="2" t="e">
        <f>+VLOOKUP(E204,inventario!#REF!,2,0)</f>
        <v>#REF!</v>
      </c>
      <c r="D204" t="str">
        <f t="shared" si="105"/>
        <v>9501</v>
      </c>
      <c r="E204" s="55" t="s">
        <v>1057</v>
      </c>
      <c r="F204" s="6" t="str">
        <f>+IFERROR(VLOOKUP(E204,#REF!,29,0),"C")</f>
        <v>C</v>
      </c>
      <c r="G204" s="6" t="str">
        <f>+IFERROR(VLOOKUP(E204,#REF!,34,0),"C")</f>
        <v>C</v>
      </c>
      <c r="H204" s="64">
        <f>+IFERROR(VLOOKUP(E204,#REF!,31,0),0)</f>
        <v>0</v>
      </c>
      <c r="I204" s="44">
        <f>+IFERROR(VLOOKUP(E204,#REF!,26,0),0)</f>
        <v>0</v>
      </c>
      <c r="J204" s="44">
        <f>+IFERROR(VLOOKUP(E204,#REF!,30,0),0)</f>
        <v>0</v>
      </c>
      <c r="L204" s="25">
        <f t="shared" si="106"/>
        <v>0.7</v>
      </c>
      <c r="M204" s="26">
        <f t="shared" si="107"/>
        <v>0.52440051270804078</v>
      </c>
      <c r="O204">
        <f>+IFERROR(VLOOKUP(D204,lt!A:J,10,0),15)</f>
        <v>15</v>
      </c>
      <c r="P204">
        <v>2</v>
      </c>
      <c r="Q204">
        <v>1</v>
      </c>
      <c r="R204">
        <v>2</v>
      </c>
      <c r="S204" s="22">
        <f t="shared" si="108"/>
        <v>20</v>
      </c>
      <c r="T204" s="9">
        <v>3</v>
      </c>
      <c r="U204" s="23">
        <f t="shared" si="109"/>
        <v>0.76666666666666672</v>
      </c>
      <c r="V204" s="11">
        <f t="shared" si="110"/>
        <v>0</v>
      </c>
      <c r="W204" s="11">
        <f t="shared" si="111"/>
        <v>0</v>
      </c>
      <c r="X204" s="11">
        <f t="shared" si="112"/>
        <v>0</v>
      </c>
      <c r="Y204" s="11">
        <f t="shared" si="113"/>
        <v>0</v>
      </c>
      <c r="Z204" s="65">
        <f t="shared" si="114"/>
        <v>0</v>
      </c>
      <c r="AA204" s="24">
        <f t="shared" si="115"/>
        <v>0</v>
      </c>
      <c r="AB204">
        <f t="shared" si="116"/>
        <v>0</v>
      </c>
      <c r="AC204" s="46">
        <f>+IFERROR(VLOOKUP(E204,#REF!,24,0),0.2)</f>
        <v>0.2</v>
      </c>
      <c r="AD204" s="42">
        <f>+IFERROR(VLOOKUP(E204,h!$C:$D,2,0),0.3866)</f>
        <v>0.3866</v>
      </c>
      <c r="AE204" s="42">
        <f>+VLOOKUP(A204,k!$A$1:$G$4,5,0)</f>
        <v>0.35799365240740744</v>
      </c>
      <c r="AF204" s="47">
        <f t="shared" si="117"/>
        <v>0.94459365240740745</v>
      </c>
      <c r="AG204" s="48">
        <f t="shared" si="118"/>
        <v>0.11335123828888889</v>
      </c>
      <c r="AH204" s="20">
        <f>+IFERROR(VLOOKUP(C204,k!$A$7:$L$13,7,0),0)</f>
        <v>0</v>
      </c>
      <c r="AI204" s="20">
        <f t="shared" si="119"/>
        <v>0</v>
      </c>
      <c r="AJ204" s="5">
        <f t="shared" si="120"/>
        <v>0</v>
      </c>
      <c r="AK204" s="57">
        <f t="shared" si="121"/>
        <v>0</v>
      </c>
      <c r="AL204" s="19">
        <f t="shared" si="122"/>
        <v>0</v>
      </c>
      <c r="AM204" s="20">
        <f t="shared" si="123"/>
        <v>0</v>
      </c>
      <c r="AN204" s="27">
        <f t="shared" si="124"/>
        <v>0</v>
      </c>
      <c r="AO204" s="57">
        <f t="shared" si="104"/>
        <v>0</v>
      </c>
      <c r="AP204" s="19">
        <f t="shared" si="125"/>
        <v>0</v>
      </c>
      <c r="AQ204" s="20">
        <f t="shared" si="126"/>
        <v>0</v>
      </c>
      <c r="AR204" s="58">
        <f t="shared" si="127"/>
        <v>0</v>
      </c>
      <c r="AS204" s="1">
        <f t="shared" si="128"/>
        <v>0</v>
      </c>
      <c r="AT204" s="21">
        <f t="shared" si="129"/>
        <v>0</v>
      </c>
      <c r="AU204" s="28">
        <f t="shared" si="130"/>
        <v>0</v>
      </c>
      <c r="AV204" s="19">
        <f t="shared" si="131"/>
        <v>0</v>
      </c>
      <c r="AW204" s="19">
        <f t="shared" si="132"/>
        <v>0</v>
      </c>
      <c r="AX204" s="27">
        <f t="shared" si="133"/>
        <v>0</v>
      </c>
      <c r="AY204" s="1" t="e">
        <f t="shared" si="134"/>
        <v>#DIV/0!</v>
      </c>
      <c r="AZ204" s="1" t="e">
        <f t="shared" si="135"/>
        <v>#DIV/0!</v>
      </c>
    </row>
    <row r="205" spans="1:52" hidden="1" x14ac:dyDescent="0.35">
      <c r="A205" s="6" t="s">
        <v>423</v>
      </c>
      <c r="B205" s="6">
        <v>5000</v>
      </c>
      <c r="C205" s="2" t="e">
        <f>+VLOOKUP(E205,inventario!#REF!,2,0)</f>
        <v>#REF!</v>
      </c>
      <c r="D205" t="str">
        <f t="shared" si="105"/>
        <v>0202-ME</v>
      </c>
      <c r="E205" t="s">
        <v>128</v>
      </c>
      <c r="F205" s="6" t="str">
        <f>+IFERROR(VLOOKUP(E205,#REF!,29,0),"C")</f>
        <v>C</v>
      </c>
      <c r="G205" s="6" t="str">
        <f>+IFERROR(VLOOKUP(E205,#REF!,34,0),"C")</f>
        <v>C</v>
      </c>
      <c r="H205" s="64">
        <f>+IFERROR(VLOOKUP(E205,#REF!,31,0),0)</f>
        <v>0</v>
      </c>
      <c r="I205" s="44">
        <f>+IFERROR(VLOOKUP(E205,#REF!,26,0),0)</f>
        <v>0</v>
      </c>
      <c r="J205" s="44">
        <f>+IFERROR(VLOOKUP(E205,#REF!,30,0),0)</f>
        <v>0</v>
      </c>
      <c r="K205" s="3"/>
      <c r="L205" s="25">
        <f t="shared" si="106"/>
        <v>0.7</v>
      </c>
      <c r="M205" s="26">
        <f t="shared" si="107"/>
        <v>0.52440051270804078</v>
      </c>
      <c r="O205">
        <f>+IFERROR(VLOOKUP(D205,lt!A:J,10,0),15)</f>
        <v>15</v>
      </c>
      <c r="P205">
        <v>2</v>
      </c>
      <c r="Q205">
        <v>1</v>
      </c>
      <c r="R205">
        <v>2</v>
      </c>
      <c r="S205" s="22">
        <f t="shared" si="108"/>
        <v>20</v>
      </c>
      <c r="T205" s="9">
        <v>3</v>
      </c>
      <c r="U205" s="23">
        <f t="shared" si="109"/>
        <v>0.76666666666666672</v>
      </c>
      <c r="V205" s="11">
        <f t="shared" si="110"/>
        <v>0</v>
      </c>
      <c r="W205" s="11">
        <f t="shared" si="111"/>
        <v>0</v>
      </c>
      <c r="X205" s="11">
        <f t="shared" si="112"/>
        <v>0</v>
      </c>
      <c r="Y205" s="11">
        <f t="shared" si="113"/>
        <v>0</v>
      </c>
      <c r="Z205" s="65">
        <f t="shared" si="114"/>
        <v>0</v>
      </c>
      <c r="AA205" s="24">
        <f t="shared" si="115"/>
        <v>0</v>
      </c>
      <c r="AB205">
        <f t="shared" si="116"/>
        <v>0</v>
      </c>
      <c r="AC205" s="46">
        <f>+IFERROR(VLOOKUP(E205,#REF!,24,0),0.2)</f>
        <v>0.2</v>
      </c>
      <c r="AD205" s="42">
        <f>+IFERROR(VLOOKUP(E205,h!$C:$D,2,0),0.3866)</f>
        <v>4.6333000000000005E-5</v>
      </c>
      <c r="AE205" s="42">
        <f>+VLOOKUP(A205,k!$A$1:$G$4,5,0)</f>
        <v>0.35799365240740744</v>
      </c>
      <c r="AF205" s="47">
        <f t="shared" si="117"/>
        <v>0.5580399854074074</v>
      </c>
      <c r="AG205" s="48">
        <f t="shared" si="118"/>
        <v>6.6964798248888888E-2</v>
      </c>
      <c r="AH205" s="20">
        <f>+IFERROR(VLOOKUP(C205,k!$A$7:$L$13,7,0),0)</f>
        <v>0</v>
      </c>
      <c r="AI205" s="20">
        <f t="shared" si="119"/>
        <v>0</v>
      </c>
      <c r="AJ205" s="5">
        <f t="shared" si="120"/>
        <v>0</v>
      </c>
      <c r="AK205" s="57">
        <f t="shared" si="121"/>
        <v>0</v>
      </c>
      <c r="AL205" s="19">
        <f t="shared" si="122"/>
        <v>0</v>
      </c>
      <c r="AM205" s="20">
        <f t="shared" si="123"/>
        <v>0</v>
      </c>
      <c r="AN205" s="27">
        <f t="shared" si="124"/>
        <v>0</v>
      </c>
      <c r="AO205" s="57">
        <f t="shared" si="104"/>
        <v>0</v>
      </c>
      <c r="AP205" s="19">
        <f t="shared" si="125"/>
        <v>0</v>
      </c>
      <c r="AQ205" s="20">
        <f t="shared" si="126"/>
        <v>0</v>
      </c>
      <c r="AR205" s="58">
        <f t="shared" si="127"/>
        <v>0</v>
      </c>
      <c r="AS205" s="1">
        <f t="shared" si="128"/>
        <v>0</v>
      </c>
      <c r="AT205" s="21">
        <f t="shared" si="129"/>
        <v>0</v>
      </c>
      <c r="AU205" s="28">
        <f t="shared" si="130"/>
        <v>0</v>
      </c>
      <c r="AV205" s="19">
        <f t="shared" si="131"/>
        <v>0</v>
      </c>
      <c r="AW205" s="19">
        <f t="shared" si="132"/>
        <v>0</v>
      </c>
      <c r="AX205" s="27">
        <f t="shared" si="133"/>
        <v>0</v>
      </c>
      <c r="AY205" s="1" t="e">
        <f t="shared" si="134"/>
        <v>#DIV/0!</v>
      </c>
      <c r="AZ205" s="1" t="e">
        <f t="shared" si="135"/>
        <v>#DIV/0!</v>
      </c>
    </row>
    <row r="206" spans="1:52" hidden="1" x14ac:dyDescent="0.35">
      <c r="A206" s="6" t="s">
        <v>423</v>
      </c>
      <c r="B206" s="6">
        <v>5000</v>
      </c>
      <c r="C206" s="2" t="e">
        <f>+VLOOKUP(E206,inventario!#REF!,2,0)</f>
        <v>#REF!</v>
      </c>
      <c r="D206" t="str">
        <f t="shared" si="105"/>
        <v>0175-ME</v>
      </c>
      <c r="E206" t="s">
        <v>54</v>
      </c>
      <c r="F206" s="6" t="str">
        <f>+IFERROR(VLOOKUP(E206,#REF!,29,0),"C")</f>
        <v>C</v>
      </c>
      <c r="G206" s="6" t="str">
        <f>+IFERROR(VLOOKUP(E206,#REF!,34,0),"C")</f>
        <v>C</v>
      </c>
      <c r="H206" s="64">
        <f>+IFERROR(VLOOKUP(E206,#REF!,31,0),0)</f>
        <v>0</v>
      </c>
      <c r="I206" s="44">
        <f>+IFERROR(VLOOKUP(E206,#REF!,26,0),0)</f>
        <v>0</v>
      </c>
      <c r="J206" s="44">
        <f>+IFERROR(VLOOKUP(E206,#REF!,30,0),0)</f>
        <v>0</v>
      </c>
      <c r="K206" s="3"/>
      <c r="L206" s="25">
        <f t="shared" si="106"/>
        <v>0.7</v>
      </c>
      <c r="M206" s="26">
        <f t="shared" si="107"/>
        <v>0.52440051270804078</v>
      </c>
      <c r="O206">
        <f>+IFERROR(VLOOKUP(D206,lt!A:J,10,0),15)</f>
        <v>15</v>
      </c>
      <c r="P206">
        <v>2</v>
      </c>
      <c r="Q206">
        <v>1</v>
      </c>
      <c r="R206">
        <v>2</v>
      </c>
      <c r="S206" s="22">
        <f t="shared" si="108"/>
        <v>20</v>
      </c>
      <c r="T206" s="9">
        <v>3</v>
      </c>
      <c r="U206" s="23">
        <f t="shared" si="109"/>
        <v>0.76666666666666672</v>
      </c>
      <c r="V206" s="11">
        <f t="shared" si="110"/>
        <v>0</v>
      </c>
      <c r="W206" s="11">
        <f t="shared" si="111"/>
        <v>0</v>
      </c>
      <c r="X206" s="11">
        <f t="shared" si="112"/>
        <v>0</v>
      </c>
      <c r="Y206" s="11">
        <f t="shared" si="113"/>
        <v>0</v>
      </c>
      <c r="Z206" s="65">
        <f t="shared" si="114"/>
        <v>0</v>
      </c>
      <c r="AA206" s="24">
        <f t="shared" si="115"/>
        <v>0</v>
      </c>
      <c r="AB206">
        <f t="shared" si="116"/>
        <v>0</v>
      </c>
      <c r="AC206" s="46">
        <f>+IFERROR(VLOOKUP(E206,#REF!,24,0),0.2)</f>
        <v>0.2</v>
      </c>
      <c r="AD206" s="42">
        <f>+IFERROR(VLOOKUP(E206,h!$C:$D,2,0),0.3866)</f>
        <v>0.3866</v>
      </c>
      <c r="AE206" s="42">
        <f>+VLOOKUP(A206,k!$A$1:$G$4,5,0)</f>
        <v>0.35799365240740744</v>
      </c>
      <c r="AF206" s="47">
        <f t="shared" si="117"/>
        <v>0.94459365240740745</v>
      </c>
      <c r="AG206" s="48">
        <f t="shared" si="118"/>
        <v>0.11335123828888889</v>
      </c>
      <c r="AH206" s="20">
        <f>+IFERROR(VLOOKUP(C206,k!$A$7:$L$13,7,0),0)</f>
        <v>0</v>
      </c>
      <c r="AI206" s="20">
        <f t="shared" si="119"/>
        <v>0</v>
      </c>
      <c r="AJ206" s="5">
        <f t="shared" si="120"/>
        <v>0</v>
      </c>
      <c r="AK206" s="57">
        <f t="shared" si="121"/>
        <v>0</v>
      </c>
      <c r="AL206" s="19">
        <f t="shared" si="122"/>
        <v>0</v>
      </c>
      <c r="AM206" s="20">
        <f t="shared" si="123"/>
        <v>0</v>
      </c>
      <c r="AN206" s="27">
        <f t="shared" si="124"/>
        <v>0</v>
      </c>
      <c r="AO206" s="57">
        <f t="shared" si="104"/>
        <v>0</v>
      </c>
      <c r="AP206" s="19">
        <f t="shared" si="125"/>
        <v>0</v>
      </c>
      <c r="AQ206" s="20">
        <f t="shared" si="126"/>
        <v>0</v>
      </c>
      <c r="AR206" s="58">
        <f t="shared" si="127"/>
        <v>0</v>
      </c>
      <c r="AS206" s="1">
        <f t="shared" si="128"/>
        <v>0</v>
      </c>
      <c r="AT206" s="21">
        <f t="shared" si="129"/>
        <v>0</v>
      </c>
      <c r="AU206" s="28">
        <f t="shared" si="130"/>
        <v>0</v>
      </c>
      <c r="AV206" s="19">
        <f t="shared" si="131"/>
        <v>0</v>
      </c>
      <c r="AW206" s="19">
        <f t="shared" si="132"/>
        <v>0</v>
      </c>
      <c r="AX206" s="27">
        <f t="shared" si="133"/>
        <v>0</v>
      </c>
      <c r="AY206" s="1" t="e">
        <f t="shared" si="134"/>
        <v>#DIV/0!</v>
      </c>
      <c r="AZ206" s="1" t="e">
        <f t="shared" si="135"/>
        <v>#DIV/0!</v>
      </c>
    </row>
    <row r="207" spans="1:52" hidden="1" x14ac:dyDescent="0.35">
      <c r="A207" s="6" t="s">
        <v>423</v>
      </c>
      <c r="B207" s="6">
        <v>1000</v>
      </c>
      <c r="C207" s="2" t="e">
        <f>+VLOOKUP(E207,inventario!#REF!,2,0)</f>
        <v>#REF!</v>
      </c>
      <c r="D207" t="str">
        <f t="shared" si="105"/>
        <v>1026-ME</v>
      </c>
      <c r="E207" t="s">
        <v>46</v>
      </c>
      <c r="F207" s="6" t="str">
        <f>+IFERROR(VLOOKUP(E207,#REF!,29,0),"C")</f>
        <v>C</v>
      </c>
      <c r="G207" s="6" t="str">
        <f>+IFERROR(VLOOKUP(E207,#REF!,34,0),"C")</f>
        <v>C</v>
      </c>
      <c r="H207" s="64">
        <f>+IFERROR(VLOOKUP(E207,#REF!,31,0),0)</f>
        <v>0</v>
      </c>
      <c r="I207" s="44">
        <f>+IFERROR(VLOOKUP(E207,#REF!,26,0),0)</f>
        <v>0</v>
      </c>
      <c r="J207" s="44">
        <f>+IFERROR(VLOOKUP(E207,#REF!,30,0),0)</f>
        <v>0</v>
      </c>
      <c r="K207" s="3"/>
      <c r="L207" s="25">
        <f t="shared" si="106"/>
        <v>0.7</v>
      </c>
      <c r="M207" s="26">
        <f t="shared" si="107"/>
        <v>0.52440051270804078</v>
      </c>
      <c r="O207">
        <f>+IFERROR(VLOOKUP(D207,lt!A:J,10,0),15)</f>
        <v>15</v>
      </c>
      <c r="P207">
        <v>2</v>
      </c>
      <c r="Q207">
        <v>1</v>
      </c>
      <c r="R207">
        <v>2</v>
      </c>
      <c r="S207" s="22">
        <f t="shared" si="108"/>
        <v>20</v>
      </c>
      <c r="T207" s="9">
        <v>3</v>
      </c>
      <c r="U207" s="23">
        <f t="shared" si="109"/>
        <v>0.76666666666666672</v>
      </c>
      <c r="V207" s="11">
        <f t="shared" si="110"/>
        <v>0</v>
      </c>
      <c r="W207" s="11">
        <f t="shared" si="111"/>
        <v>0</v>
      </c>
      <c r="X207" s="11">
        <f t="shared" si="112"/>
        <v>0</v>
      </c>
      <c r="Y207" s="11">
        <f t="shared" si="113"/>
        <v>0</v>
      </c>
      <c r="Z207" s="65">
        <f t="shared" si="114"/>
        <v>0</v>
      </c>
      <c r="AA207" s="24">
        <f t="shared" si="115"/>
        <v>0</v>
      </c>
      <c r="AB207">
        <f t="shared" si="116"/>
        <v>0</v>
      </c>
      <c r="AC207" s="46">
        <f>+IFERROR(VLOOKUP(E207,#REF!,24,0),0.2)</f>
        <v>0.2</v>
      </c>
      <c r="AD207" s="42">
        <f>+IFERROR(VLOOKUP(E207,h!$C:$D,2,0),0.3866)</f>
        <v>4.6333000000000005E-5</v>
      </c>
      <c r="AE207" s="42">
        <f>+VLOOKUP(A207,k!$A$1:$G$4,5,0)</f>
        <v>0.35799365240740744</v>
      </c>
      <c r="AF207" s="47">
        <f t="shared" si="117"/>
        <v>0.5580399854074074</v>
      </c>
      <c r="AG207" s="48">
        <f t="shared" si="118"/>
        <v>6.6964798248888888E-2</v>
      </c>
      <c r="AH207" s="20">
        <f>+IFERROR(VLOOKUP(C207,k!$A$7:$L$13,7,0),0)</f>
        <v>0</v>
      </c>
      <c r="AI207" s="20">
        <f t="shared" si="119"/>
        <v>0</v>
      </c>
      <c r="AJ207" s="5">
        <f t="shared" si="120"/>
        <v>0</v>
      </c>
      <c r="AK207" s="57">
        <f t="shared" si="121"/>
        <v>0</v>
      </c>
      <c r="AL207" s="19">
        <f t="shared" si="122"/>
        <v>0</v>
      </c>
      <c r="AM207" s="20">
        <f t="shared" si="123"/>
        <v>0</v>
      </c>
      <c r="AN207" s="27">
        <f t="shared" si="124"/>
        <v>0</v>
      </c>
      <c r="AO207" s="57">
        <f t="shared" si="104"/>
        <v>0</v>
      </c>
      <c r="AP207" s="19">
        <f t="shared" si="125"/>
        <v>0</v>
      </c>
      <c r="AQ207" s="20">
        <f t="shared" si="126"/>
        <v>0</v>
      </c>
      <c r="AR207" s="58">
        <f t="shared" si="127"/>
        <v>0</v>
      </c>
      <c r="AS207" s="1">
        <f t="shared" si="128"/>
        <v>0</v>
      </c>
      <c r="AT207" s="21">
        <f t="shared" si="129"/>
        <v>0</v>
      </c>
      <c r="AU207" s="28">
        <f t="shared" si="130"/>
        <v>0</v>
      </c>
      <c r="AV207" s="19">
        <f t="shared" si="131"/>
        <v>0</v>
      </c>
      <c r="AW207" s="19">
        <f t="shared" si="132"/>
        <v>0</v>
      </c>
      <c r="AX207" s="27">
        <f t="shared" si="133"/>
        <v>0</v>
      </c>
      <c r="AY207" s="1" t="e">
        <f t="shared" si="134"/>
        <v>#DIV/0!</v>
      </c>
      <c r="AZ207" s="1" t="e">
        <f t="shared" si="135"/>
        <v>#DIV/0!</v>
      </c>
    </row>
    <row r="208" spans="1:52" hidden="1" x14ac:dyDescent="0.35">
      <c r="A208" s="6" t="s">
        <v>423</v>
      </c>
      <c r="B208" s="6">
        <v>2.5000000000000001E-2</v>
      </c>
      <c r="C208" s="2" t="e">
        <f>+VLOOKUP(E208,inventario!#REF!,2,0)</f>
        <v>#REF!</v>
      </c>
      <c r="D208" t="str">
        <f t="shared" si="105"/>
        <v>743</v>
      </c>
      <c r="E208" t="s">
        <v>79</v>
      </c>
      <c r="F208" s="6" t="str">
        <f>+IFERROR(VLOOKUP(E208,#REF!,29,0),"C")</f>
        <v>C</v>
      </c>
      <c r="G208" s="6" t="str">
        <f>+IFERROR(VLOOKUP(E208,#REF!,34,0),"C")</f>
        <v>C</v>
      </c>
      <c r="H208" s="64">
        <f>+IFERROR(VLOOKUP(E208,#REF!,31,0),0)</f>
        <v>0</v>
      </c>
      <c r="I208" s="44">
        <f>+IFERROR(VLOOKUP(E208,#REF!,26,0),0)</f>
        <v>0</v>
      </c>
      <c r="J208" s="44">
        <f>+IFERROR(VLOOKUP(E208,#REF!,30,0),0)</f>
        <v>0</v>
      </c>
      <c r="K208" s="3"/>
      <c r="L208" s="25">
        <f t="shared" si="106"/>
        <v>0.7</v>
      </c>
      <c r="M208" s="26">
        <f t="shared" si="107"/>
        <v>0.52440051270804078</v>
      </c>
      <c r="O208">
        <f>+IFERROR(VLOOKUP(D208,lt!A:J,10,0),15)</f>
        <v>17</v>
      </c>
      <c r="P208">
        <v>2</v>
      </c>
      <c r="Q208">
        <v>1</v>
      </c>
      <c r="R208">
        <v>2</v>
      </c>
      <c r="S208" s="22">
        <f t="shared" si="108"/>
        <v>22</v>
      </c>
      <c r="T208" s="9">
        <v>3</v>
      </c>
      <c r="U208" s="23">
        <f t="shared" si="109"/>
        <v>0.83333333333333337</v>
      </c>
      <c r="V208" s="11">
        <f t="shared" si="110"/>
        <v>0</v>
      </c>
      <c r="W208" s="11">
        <f t="shared" si="111"/>
        <v>0</v>
      </c>
      <c r="X208" s="11">
        <f t="shared" si="112"/>
        <v>0</v>
      </c>
      <c r="Y208" s="11">
        <f t="shared" si="113"/>
        <v>0</v>
      </c>
      <c r="Z208" s="65">
        <f t="shared" si="114"/>
        <v>0</v>
      </c>
      <c r="AA208" s="24">
        <f t="shared" si="115"/>
        <v>0</v>
      </c>
      <c r="AB208">
        <f t="shared" si="116"/>
        <v>0</v>
      </c>
      <c r="AC208" s="46">
        <f>+IFERROR(VLOOKUP(E208,#REF!,24,0),0.2)</f>
        <v>0.2</v>
      </c>
      <c r="AD208" s="42">
        <f>+IFERROR(VLOOKUP(E208,h!$C:$D,2,0),0.3866)</f>
        <v>0.38610833333333339</v>
      </c>
      <c r="AE208" s="42">
        <f>+VLOOKUP(A208,k!$A$1:$G$4,5,0)</f>
        <v>0.35799365240740744</v>
      </c>
      <c r="AF208" s="47">
        <f t="shared" si="117"/>
        <v>0.94410198574074089</v>
      </c>
      <c r="AG208" s="48">
        <f t="shared" si="118"/>
        <v>0.1132922382888889</v>
      </c>
      <c r="AH208" s="20">
        <f>+IFERROR(VLOOKUP(C208,k!$A$7:$L$13,7,0),0)</f>
        <v>0</v>
      </c>
      <c r="AI208" s="20">
        <f t="shared" si="119"/>
        <v>0</v>
      </c>
      <c r="AJ208" s="5">
        <f t="shared" si="120"/>
        <v>0</v>
      </c>
      <c r="AK208" s="57">
        <f t="shared" si="121"/>
        <v>0</v>
      </c>
      <c r="AL208" s="19">
        <f t="shared" si="122"/>
        <v>0</v>
      </c>
      <c r="AM208" s="20">
        <f t="shared" si="123"/>
        <v>0</v>
      </c>
      <c r="AN208" s="27">
        <f t="shared" si="124"/>
        <v>0</v>
      </c>
      <c r="AO208" s="57">
        <f t="shared" si="104"/>
        <v>0</v>
      </c>
      <c r="AP208" s="19">
        <f t="shared" si="125"/>
        <v>0</v>
      </c>
      <c r="AQ208" s="20">
        <f t="shared" si="126"/>
        <v>0</v>
      </c>
      <c r="AR208" s="58">
        <f t="shared" si="127"/>
        <v>0</v>
      </c>
      <c r="AS208" s="1">
        <f t="shared" si="128"/>
        <v>0</v>
      </c>
      <c r="AT208" s="21">
        <f t="shared" si="129"/>
        <v>0</v>
      </c>
      <c r="AU208" s="28">
        <f t="shared" si="130"/>
        <v>0</v>
      </c>
      <c r="AV208" s="19">
        <f t="shared" si="131"/>
        <v>0</v>
      </c>
      <c r="AW208" s="19">
        <f t="shared" si="132"/>
        <v>0</v>
      </c>
      <c r="AX208" s="27">
        <f t="shared" si="133"/>
        <v>0</v>
      </c>
      <c r="AY208" s="1" t="e">
        <f t="shared" si="134"/>
        <v>#DIV/0!</v>
      </c>
      <c r="AZ208" s="1" t="e">
        <f t="shared" si="135"/>
        <v>#DIV/0!</v>
      </c>
    </row>
    <row r="209" spans="1:52" hidden="1" x14ac:dyDescent="0.35">
      <c r="A209" s="6" t="s">
        <v>423</v>
      </c>
      <c r="B209" s="6">
        <v>0.05</v>
      </c>
      <c r="C209" s="2" t="e">
        <f>+VLOOKUP(E209,inventario!#REF!,2,0)</f>
        <v>#REF!</v>
      </c>
      <c r="D209" t="str">
        <f t="shared" si="105"/>
        <v>744</v>
      </c>
      <c r="E209" t="s">
        <v>80</v>
      </c>
      <c r="F209" s="6" t="str">
        <f>+IFERROR(VLOOKUP(E209,#REF!,29,0),"C")</f>
        <v>C</v>
      </c>
      <c r="G209" s="6" t="str">
        <f>+IFERROR(VLOOKUP(E209,#REF!,34,0),"C")</f>
        <v>C</v>
      </c>
      <c r="H209" s="64">
        <f>+IFERROR(VLOOKUP(E209,#REF!,31,0),0)</f>
        <v>0</v>
      </c>
      <c r="I209" s="44">
        <f>+IFERROR(VLOOKUP(E209,#REF!,26,0),0)</f>
        <v>0</v>
      </c>
      <c r="J209" s="44">
        <f>+IFERROR(VLOOKUP(E209,#REF!,30,0),0)</f>
        <v>0</v>
      </c>
      <c r="K209" s="3"/>
      <c r="L209" s="25">
        <f t="shared" si="106"/>
        <v>0.7</v>
      </c>
      <c r="M209" s="26">
        <f t="shared" si="107"/>
        <v>0.52440051270804078</v>
      </c>
      <c r="O209">
        <f>+IFERROR(VLOOKUP(D209,lt!A:J,10,0),15)</f>
        <v>17</v>
      </c>
      <c r="P209">
        <v>2</v>
      </c>
      <c r="Q209">
        <v>1</v>
      </c>
      <c r="R209">
        <v>2</v>
      </c>
      <c r="S209" s="22">
        <f t="shared" si="108"/>
        <v>22</v>
      </c>
      <c r="T209" s="9">
        <v>3</v>
      </c>
      <c r="U209" s="23">
        <f t="shared" si="109"/>
        <v>0.83333333333333337</v>
      </c>
      <c r="V209" s="11">
        <f t="shared" si="110"/>
        <v>0</v>
      </c>
      <c r="W209" s="11">
        <f t="shared" si="111"/>
        <v>0</v>
      </c>
      <c r="X209" s="11">
        <f t="shared" si="112"/>
        <v>0</v>
      </c>
      <c r="Y209" s="11">
        <f t="shared" si="113"/>
        <v>0</v>
      </c>
      <c r="Z209" s="65">
        <f t="shared" si="114"/>
        <v>0</v>
      </c>
      <c r="AA209" s="24">
        <f t="shared" si="115"/>
        <v>0</v>
      </c>
      <c r="AB209">
        <f t="shared" si="116"/>
        <v>0</v>
      </c>
      <c r="AC209" s="46">
        <f>+IFERROR(VLOOKUP(E209,#REF!,24,0),0.2)</f>
        <v>0.2</v>
      </c>
      <c r="AD209" s="42">
        <f>+IFERROR(VLOOKUP(E209,h!$C:$D,2,0),0.3866)</f>
        <v>0.38610833333333339</v>
      </c>
      <c r="AE209" s="42">
        <f>+VLOOKUP(A209,k!$A$1:$G$4,5,0)</f>
        <v>0.35799365240740744</v>
      </c>
      <c r="AF209" s="47">
        <f t="shared" si="117"/>
        <v>0.94410198574074089</v>
      </c>
      <c r="AG209" s="48">
        <f t="shared" si="118"/>
        <v>0.1132922382888889</v>
      </c>
      <c r="AH209" s="20">
        <f>+IFERROR(VLOOKUP(C209,k!$A$7:$L$13,7,0),0)</f>
        <v>0</v>
      </c>
      <c r="AI209" s="20">
        <f t="shared" si="119"/>
        <v>0</v>
      </c>
      <c r="AJ209" s="5">
        <f t="shared" si="120"/>
        <v>0</v>
      </c>
      <c r="AK209" s="57">
        <f t="shared" si="121"/>
        <v>0</v>
      </c>
      <c r="AL209" s="19">
        <f t="shared" si="122"/>
        <v>0</v>
      </c>
      <c r="AM209" s="20">
        <f t="shared" si="123"/>
        <v>0</v>
      </c>
      <c r="AN209" s="27">
        <f t="shared" si="124"/>
        <v>0</v>
      </c>
      <c r="AO209" s="57">
        <f t="shared" si="104"/>
        <v>0</v>
      </c>
      <c r="AP209" s="19">
        <f t="shared" si="125"/>
        <v>0</v>
      </c>
      <c r="AQ209" s="20">
        <f t="shared" si="126"/>
        <v>0</v>
      </c>
      <c r="AR209" s="58">
        <f t="shared" si="127"/>
        <v>0</v>
      </c>
      <c r="AS209" s="1">
        <f t="shared" si="128"/>
        <v>0</v>
      </c>
      <c r="AT209" s="21">
        <f t="shared" si="129"/>
        <v>0</v>
      </c>
      <c r="AU209" s="28">
        <f t="shared" si="130"/>
        <v>0</v>
      </c>
      <c r="AV209" s="19">
        <f t="shared" si="131"/>
        <v>0</v>
      </c>
      <c r="AW209" s="19">
        <f t="shared" si="132"/>
        <v>0</v>
      </c>
      <c r="AX209" s="27">
        <f t="shared" si="133"/>
        <v>0</v>
      </c>
      <c r="AY209" s="1" t="e">
        <f t="shared" si="134"/>
        <v>#DIV/0!</v>
      </c>
      <c r="AZ209" s="1" t="e">
        <f t="shared" si="135"/>
        <v>#DIV/0!</v>
      </c>
    </row>
    <row r="210" spans="1:52" hidden="1" x14ac:dyDescent="0.35">
      <c r="A210" s="6" t="s">
        <v>423</v>
      </c>
      <c r="B210" s="6">
        <v>1000</v>
      </c>
      <c r="C210" s="2" t="e">
        <f>+VLOOKUP(E210,inventario!#REF!,2,0)</f>
        <v>#REF!</v>
      </c>
      <c r="D210" t="str">
        <f t="shared" si="105"/>
        <v>9542</v>
      </c>
      <c r="E210" s="55" t="s">
        <v>1054</v>
      </c>
      <c r="F210" s="6" t="str">
        <f>+IFERROR(VLOOKUP(E210,#REF!,29,0),"C")</f>
        <v>C</v>
      </c>
      <c r="G210" s="6" t="str">
        <f>+IFERROR(VLOOKUP(E210,#REF!,34,0),"C")</f>
        <v>C</v>
      </c>
      <c r="H210" s="64">
        <f>+IFERROR(VLOOKUP(E210,#REF!,31,0),0)</f>
        <v>0</v>
      </c>
      <c r="I210" s="44">
        <f>+IFERROR(VLOOKUP(E210,#REF!,26,0),0)</f>
        <v>0</v>
      </c>
      <c r="J210" s="44">
        <f>+IFERROR(VLOOKUP(E210,#REF!,30,0),0)</f>
        <v>0</v>
      </c>
      <c r="L210" s="25">
        <f t="shared" si="106"/>
        <v>0.7</v>
      </c>
      <c r="M210" s="26">
        <f t="shared" si="107"/>
        <v>0.52440051270804078</v>
      </c>
      <c r="O210">
        <f>+IFERROR(VLOOKUP(D210,lt!A:J,10,0),15)</f>
        <v>15</v>
      </c>
      <c r="P210">
        <v>2</v>
      </c>
      <c r="Q210">
        <v>1</v>
      </c>
      <c r="R210">
        <v>2</v>
      </c>
      <c r="S210" s="22">
        <f t="shared" si="108"/>
        <v>20</v>
      </c>
      <c r="T210" s="9">
        <v>3</v>
      </c>
      <c r="U210" s="23">
        <f t="shared" si="109"/>
        <v>0.76666666666666672</v>
      </c>
      <c r="V210" s="11">
        <f t="shared" si="110"/>
        <v>0</v>
      </c>
      <c r="W210" s="11">
        <f t="shared" si="111"/>
        <v>0</v>
      </c>
      <c r="X210" s="11">
        <f t="shared" si="112"/>
        <v>0</v>
      </c>
      <c r="Y210" s="11">
        <f t="shared" si="113"/>
        <v>0</v>
      </c>
      <c r="Z210" s="65">
        <f t="shared" si="114"/>
        <v>0</v>
      </c>
      <c r="AA210" s="24">
        <f t="shared" si="115"/>
        <v>0</v>
      </c>
      <c r="AB210">
        <f t="shared" si="116"/>
        <v>0</v>
      </c>
      <c r="AC210" s="46">
        <f>+IFERROR(VLOOKUP(E210,#REF!,24,0),0.2)</f>
        <v>0.2</v>
      </c>
      <c r="AD210" s="42">
        <f>+IFERROR(VLOOKUP(E210,h!$C:$D,2,0),0.3866)</f>
        <v>0.3866</v>
      </c>
      <c r="AE210" s="42">
        <f>+VLOOKUP(A210,k!$A$1:$G$4,5,0)</f>
        <v>0.35799365240740744</v>
      </c>
      <c r="AF210" s="47">
        <f t="shared" si="117"/>
        <v>0.94459365240740745</v>
      </c>
      <c r="AG210" s="48">
        <f t="shared" si="118"/>
        <v>0.11335123828888889</v>
      </c>
      <c r="AH210" s="20">
        <f>+IFERROR(VLOOKUP(C210,k!$A$7:$L$13,7,0),0)</f>
        <v>0</v>
      </c>
      <c r="AI210" s="20">
        <f t="shared" si="119"/>
        <v>0</v>
      </c>
      <c r="AJ210" s="5">
        <f t="shared" si="120"/>
        <v>0</v>
      </c>
      <c r="AK210" s="57">
        <f t="shared" si="121"/>
        <v>0</v>
      </c>
      <c r="AL210" s="19">
        <f t="shared" si="122"/>
        <v>0</v>
      </c>
      <c r="AM210" s="20">
        <f t="shared" si="123"/>
        <v>0</v>
      </c>
      <c r="AN210" s="27">
        <f t="shared" si="124"/>
        <v>0</v>
      </c>
      <c r="AO210" s="57">
        <f t="shared" si="104"/>
        <v>0</v>
      </c>
      <c r="AP210" s="19">
        <f t="shared" si="125"/>
        <v>0</v>
      </c>
      <c r="AQ210" s="20">
        <f t="shared" si="126"/>
        <v>0</v>
      </c>
      <c r="AR210" s="58">
        <f t="shared" si="127"/>
        <v>0</v>
      </c>
      <c r="AS210" s="1">
        <f t="shared" si="128"/>
        <v>0</v>
      </c>
      <c r="AT210" s="21">
        <f t="shared" si="129"/>
        <v>0</v>
      </c>
      <c r="AU210" s="28">
        <f t="shared" si="130"/>
        <v>0</v>
      </c>
      <c r="AV210" s="19">
        <f t="shared" si="131"/>
        <v>0</v>
      </c>
      <c r="AW210" s="19">
        <f t="shared" si="132"/>
        <v>0</v>
      </c>
      <c r="AX210" s="27">
        <f t="shared" si="133"/>
        <v>0</v>
      </c>
      <c r="AY210" s="1" t="e">
        <f t="shared" si="134"/>
        <v>#DIV/0!</v>
      </c>
      <c r="AZ210" s="1" t="e">
        <f t="shared" si="135"/>
        <v>#DIV/0!</v>
      </c>
    </row>
    <row r="211" spans="1:52" hidden="1" x14ac:dyDescent="0.35">
      <c r="A211" s="6" t="s">
        <v>423</v>
      </c>
      <c r="B211" s="6">
        <v>1000</v>
      </c>
      <c r="C211" s="2" t="e">
        <f>+VLOOKUP(E211,inventario!#REF!,2,0)</f>
        <v>#REF!</v>
      </c>
      <c r="D211" t="str">
        <f t="shared" si="105"/>
        <v>037-ME</v>
      </c>
      <c r="E211" s="55" t="s">
        <v>747</v>
      </c>
      <c r="F211" s="6" t="str">
        <f>+IFERROR(VLOOKUP(E211,#REF!,29,0),"C")</f>
        <v>C</v>
      </c>
      <c r="G211" s="6" t="str">
        <f>+IFERROR(VLOOKUP(E211,#REF!,34,0),"C")</f>
        <v>C</v>
      </c>
      <c r="H211" s="64">
        <f>+IFERROR(VLOOKUP(E211,#REF!,31,0),0)</f>
        <v>0</v>
      </c>
      <c r="I211" s="44">
        <f>+IFERROR(VLOOKUP(E211,#REF!,26,0),0)</f>
        <v>0</v>
      </c>
      <c r="J211" s="44">
        <f>+IFERROR(VLOOKUP(E211,#REF!,30,0),0)</f>
        <v>0</v>
      </c>
      <c r="L211" s="25">
        <f t="shared" si="106"/>
        <v>0.7</v>
      </c>
      <c r="M211" s="26">
        <f t="shared" si="107"/>
        <v>0.52440051270804078</v>
      </c>
      <c r="O211">
        <f>+IFERROR(VLOOKUP(D211,lt!A:J,10,0),15)</f>
        <v>15</v>
      </c>
      <c r="P211">
        <v>2</v>
      </c>
      <c r="Q211">
        <v>1</v>
      </c>
      <c r="R211">
        <v>2</v>
      </c>
      <c r="S211" s="22">
        <f t="shared" si="108"/>
        <v>20</v>
      </c>
      <c r="T211" s="9">
        <v>3</v>
      </c>
      <c r="U211" s="23">
        <f t="shared" si="109"/>
        <v>0.76666666666666672</v>
      </c>
      <c r="V211" s="11">
        <f t="shared" si="110"/>
        <v>0</v>
      </c>
      <c r="W211" s="11">
        <f t="shared" si="111"/>
        <v>0</v>
      </c>
      <c r="X211" s="11">
        <f t="shared" si="112"/>
        <v>0</v>
      </c>
      <c r="Y211" s="11">
        <f t="shared" si="113"/>
        <v>0</v>
      </c>
      <c r="Z211" s="65">
        <f t="shared" si="114"/>
        <v>0</v>
      </c>
      <c r="AA211" s="24">
        <f t="shared" si="115"/>
        <v>0</v>
      </c>
      <c r="AB211">
        <f t="shared" si="116"/>
        <v>0</v>
      </c>
      <c r="AC211" s="46">
        <f>+IFERROR(VLOOKUP(E211,#REF!,24,0),0.2)</f>
        <v>0.2</v>
      </c>
      <c r="AD211" s="42">
        <f>+IFERROR(VLOOKUP(E211,h!$C:$D,2,0),0.3866)</f>
        <v>0.3866</v>
      </c>
      <c r="AE211" s="42">
        <f>+VLOOKUP(A211,k!$A$1:$G$4,5,0)</f>
        <v>0.35799365240740744</v>
      </c>
      <c r="AF211" s="47">
        <f t="shared" si="117"/>
        <v>0.94459365240740745</v>
      </c>
      <c r="AG211" s="48">
        <f t="shared" si="118"/>
        <v>0.11335123828888889</v>
      </c>
      <c r="AH211" s="20">
        <f>+IFERROR(VLOOKUP(C211,k!$A$7:$L$13,7,0),0)</f>
        <v>0</v>
      </c>
      <c r="AI211" s="20">
        <f t="shared" si="119"/>
        <v>0</v>
      </c>
      <c r="AJ211" s="5">
        <f t="shared" si="120"/>
        <v>0</v>
      </c>
      <c r="AK211" s="57">
        <f t="shared" si="121"/>
        <v>0</v>
      </c>
      <c r="AL211" s="19">
        <f t="shared" si="122"/>
        <v>0</v>
      </c>
      <c r="AM211" s="20">
        <f t="shared" si="123"/>
        <v>0</v>
      </c>
      <c r="AN211" s="27">
        <f t="shared" si="124"/>
        <v>0</v>
      </c>
      <c r="AO211" s="57">
        <f t="shared" si="104"/>
        <v>0</v>
      </c>
      <c r="AP211" s="19">
        <f t="shared" si="125"/>
        <v>0</v>
      </c>
      <c r="AQ211" s="20">
        <f t="shared" si="126"/>
        <v>0</v>
      </c>
      <c r="AR211" s="58">
        <f t="shared" si="127"/>
        <v>0</v>
      </c>
      <c r="AS211" s="1">
        <f t="shared" si="128"/>
        <v>0</v>
      </c>
      <c r="AT211" s="21">
        <f t="shared" si="129"/>
        <v>0</v>
      </c>
      <c r="AU211" s="28">
        <f t="shared" si="130"/>
        <v>0</v>
      </c>
      <c r="AV211" s="19">
        <f t="shared" si="131"/>
        <v>0</v>
      </c>
      <c r="AW211" s="19">
        <f t="shared" si="132"/>
        <v>0</v>
      </c>
      <c r="AX211" s="27">
        <f t="shared" si="133"/>
        <v>0</v>
      </c>
      <c r="AY211" s="1" t="e">
        <f t="shared" si="134"/>
        <v>#DIV/0!</v>
      </c>
      <c r="AZ211" s="1" t="e">
        <f t="shared" si="135"/>
        <v>#DIV/0!</v>
      </c>
    </row>
    <row r="212" spans="1:52" hidden="1" x14ac:dyDescent="0.35">
      <c r="A212" s="6" t="s">
        <v>423</v>
      </c>
      <c r="B212" s="6">
        <v>1000</v>
      </c>
      <c r="C212" s="2" t="e">
        <f>+VLOOKUP(E212,inventario!#REF!,2,0)</f>
        <v>#REF!</v>
      </c>
      <c r="D212" t="str">
        <f t="shared" si="105"/>
        <v>040-ME</v>
      </c>
      <c r="E212" s="55" t="s">
        <v>752</v>
      </c>
      <c r="F212" s="6" t="str">
        <f>+IFERROR(VLOOKUP(E212,#REF!,29,0),"C")</f>
        <v>C</v>
      </c>
      <c r="G212" s="6" t="str">
        <f>+IFERROR(VLOOKUP(E212,#REF!,34,0),"C")</f>
        <v>C</v>
      </c>
      <c r="H212" s="64">
        <f>+IFERROR(VLOOKUP(E212,#REF!,31,0),0)</f>
        <v>0</v>
      </c>
      <c r="I212" s="44">
        <f>+IFERROR(VLOOKUP(E212,#REF!,26,0),0)</f>
        <v>0</v>
      </c>
      <c r="J212" s="44">
        <f>+IFERROR(VLOOKUP(E212,#REF!,30,0),0)</f>
        <v>0</v>
      </c>
      <c r="L212" s="25">
        <f t="shared" si="106"/>
        <v>0.7</v>
      </c>
      <c r="M212" s="26">
        <f t="shared" si="107"/>
        <v>0.52440051270804078</v>
      </c>
      <c r="O212">
        <f>+IFERROR(VLOOKUP(D212,lt!A:J,10,0),15)</f>
        <v>15</v>
      </c>
      <c r="P212">
        <v>2</v>
      </c>
      <c r="Q212">
        <v>1</v>
      </c>
      <c r="R212">
        <v>2</v>
      </c>
      <c r="S212" s="22">
        <f t="shared" si="108"/>
        <v>20</v>
      </c>
      <c r="T212" s="9">
        <v>3</v>
      </c>
      <c r="U212" s="23">
        <f t="shared" si="109"/>
        <v>0.76666666666666672</v>
      </c>
      <c r="V212" s="11">
        <f t="shared" si="110"/>
        <v>0</v>
      </c>
      <c r="W212" s="11">
        <f t="shared" si="111"/>
        <v>0</v>
      </c>
      <c r="X212" s="11">
        <f t="shared" si="112"/>
        <v>0</v>
      </c>
      <c r="Y212" s="11">
        <f t="shared" si="113"/>
        <v>0</v>
      </c>
      <c r="Z212" s="65">
        <f t="shared" si="114"/>
        <v>0</v>
      </c>
      <c r="AA212" s="24">
        <f t="shared" si="115"/>
        <v>0</v>
      </c>
      <c r="AB212">
        <f t="shared" si="116"/>
        <v>0</v>
      </c>
      <c r="AC212" s="46">
        <f>+IFERROR(VLOOKUP(E212,#REF!,24,0),0.2)</f>
        <v>0.2</v>
      </c>
      <c r="AD212" s="42">
        <f>+IFERROR(VLOOKUP(E212,h!$C:$D,2,0),0.3866)</f>
        <v>0.3866</v>
      </c>
      <c r="AE212" s="42">
        <f>+VLOOKUP(A212,k!$A$1:$G$4,5,0)</f>
        <v>0.35799365240740744</v>
      </c>
      <c r="AF212" s="47">
        <f t="shared" si="117"/>
        <v>0.94459365240740745</v>
      </c>
      <c r="AG212" s="48">
        <f t="shared" si="118"/>
        <v>0.11335123828888889</v>
      </c>
      <c r="AH212" s="20">
        <f>+IFERROR(VLOOKUP(C212,k!$A$7:$L$13,7,0),0)</f>
        <v>0</v>
      </c>
      <c r="AI212" s="20">
        <f t="shared" si="119"/>
        <v>0</v>
      </c>
      <c r="AJ212" s="5">
        <f t="shared" si="120"/>
        <v>0</v>
      </c>
      <c r="AK212" s="57">
        <f t="shared" si="121"/>
        <v>0</v>
      </c>
      <c r="AL212" s="19">
        <f t="shared" si="122"/>
        <v>0</v>
      </c>
      <c r="AM212" s="20">
        <f t="shared" si="123"/>
        <v>0</v>
      </c>
      <c r="AN212" s="27">
        <f t="shared" si="124"/>
        <v>0</v>
      </c>
      <c r="AO212" s="57">
        <f t="shared" si="104"/>
        <v>0</v>
      </c>
      <c r="AP212" s="19">
        <f t="shared" si="125"/>
        <v>0</v>
      </c>
      <c r="AQ212" s="20">
        <f t="shared" si="126"/>
        <v>0</v>
      </c>
      <c r="AR212" s="58">
        <f t="shared" si="127"/>
        <v>0</v>
      </c>
      <c r="AS212" s="1">
        <f t="shared" si="128"/>
        <v>0</v>
      </c>
      <c r="AT212" s="21">
        <f t="shared" si="129"/>
        <v>0</v>
      </c>
      <c r="AU212" s="28">
        <f t="shared" si="130"/>
        <v>0</v>
      </c>
      <c r="AV212" s="19">
        <f t="shared" si="131"/>
        <v>0</v>
      </c>
      <c r="AW212" s="19">
        <f t="shared" si="132"/>
        <v>0</v>
      </c>
      <c r="AX212" s="27">
        <f t="shared" si="133"/>
        <v>0</v>
      </c>
      <c r="AY212" s="1" t="e">
        <f t="shared" si="134"/>
        <v>#DIV/0!</v>
      </c>
      <c r="AZ212" s="1" t="e">
        <f t="shared" si="135"/>
        <v>#DIV/0!</v>
      </c>
    </row>
    <row r="213" spans="1:52" hidden="1" x14ac:dyDescent="0.35">
      <c r="A213" s="6" t="s">
        <v>423</v>
      </c>
      <c r="B213" s="6">
        <v>2.5000000000000001E-2</v>
      </c>
      <c r="C213" s="2" t="e">
        <f>+VLOOKUP(E213,inventario!#REF!,2,0)</f>
        <v>#REF!</v>
      </c>
      <c r="D213" t="str">
        <f t="shared" si="105"/>
        <v>20</v>
      </c>
      <c r="E213" t="s">
        <v>958</v>
      </c>
      <c r="F213" s="6" t="str">
        <f>+IFERROR(VLOOKUP(E213,#REF!,29,0),"C")</f>
        <v>C</v>
      </c>
      <c r="G213" s="6" t="str">
        <f>+IFERROR(VLOOKUP(E213,#REF!,34,0),"C")</f>
        <v>C</v>
      </c>
      <c r="H213" s="64">
        <f>+IFERROR(VLOOKUP(E213,#REF!,31,0),0)</f>
        <v>0</v>
      </c>
      <c r="I213" s="44">
        <f>+IFERROR(VLOOKUP(E213,#REF!,26,0),0)</f>
        <v>0</v>
      </c>
      <c r="J213" s="44">
        <f>+IFERROR(VLOOKUP(E213,#REF!,30,0),0)</f>
        <v>0</v>
      </c>
      <c r="K213" s="3"/>
      <c r="L213" s="25">
        <f t="shared" si="106"/>
        <v>0.7</v>
      </c>
      <c r="M213" s="26">
        <f t="shared" si="107"/>
        <v>0.52440051270804078</v>
      </c>
      <c r="O213">
        <f>+IFERROR(VLOOKUP(D213,lt!A:J,10,0),15)</f>
        <v>15</v>
      </c>
      <c r="P213">
        <v>2</v>
      </c>
      <c r="Q213">
        <v>1</v>
      </c>
      <c r="R213">
        <v>2</v>
      </c>
      <c r="S213" s="22">
        <f t="shared" si="108"/>
        <v>20</v>
      </c>
      <c r="T213" s="9">
        <v>3</v>
      </c>
      <c r="U213" s="23">
        <f t="shared" si="109"/>
        <v>0.76666666666666672</v>
      </c>
      <c r="V213" s="11">
        <f t="shared" si="110"/>
        <v>0</v>
      </c>
      <c r="W213" s="11">
        <f t="shared" si="111"/>
        <v>0</v>
      </c>
      <c r="X213" s="11">
        <f t="shared" si="112"/>
        <v>0</v>
      </c>
      <c r="Y213" s="11">
        <f t="shared" si="113"/>
        <v>0</v>
      </c>
      <c r="Z213" s="65">
        <f t="shared" si="114"/>
        <v>0</v>
      </c>
      <c r="AA213" s="24">
        <f t="shared" si="115"/>
        <v>0</v>
      </c>
      <c r="AB213">
        <f t="shared" si="116"/>
        <v>0</v>
      </c>
      <c r="AC213" s="46">
        <f>+IFERROR(VLOOKUP(E213,#REF!,24,0),0.2)</f>
        <v>0.2</v>
      </c>
      <c r="AD213" s="42">
        <f>+IFERROR(VLOOKUP(E213,h!$C:$D,2,0),0.3866)</f>
        <v>0.38610833333333339</v>
      </c>
      <c r="AE213" s="42">
        <f>+VLOOKUP(A213,k!$A$1:$G$4,5,0)</f>
        <v>0.35799365240740744</v>
      </c>
      <c r="AF213" s="47">
        <f t="shared" si="117"/>
        <v>0.94410198574074089</v>
      </c>
      <c r="AG213" s="48">
        <f t="shared" si="118"/>
        <v>0.1132922382888889</v>
      </c>
      <c r="AH213" s="20">
        <f>+IFERROR(VLOOKUP(C213,k!$A$7:$L$13,7,0),0)</f>
        <v>0</v>
      </c>
      <c r="AI213" s="20">
        <f t="shared" si="119"/>
        <v>0</v>
      </c>
      <c r="AJ213" s="5">
        <f t="shared" si="120"/>
        <v>0</v>
      </c>
      <c r="AK213" s="57">
        <f t="shared" si="121"/>
        <v>0</v>
      </c>
      <c r="AL213" s="19">
        <f t="shared" si="122"/>
        <v>0</v>
      </c>
      <c r="AM213" s="20">
        <f t="shared" si="123"/>
        <v>0</v>
      </c>
      <c r="AN213" s="27">
        <f t="shared" si="124"/>
        <v>0</v>
      </c>
      <c r="AO213" s="57">
        <f t="shared" si="104"/>
        <v>0</v>
      </c>
      <c r="AP213" s="19">
        <f t="shared" si="125"/>
        <v>0</v>
      </c>
      <c r="AQ213" s="20">
        <f t="shared" si="126"/>
        <v>0</v>
      </c>
      <c r="AR213" s="58">
        <f t="shared" si="127"/>
        <v>0</v>
      </c>
      <c r="AS213" s="1">
        <f t="shared" si="128"/>
        <v>0</v>
      </c>
      <c r="AT213" s="21">
        <f t="shared" si="129"/>
        <v>0</v>
      </c>
      <c r="AU213" s="28">
        <f t="shared" si="130"/>
        <v>0</v>
      </c>
      <c r="AV213" s="19">
        <f t="shared" si="131"/>
        <v>0</v>
      </c>
      <c r="AW213" s="19">
        <f t="shared" si="132"/>
        <v>0</v>
      </c>
      <c r="AX213" s="27">
        <f t="shared" si="133"/>
        <v>0</v>
      </c>
      <c r="AY213" s="1" t="e">
        <f t="shared" si="134"/>
        <v>#DIV/0!</v>
      </c>
      <c r="AZ213" s="1" t="e">
        <f t="shared" si="135"/>
        <v>#DIV/0!</v>
      </c>
    </row>
    <row r="214" spans="1:52" hidden="1" x14ac:dyDescent="0.35">
      <c r="A214" s="6" t="s">
        <v>423</v>
      </c>
      <c r="B214" s="6">
        <v>2.5000000000000001E-2</v>
      </c>
      <c r="C214" s="2" t="e">
        <f>+VLOOKUP(E214,inventario!#REF!,2,0)</f>
        <v>#REF!</v>
      </c>
      <c r="D214" t="str">
        <f t="shared" si="105"/>
        <v>456.7</v>
      </c>
      <c r="E214" s="62" t="s">
        <v>1050</v>
      </c>
      <c r="F214" s="6" t="str">
        <f>+IFERROR(VLOOKUP(E214,#REF!,29,0),"C")</f>
        <v>C</v>
      </c>
      <c r="G214" s="6" t="str">
        <f>+IFERROR(VLOOKUP(E214,#REF!,34,0),"C")</f>
        <v>C</v>
      </c>
      <c r="H214" s="64">
        <f>+IFERROR(VLOOKUP(E214,#REF!,31,0),0)</f>
        <v>0</v>
      </c>
      <c r="I214" s="44">
        <f>+IFERROR(VLOOKUP(E214,#REF!,26,0),0)</f>
        <v>0</v>
      </c>
      <c r="J214" s="44">
        <f>+IFERROR(VLOOKUP(E214,#REF!,30,0),0)</f>
        <v>0</v>
      </c>
      <c r="L214" s="25">
        <f t="shared" si="106"/>
        <v>0.7</v>
      </c>
      <c r="M214" s="26">
        <f t="shared" si="107"/>
        <v>0.52440051270804078</v>
      </c>
      <c r="O214">
        <f>+IFERROR(VLOOKUP(D214,lt!A:J,10,0),15)</f>
        <v>17</v>
      </c>
      <c r="P214">
        <v>2</v>
      </c>
      <c r="Q214">
        <v>1</v>
      </c>
      <c r="R214">
        <v>2</v>
      </c>
      <c r="S214" s="22">
        <f t="shared" si="108"/>
        <v>22</v>
      </c>
      <c r="T214" s="9">
        <v>3</v>
      </c>
      <c r="U214" s="23">
        <f t="shared" si="109"/>
        <v>0.83333333333333337</v>
      </c>
      <c r="V214" s="11">
        <f t="shared" si="110"/>
        <v>0</v>
      </c>
      <c r="W214" s="11">
        <f t="shared" si="111"/>
        <v>0</v>
      </c>
      <c r="X214" s="11">
        <f t="shared" si="112"/>
        <v>0</v>
      </c>
      <c r="Y214" s="11">
        <f t="shared" si="113"/>
        <v>0</v>
      </c>
      <c r="Z214" s="65">
        <f t="shared" si="114"/>
        <v>0</v>
      </c>
      <c r="AA214" s="24">
        <f t="shared" si="115"/>
        <v>0</v>
      </c>
      <c r="AB214">
        <f t="shared" si="116"/>
        <v>0</v>
      </c>
      <c r="AC214" s="46">
        <f>+IFERROR(VLOOKUP(E214,#REF!,24,0),0.2)</f>
        <v>0.2</v>
      </c>
      <c r="AD214" s="42">
        <f>+IFERROR(VLOOKUP(E214,h!$C:$D,2,0),0.3866)</f>
        <v>0.3866</v>
      </c>
      <c r="AE214" s="42">
        <f>+VLOOKUP(A214,k!$A$1:$G$4,5,0)</f>
        <v>0.35799365240740744</v>
      </c>
      <c r="AF214" s="47">
        <f t="shared" si="117"/>
        <v>0.94459365240740745</v>
      </c>
      <c r="AG214" s="48">
        <f t="shared" si="118"/>
        <v>0.11335123828888889</v>
      </c>
      <c r="AH214" s="20">
        <f>+IFERROR(VLOOKUP(C214,k!$A$7:$L$13,7,0),0)</f>
        <v>0</v>
      </c>
      <c r="AI214" s="20">
        <f t="shared" si="119"/>
        <v>0</v>
      </c>
      <c r="AJ214" s="5">
        <f t="shared" si="120"/>
        <v>0</v>
      </c>
      <c r="AK214" s="57">
        <f t="shared" si="121"/>
        <v>0</v>
      </c>
      <c r="AL214" s="19">
        <f t="shared" si="122"/>
        <v>0</v>
      </c>
      <c r="AM214" s="20">
        <f t="shared" si="123"/>
        <v>0</v>
      </c>
      <c r="AN214" s="27">
        <f t="shared" si="124"/>
        <v>0</v>
      </c>
      <c r="AO214" s="57">
        <f t="shared" si="104"/>
        <v>0</v>
      </c>
      <c r="AP214" s="19">
        <f t="shared" si="125"/>
        <v>0</v>
      </c>
      <c r="AQ214" s="20">
        <f t="shared" si="126"/>
        <v>0</v>
      </c>
      <c r="AR214" s="58">
        <f t="shared" si="127"/>
        <v>0</v>
      </c>
      <c r="AS214" s="1">
        <f t="shared" si="128"/>
        <v>0</v>
      </c>
      <c r="AT214" s="21">
        <f t="shared" si="129"/>
        <v>0</v>
      </c>
      <c r="AU214" s="28">
        <f t="shared" si="130"/>
        <v>0</v>
      </c>
      <c r="AV214" s="19">
        <f t="shared" si="131"/>
        <v>0</v>
      </c>
      <c r="AW214" s="19">
        <f t="shared" si="132"/>
        <v>0</v>
      </c>
      <c r="AX214" s="27">
        <f t="shared" si="133"/>
        <v>0</v>
      </c>
      <c r="AY214" s="1" t="e">
        <f t="shared" si="134"/>
        <v>#DIV/0!</v>
      </c>
      <c r="AZ214" s="1" t="e">
        <f t="shared" si="135"/>
        <v>#DIV/0!</v>
      </c>
    </row>
    <row r="215" spans="1:52" hidden="1" x14ac:dyDescent="0.35">
      <c r="A215" s="6" t="s">
        <v>423</v>
      </c>
      <c r="B215" s="6">
        <v>2.5000000000000001E-2</v>
      </c>
      <c r="C215" s="2" t="e">
        <f>+VLOOKUP(E215,inventario!#REF!,2,0)</f>
        <v>#REF!</v>
      </c>
      <c r="D215" t="str">
        <f t="shared" si="105"/>
        <v>877</v>
      </c>
      <c r="E215" s="66" t="s">
        <v>88</v>
      </c>
      <c r="F215" s="6" t="str">
        <f>+IFERROR(VLOOKUP(E215,#REF!,29,0),"C")</f>
        <v>C</v>
      </c>
      <c r="G215" s="6" t="str">
        <f>+IFERROR(VLOOKUP(E215,#REF!,34,0),"C")</f>
        <v>C</v>
      </c>
      <c r="H215" s="64">
        <f>+IFERROR(VLOOKUP(E215,#REF!,31,0),0)</f>
        <v>0</v>
      </c>
      <c r="I215" s="44">
        <f>+IFERROR(VLOOKUP(E215,#REF!,26,0),0)</f>
        <v>0</v>
      </c>
      <c r="J215" s="44">
        <f>+IFERROR(VLOOKUP(E215,#REF!,30,0),0)</f>
        <v>0</v>
      </c>
      <c r="K215" s="3"/>
      <c r="L215" s="25">
        <f t="shared" si="106"/>
        <v>0.7</v>
      </c>
      <c r="M215" s="26">
        <f t="shared" si="107"/>
        <v>0.52440051270804078</v>
      </c>
      <c r="O215">
        <f>+IFERROR(VLOOKUP(D215,lt!A:J,10,0),15)</f>
        <v>15</v>
      </c>
      <c r="P215">
        <v>2</v>
      </c>
      <c r="Q215">
        <v>1</v>
      </c>
      <c r="R215">
        <v>2</v>
      </c>
      <c r="S215" s="22">
        <f t="shared" si="108"/>
        <v>20</v>
      </c>
      <c r="T215" s="9">
        <v>3</v>
      </c>
      <c r="U215" s="23">
        <f t="shared" si="109"/>
        <v>0.76666666666666672</v>
      </c>
      <c r="V215" s="11">
        <f t="shared" si="110"/>
        <v>0</v>
      </c>
      <c r="W215" s="11">
        <f t="shared" si="111"/>
        <v>0</v>
      </c>
      <c r="X215" s="11">
        <f t="shared" si="112"/>
        <v>0</v>
      </c>
      <c r="Y215" s="11">
        <f t="shared" si="113"/>
        <v>0</v>
      </c>
      <c r="Z215" s="65">
        <f t="shared" si="114"/>
        <v>0</v>
      </c>
      <c r="AA215" s="24">
        <f t="shared" si="115"/>
        <v>0</v>
      </c>
      <c r="AB215">
        <f t="shared" si="116"/>
        <v>0</v>
      </c>
      <c r="AC215" s="46">
        <f>+IFERROR(VLOOKUP(E215,#REF!,24,0),0.2)</f>
        <v>0.2</v>
      </c>
      <c r="AD215" s="42">
        <f>+IFERROR(VLOOKUP(E215,h!$C:$D,2,0),0.3866)</f>
        <v>0.38610833333333339</v>
      </c>
      <c r="AE215" s="42">
        <f>+VLOOKUP(A215,k!$A$1:$G$4,5,0)</f>
        <v>0.35799365240740744</v>
      </c>
      <c r="AF215" s="47">
        <f t="shared" si="117"/>
        <v>0.94410198574074089</v>
      </c>
      <c r="AG215" s="48">
        <f t="shared" si="118"/>
        <v>0.1132922382888889</v>
      </c>
      <c r="AH215" s="20">
        <f>+IFERROR(VLOOKUP(C215,k!$A$7:$L$13,7,0),0)</f>
        <v>0</v>
      </c>
      <c r="AI215" s="20">
        <f t="shared" si="119"/>
        <v>0</v>
      </c>
      <c r="AJ215" s="5">
        <f t="shared" si="120"/>
        <v>0</v>
      </c>
      <c r="AK215" s="57">
        <f t="shared" si="121"/>
        <v>0</v>
      </c>
      <c r="AL215" s="19">
        <f t="shared" si="122"/>
        <v>0</v>
      </c>
      <c r="AM215" s="20">
        <f t="shared" si="123"/>
        <v>0</v>
      </c>
      <c r="AN215" s="27">
        <f t="shared" si="124"/>
        <v>0</v>
      </c>
      <c r="AO215" s="57">
        <f t="shared" si="104"/>
        <v>0</v>
      </c>
      <c r="AP215" s="19">
        <f t="shared" si="125"/>
        <v>0</v>
      </c>
      <c r="AQ215" s="20">
        <f t="shared" si="126"/>
        <v>0</v>
      </c>
      <c r="AR215" s="58">
        <f t="shared" si="127"/>
        <v>0</v>
      </c>
      <c r="AS215" s="1">
        <f t="shared" si="128"/>
        <v>0</v>
      </c>
      <c r="AT215" s="21">
        <f t="shared" si="129"/>
        <v>0</v>
      </c>
      <c r="AU215" s="28">
        <f t="shared" si="130"/>
        <v>0</v>
      </c>
      <c r="AV215" s="19">
        <f t="shared" si="131"/>
        <v>0</v>
      </c>
      <c r="AW215" s="19">
        <f t="shared" si="132"/>
        <v>0</v>
      </c>
      <c r="AX215" s="27">
        <f t="shared" si="133"/>
        <v>0</v>
      </c>
      <c r="AY215" s="1" t="e">
        <f t="shared" si="134"/>
        <v>#DIV/0!</v>
      </c>
      <c r="AZ215" s="1" t="e">
        <f t="shared" si="135"/>
        <v>#DIV/0!</v>
      </c>
    </row>
    <row r="216" spans="1:52" hidden="1" x14ac:dyDescent="0.35">
      <c r="A216" s="6" t="s">
        <v>423</v>
      </c>
      <c r="B216" s="6">
        <v>1000</v>
      </c>
      <c r="C216" s="2" t="e">
        <f>+VLOOKUP(E216,inventario!#REF!,2,0)</f>
        <v>#REF!</v>
      </c>
      <c r="D216" t="str">
        <f t="shared" si="105"/>
        <v>5400</v>
      </c>
      <c r="E216" s="66" t="s">
        <v>780</v>
      </c>
      <c r="F216" s="6" t="str">
        <f>+IFERROR(VLOOKUP(E216,#REF!,29,0),"C")</f>
        <v>C</v>
      </c>
      <c r="G216" s="6" t="str">
        <f>+IFERROR(VLOOKUP(E216,#REF!,34,0),"C")</f>
        <v>C</v>
      </c>
      <c r="H216" s="64">
        <f>+IFERROR(VLOOKUP(E216,#REF!,31,0),0)</f>
        <v>0</v>
      </c>
      <c r="I216" s="44">
        <f>+IFERROR(VLOOKUP(E216,#REF!,26,0),0)</f>
        <v>0</v>
      </c>
      <c r="J216" s="44">
        <f>+IFERROR(VLOOKUP(E216,#REF!,30,0),0)</f>
        <v>0</v>
      </c>
      <c r="K216" s="3"/>
      <c r="L216" s="25">
        <f t="shared" si="106"/>
        <v>0.7</v>
      </c>
      <c r="M216" s="26">
        <f t="shared" si="107"/>
        <v>0.52440051270804078</v>
      </c>
      <c r="O216">
        <f>+IFERROR(VLOOKUP(D216,lt!A:J,10,0),15)</f>
        <v>15</v>
      </c>
      <c r="P216">
        <v>2</v>
      </c>
      <c r="Q216">
        <v>1</v>
      </c>
      <c r="R216">
        <v>2</v>
      </c>
      <c r="S216" s="22">
        <f t="shared" si="108"/>
        <v>20</v>
      </c>
      <c r="T216" s="9">
        <v>3</v>
      </c>
      <c r="U216" s="23">
        <f t="shared" si="109"/>
        <v>0.76666666666666672</v>
      </c>
      <c r="V216" s="11">
        <f t="shared" si="110"/>
        <v>0</v>
      </c>
      <c r="W216" s="11">
        <f t="shared" si="111"/>
        <v>0</v>
      </c>
      <c r="X216" s="11">
        <f t="shared" si="112"/>
        <v>0</v>
      </c>
      <c r="Y216" s="11">
        <f t="shared" si="113"/>
        <v>0</v>
      </c>
      <c r="Z216" s="65">
        <f t="shared" si="114"/>
        <v>0</v>
      </c>
      <c r="AA216" s="24">
        <f t="shared" si="115"/>
        <v>0</v>
      </c>
      <c r="AB216">
        <f t="shared" si="116"/>
        <v>0</v>
      </c>
      <c r="AC216" s="46">
        <f>+IFERROR(VLOOKUP(E216,#REF!,24,0),0.2)</f>
        <v>0.2</v>
      </c>
      <c r="AD216" s="42">
        <f>+IFERROR(VLOOKUP(E216,h!$C:$D,2,0),0.3866)</f>
        <v>0.38610833333333339</v>
      </c>
      <c r="AE216" s="42">
        <f>+VLOOKUP(A216,k!$A$1:$G$4,5,0)</f>
        <v>0.35799365240740744</v>
      </c>
      <c r="AF216" s="47">
        <f t="shared" si="117"/>
        <v>0.94410198574074089</v>
      </c>
      <c r="AG216" s="48">
        <f t="shared" si="118"/>
        <v>0.1132922382888889</v>
      </c>
      <c r="AH216" s="20">
        <f>+IFERROR(VLOOKUP(C216,k!$A$7:$L$13,7,0),0)</f>
        <v>0</v>
      </c>
      <c r="AI216" s="20">
        <f t="shared" si="119"/>
        <v>0</v>
      </c>
      <c r="AJ216" s="5">
        <f t="shared" si="120"/>
        <v>0</v>
      </c>
      <c r="AK216" s="57">
        <f t="shared" si="121"/>
        <v>0</v>
      </c>
      <c r="AL216" s="19">
        <f t="shared" si="122"/>
        <v>0</v>
      </c>
      <c r="AM216" s="20">
        <f t="shared" si="123"/>
        <v>0</v>
      </c>
      <c r="AN216" s="27">
        <f t="shared" si="124"/>
        <v>0</v>
      </c>
      <c r="AO216" s="57">
        <f t="shared" si="104"/>
        <v>0</v>
      </c>
      <c r="AP216" s="19">
        <f t="shared" si="125"/>
        <v>0</v>
      </c>
      <c r="AQ216" s="20">
        <f t="shared" si="126"/>
        <v>0</v>
      </c>
      <c r="AR216" s="58">
        <f t="shared" si="127"/>
        <v>0</v>
      </c>
      <c r="AS216" s="1">
        <f t="shared" si="128"/>
        <v>0</v>
      </c>
      <c r="AT216" s="21">
        <f t="shared" si="129"/>
        <v>0</v>
      </c>
      <c r="AU216" s="28">
        <f t="shared" si="130"/>
        <v>0</v>
      </c>
      <c r="AV216" s="19">
        <f t="shared" si="131"/>
        <v>0</v>
      </c>
      <c r="AW216" s="19">
        <f t="shared" si="132"/>
        <v>0</v>
      </c>
      <c r="AX216" s="27">
        <f t="shared" si="133"/>
        <v>0</v>
      </c>
      <c r="AY216" s="1" t="e">
        <f t="shared" si="134"/>
        <v>#DIV/0!</v>
      </c>
      <c r="AZ216" s="1" t="e">
        <f t="shared" si="135"/>
        <v>#DIV/0!</v>
      </c>
    </row>
    <row r="217" spans="1:52" hidden="1" x14ac:dyDescent="0.35">
      <c r="A217" s="6" t="s">
        <v>423</v>
      </c>
      <c r="B217" s="6">
        <v>1000</v>
      </c>
      <c r="C217" s="2" t="e">
        <f>+VLOOKUP(E217,inventario!#REF!,2,0)</f>
        <v>#REF!</v>
      </c>
      <c r="D217" t="str">
        <f t="shared" si="105"/>
        <v>5107</v>
      </c>
      <c r="E217" s="66" t="s">
        <v>798</v>
      </c>
      <c r="F217" s="6" t="str">
        <f>+IFERROR(VLOOKUP(E217,#REF!,29,0),"C")</f>
        <v>C</v>
      </c>
      <c r="G217" s="6" t="str">
        <f>+IFERROR(VLOOKUP(E217,#REF!,34,0),"C")</f>
        <v>C</v>
      </c>
      <c r="H217" s="64">
        <f>+IFERROR(VLOOKUP(E217,#REF!,31,0),0)</f>
        <v>0</v>
      </c>
      <c r="I217" s="44">
        <f>+IFERROR(VLOOKUP(E217,#REF!,26,0),0)</f>
        <v>0</v>
      </c>
      <c r="J217" s="44">
        <f>+IFERROR(VLOOKUP(E217,#REF!,30,0),0)</f>
        <v>0</v>
      </c>
      <c r="K217" s="3"/>
      <c r="L217" s="25">
        <f t="shared" si="106"/>
        <v>0.7</v>
      </c>
      <c r="M217" s="26">
        <f t="shared" si="107"/>
        <v>0.52440051270804078</v>
      </c>
      <c r="O217">
        <f>+IFERROR(VLOOKUP(D217,lt!A:J,10,0),15)</f>
        <v>15</v>
      </c>
      <c r="P217">
        <v>2</v>
      </c>
      <c r="Q217">
        <v>1</v>
      </c>
      <c r="R217">
        <v>2</v>
      </c>
      <c r="S217" s="22">
        <f t="shared" si="108"/>
        <v>20</v>
      </c>
      <c r="T217" s="9">
        <v>3</v>
      </c>
      <c r="U217" s="23">
        <f t="shared" si="109"/>
        <v>0.76666666666666672</v>
      </c>
      <c r="V217" s="11">
        <f t="shared" si="110"/>
        <v>0</v>
      </c>
      <c r="W217" s="11">
        <f t="shared" si="111"/>
        <v>0</v>
      </c>
      <c r="X217" s="11">
        <f t="shared" si="112"/>
        <v>0</v>
      </c>
      <c r="Y217" s="11">
        <f t="shared" si="113"/>
        <v>0</v>
      </c>
      <c r="Z217" s="65">
        <f t="shared" si="114"/>
        <v>0</v>
      </c>
      <c r="AA217" s="24">
        <f t="shared" si="115"/>
        <v>0</v>
      </c>
      <c r="AB217">
        <f t="shared" si="116"/>
        <v>0</v>
      </c>
      <c r="AC217" s="46">
        <f>+IFERROR(VLOOKUP(E217,#REF!,24,0),0.2)</f>
        <v>0.2</v>
      </c>
      <c r="AD217" s="42">
        <f>+IFERROR(VLOOKUP(E217,h!$C:$D,2,0),0.3866)</f>
        <v>0.38610833333333339</v>
      </c>
      <c r="AE217" s="42">
        <f>+VLOOKUP(A217,k!$A$1:$G$4,5,0)</f>
        <v>0.35799365240740744</v>
      </c>
      <c r="AF217" s="47">
        <f t="shared" si="117"/>
        <v>0.94410198574074089</v>
      </c>
      <c r="AG217" s="48">
        <f t="shared" si="118"/>
        <v>0.1132922382888889</v>
      </c>
      <c r="AH217" s="20">
        <f>+IFERROR(VLOOKUP(C217,k!$A$7:$L$13,7,0),0)</f>
        <v>0</v>
      </c>
      <c r="AI217" s="20">
        <f t="shared" si="119"/>
        <v>0</v>
      </c>
      <c r="AJ217" s="5">
        <f t="shared" si="120"/>
        <v>0</v>
      </c>
      <c r="AK217" s="57">
        <f t="shared" si="121"/>
        <v>0</v>
      </c>
      <c r="AL217" s="19">
        <f t="shared" si="122"/>
        <v>0</v>
      </c>
      <c r="AM217" s="20">
        <f t="shared" si="123"/>
        <v>0</v>
      </c>
      <c r="AN217" s="27">
        <f t="shared" si="124"/>
        <v>0</v>
      </c>
      <c r="AO217" s="57">
        <f t="shared" si="104"/>
        <v>0</v>
      </c>
      <c r="AP217" s="19">
        <f t="shared" si="125"/>
        <v>0</v>
      </c>
      <c r="AQ217" s="20">
        <f t="shared" si="126"/>
        <v>0</v>
      </c>
      <c r="AR217" s="58">
        <f t="shared" si="127"/>
        <v>0</v>
      </c>
      <c r="AS217" s="1">
        <f t="shared" si="128"/>
        <v>0</v>
      </c>
      <c r="AT217" s="21">
        <f t="shared" si="129"/>
        <v>0</v>
      </c>
      <c r="AU217" s="28">
        <f t="shared" si="130"/>
        <v>0</v>
      </c>
      <c r="AV217" s="19">
        <f t="shared" si="131"/>
        <v>0</v>
      </c>
      <c r="AW217" s="19">
        <f t="shared" si="132"/>
        <v>0</v>
      </c>
      <c r="AX217" s="27">
        <f t="shared" si="133"/>
        <v>0</v>
      </c>
      <c r="AY217" s="1" t="e">
        <f t="shared" si="134"/>
        <v>#DIV/0!</v>
      </c>
      <c r="AZ217" s="1" t="e">
        <f t="shared" si="135"/>
        <v>#DIV/0!</v>
      </c>
    </row>
    <row r="218" spans="1:52" hidden="1" x14ac:dyDescent="0.35">
      <c r="A218" s="6" t="s">
        <v>423</v>
      </c>
      <c r="B218" s="6">
        <v>1000</v>
      </c>
      <c r="C218" s="2" t="e">
        <f>+VLOOKUP(E218,inventario!#REF!,2,0)</f>
        <v>#REF!</v>
      </c>
      <c r="D218" t="str">
        <f t="shared" si="105"/>
        <v>5410</v>
      </c>
      <c r="E218" s="66" t="s">
        <v>799</v>
      </c>
      <c r="F218" s="6" t="str">
        <f>+IFERROR(VLOOKUP(E218,#REF!,29,0),"C")</f>
        <v>C</v>
      </c>
      <c r="G218" s="6" t="str">
        <f>+IFERROR(VLOOKUP(E218,#REF!,34,0),"C")</f>
        <v>C</v>
      </c>
      <c r="H218" s="64">
        <f>+IFERROR(VLOOKUP(E218,#REF!,31,0),0)</f>
        <v>0</v>
      </c>
      <c r="I218" s="44">
        <f>+IFERROR(VLOOKUP(E218,#REF!,26,0),0)</f>
        <v>0</v>
      </c>
      <c r="J218" s="44">
        <f>+IFERROR(VLOOKUP(E218,#REF!,30,0),0)</f>
        <v>0</v>
      </c>
      <c r="K218" s="3"/>
      <c r="L218" s="25">
        <f t="shared" si="106"/>
        <v>0.7</v>
      </c>
      <c r="M218" s="26">
        <f t="shared" si="107"/>
        <v>0.52440051270804078</v>
      </c>
      <c r="O218">
        <f>+IFERROR(VLOOKUP(D218,lt!A:J,10,0),15)</f>
        <v>15</v>
      </c>
      <c r="P218">
        <v>2</v>
      </c>
      <c r="Q218">
        <v>1</v>
      </c>
      <c r="R218">
        <v>2</v>
      </c>
      <c r="S218" s="22">
        <f t="shared" si="108"/>
        <v>20</v>
      </c>
      <c r="T218" s="9">
        <v>3</v>
      </c>
      <c r="U218" s="23">
        <f t="shared" si="109"/>
        <v>0.76666666666666672</v>
      </c>
      <c r="V218" s="11">
        <f t="shared" si="110"/>
        <v>0</v>
      </c>
      <c r="W218" s="11">
        <f t="shared" si="111"/>
        <v>0</v>
      </c>
      <c r="X218" s="11">
        <f t="shared" si="112"/>
        <v>0</v>
      </c>
      <c r="Y218" s="11">
        <f t="shared" si="113"/>
        <v>0</v>
      </c>
      <c r="Z218" s="65">
        <f t="shared" si="114"/>
        <v>0</v>
      </c>
      <c r="AA218" s="24">
        <f t="shared" si="115"/>
        <v>0</v>
      </c>
      <c r="AB218">
        <f t="shared" si="116"/>
        <v>0</v>
      </c>
      <c r="AC218" s="46">
        <f>+IFERROR(VLOOKUP(E218,#REF!,24,0),0.2)</f>
        <v>0.2</v>
      </c>
      <c r="AD218" s="42">
        <f>+IFERROR(VLOOKUP(E218,h!$C:$D,2,0),0.3866)</f>
        <v>0.38610833333333339</v>
      </c>
      <c r="AE218" s="42">
        <f>+VLOOKUP(A218,k!$A$1:$G$4,5,0)</f>
        <v>0.35799365240740744</v>
      </c>
      <c r="AF218" s="47">
        <f t="shared" si="117"/>
        <v>0.94410198574074089</v>
      </c>
      <c r="AG218" s="48">
        <f t="shared" si="118"/>
        <v>0.1132922382888889</v>
      </c>
      <c r="AH218" s="20">
        <f>+IFERROR(VLOOKUP(C218,k!$A$7:$L$13,7,0),0)</f>
        <v>0</v>
      </c>
      <c r="AI218" s="20">
        <f t="shared" si="119"/>
        <v>0</v>
      </c>
      <c r="AJ218" s="5">
        <f t="shared" si="120"/>
        <v>0</v>
      </c>
      <c r="AK218" s="57">
        <f t="shared" si="121"/>
        <v>0</v>
      </c>
      <c r="AL218" s="19">
        <f t="shared" si="122"/>
        <v>0</v>
      </c>
      <c r="AM218" s="20">
        <f t="shared" si="123"/>
        <v>0</v>
      </c>
      <c r="AN218" s="27">
        <f t="shared" si="124"/>
        <v>0</v>
      </c>
      <c r="AO218" s="57">
        <f t="shared" si="104"/>
        <v>0</v>
      </c>
      <c r="AP218" s="19">
        <f t="shared" si="125"/>
        <v>0</v>
      </c>
      <c r="AQ218" s="20">
        <f t="shared" si="126"/>
        <v>0</v>
      </c>
      <c r="AR218" s="58">
        <f t="shared" si="127"/>
        <v>0</v>
      </c>
      <c r="AS218" s="1">
        <f t="shared" si="128"/>
        <v>0</v>
      </c>
      <c r="AT218" s="21">
        <f t="shared" si="129"/>
        <v>0</v>
      </c>
      <c r="AU218" s="28">
        <f t="shared" si="130"/>
        <v>0</v>
      </c>
      <c r="AV218" s="19">
        <f t="shared" si="131"/>
        <v>0</v>
      </c>
      <c r="AW218" s="19">
        <f t="shared" si="132"/>
        <v>0</v>
      </c>
      <c r="AX218" s="27">
        <f t="shared" si="133"/>
        <v>0</v>
      </c>
      <c r="AY218" s="1" t="e">
        <f t="shared" si="134"/>
        <v>#DIV/0!</v>
      </c>
      <c r="AZ218" s="1" t="e">
        <f t="shared" si="135"/>
        <v>#DIV/0!</v>
      </c>
    </row>
    <row r="219" spans="1:52" hidden="1" x14ac:dyDescent="0.35">
      <c r="A219" s="6" t="s">
        <v>423</v>
      </c>
      <c r="B219" s="6">
        <v>1000</v>
      </c>
      <c r="C219" s="2" t="e">
        <f>+VLOOKUP(E219,inventario!#REF!,2,0)</f>
        <v>#REF!</v>
      </c>
      <c r="D219" t="str">
        <f t="shared" si="105"/>
        <v>5009</v>
      </c>
      <c r="E219" s="66" t="s">
        <v>800</v>
      </c>
      <c r="F219" s="6" t="str">
        <f>+IFERROR(VLOOKUP(E219,#REF!,29,0),"C")</f>
        <v>C</v>
      </c>
      <c r="G219" s="6" t="str">
        <f>+IFERROR(VLOOKUP(E219,#REF!,34,0),"C")</f>
        <v>C</v>
      </c>
      <c r="H219" s="64">
        <f>+IFERROR(VLOOKUP(E219,#REF!,31,0),0)</f>
        <v>0</v>
      </c>
      <c r="I219" s="44">
        <f>+IFERROR(VLOOKUP(E219,#REF!,26,0),0)</f>
        <v>0</v>
      </c>
      <c r="J219" s="44">
        <f>+IFERROR(VLOOKUP(E219,#REF!,30,0),0)</f>
        <v>0</v>
      </c>
      <c r="K219" s="3"/>
      <c r="L219" s="25">
        <f t="shared" si="106"/>
        <v>0.7</v>
      </c>
      <c r="M219" s="26">
        <f t="shared" si="107"/>
        <v>0.52440051270804078</v>
      </c>
      <c r="O219">
        <f>+IFERROR(VLOOKUP(D219,lt!A:J,10,0),15)</f>
        <v>15</v>
      </c>
      <c r="P219">
        <v>2</v>
      </c>
      <c r="Q219">
        <v>1</v>
      </c>
      <c r="R219">
        <v>2</v>
      </c>
      <c r="S219" s="22">
        <f t="shared" si="108"/>
        <v>20</v>
      </c>
      <c r="T219" s="9">
        <v>3</v>
      </c>
      <c r="U219" s="23">
        <f t="shared" si="109"/>
        <v>0.76666666666666672</v>
      </c>
      <c r="V219" s="11">
        <f t="shared" si="110"/>
        <v>0</v>
      </c>
      <c r="W219" s="11">
        <f t="shared" si="111"/>
        <v>0</v>
      </c>
      <c r="X219" s="11">
        <f t="shared" si="112"/>
        <v>0</v>
      </c>
      <c r="Y219" s="11">
        <f t="shared" si="113"/>
        <v>0</v>
      </c>
      <c r="Z219" s="65">
        <f t="shared" si="114"/>
        <v>0</v>
      </c>
      <c r="AA219" s="24">
        <f t="shared" si="115"/>
        <v>0</v>
      </c>
      <c r="AB219">
        <f t="shared" si="116"/>
        <v>0</v>
      </c>
      <c r="AC219" s="46">
        <f>+IFERROR(VLOOKUP(E219,#REF!,24,0),0.2)</f>
        <v>0.2</v>
      </c>
      <c r="AD219" s="42">
        <f>+IFERROR(VLOOKUP(E219,h!$C:$D,2,0),0.3866)</f>
        <v>0.38610833333333339</v>
      </c>
      <c r="AE219" s="42">
        <f>+VLOOKUP(A219,k!$A$1:$G$4,5,0)</f>
        <v>0.35799365240740744</v>
      </c>
      <c r="AF219" s="47">
        <f t="shared" si="117"/>
        <v>0.94410198574074089</v>
      </c>
      <c r="AG219" s="48">
        <f t="shared" si="118"/>
        <v>0.1132922382888889</v>
      </c>
      <c r="AH219" s="20">
        <f>+IFERROR(VLOOKUP(C219,k!$A$7:$L$13,7,0),0)</f>
        <v>0</v>
      </c>
      <c r="AI219" s="20">
        <f t="shared" si="119"/>
        <v>0</v>
      </c>
      <c r="AJ219" s="5">
        <f t="shared" si="120"/>
        <v>0</v>
      </c>
      <c r="AK219" s="57">
        <f t="shared" si="121"/>
        <v>0</v>
      </c>
      <c r="AL219" s="19">
        <f t="shared" si="122"/>
        <v>0</v>
      </c>
      <c r="AM219" s="20">
        <f t="shared" si="123"/>
        <v>0</v>
      </c>
      <c r="AN219" s="27">
        <f t="shared" si="124"/>
        <v>0</v>
      </c>
      <c r="AO219" s="57">
        <f t="shared" si="104"/>
        <v>0</v>
      </c>
      <c r="AP219" s="19">
        <f t="shared" si="125"/>
        <v>0</v>
      </c>
      <c r="AQ219" s="20">
        <f t="shared" si="126"/>
        <v>0</v>
      </c>
      <c r="AR219" s="58">
        <f t="shared" si="127"/>
        <v>0</v>
      </c>
      <c r="AS219" s="1">
        <f t="shared" si="128"/>
        <v>0</v>
      </c>
      <c r="AT219" s="21">
        <f t="shared" si="129"/>
        <v>0</v>
      </c>
      <c r="AU219" s="28">
        <f t="shared" si="130"/>
        <v>0</v>
      </c>
      <c r="AV219" s="19">
        <f t="shared" si="131"/>
        <v>0</v>
      </c>
      <c r="AW219" s="19">
        <f t="shared" si="132"/>
        <v>0</v>
      </c>
      <c r="AX219" s="27">
        <f t="shared" si="133"/>
        <v>0</v>
      </c>
      <c r="AY219" s="1" t="e">
        <f t="shared" si="134"/>
        <v>#DIV/0!</v>
      </c>
      <c r="AZ219" s="1" t="e">
        <f t="shared" si="135"/>
        <v>#DIV/0!</v>
      </c>
    </row>
    <row r="220" spans="1:52" hidden="1" x14ac:dyDescent="0.35">
      <c r="A220" s="6" t="s">
        <v>423</v>
      </c>
      <c r="B220" s="6">
        <v>1000</v>
      </c>
      <c r="C220" s="2" t="e">
        <f>+VLOOKUP(E220,inventario!#REF!,2,0)</f>
        <v>#REF!</v>
      </c>
      <c r="D220" t="str">
        <f t="shared" si="105"/>
        <v>5409</v>
      </c>
      <c r="E220" s="66" t="s">
        <v>806</v>
      </c>
      <c r="F220" s="6" t="str">
        <f>+IFERROR(VLOOKUP(E220,#REF!,29,0),"C")</f>
        <v>C</v>
      </c>
      <c r="G220" s="6" t="str">
        <f>+IFERROR(VLOOKUP(E220,#REF!,34,0),"C")</f>
        <v>C</v>
      </c>
      <c r="H220" s="64">
        <f>+IFERROR(VLOOKUP(E220,#REF!,31,0),0)</f>
        <v>0</v>
      </c>
      <c r="I220" s="44">
        <f>+IFERROR(VLOOKUP(E220,#REF!,26,0),0)</f>
        <v>0</v>
      </c>
      <c r="J220" s="44">
        <f>+IFERROR(VLOOKUP(E220,#REF!,30,0),0)</f>
        <v>0</v>
      </c>
      <c r="K220" s="3"/>
      <c r="L220" s="25">
        <f t="shared" si="106"/>
        <v>0.7</v>
      </c>
      <c r="M220" s="26">
        <f t="shared" si="107"/>
        <v>0.52440051270804078</v>
      </c>
      <c r="O220">
        <f>+IFERROR(VLOOKUP(D220,lt!A:J,10,0),15)</f>
        <v>15</v>
      </c>
      <c r="P220">
        <v>2</v>
      </c>
      <c r="Q220">
        <v>1</v>
      </c>
      <c r="R220">
        <v>2</v>
      </c>
      <c r="S220" s="22">
        <f t="shared" si="108"/>
        <v>20</v>
      </c>
      <c r="T220" s="9">
        <v>3</v>
      </c>
      <c r="U220" s="23">
        <f t="shared" si="109"/>
        <v>0.76666666666666672</v>
      </c>
      <c r="V220" s="11">
        <f t="shared" si="110"/>
        <v>0</v>
      </c>
      <c r="W220" s="11">
        <f t="shared" si="111"/>
        <v>0</v>
      </c>
      <c r="X220" s="11">
        <f t="shared" si="112"/>
        <v>0</v>
      </c>
      <c r="Y220" s="11">
        <f t="shared" si="113"/>
        <v>0</v>
      </c>
      <c r="Z220" s="65">
        <f t="shared" si="114"/>
        <v>0</v>
      </c>
      <c r="AA220" s="24">
        <f t="shared" si="115"/>
        <v>0</v>
      </c>
      <c r="AB220">
        <f t="shared" si="116"/>
        <v>0</v>
      </c>
      <c r="AC220" s="46">
        <f>+IFERROR(VLOOKUP(E220,#REF!,24,0),0.2)</f>
        <v>0.2</v>
      </c>
      <c r="AD220" s="42">
        <f>+IFERROR(VLOOKUP(E220,h!$C:$D,2,0),0.3866)</f>
        <v>0.38610833333333339</v>
      </c>
      <c r="AE220" s="42">
        <f>+VLOOKUP(A220,k!$A$1:$G$4,5,0)</f>
        <v>0.35799365240740744</v>
      </c>
      <c r="AF220" s="47">
        <f t="shared" si="117"/>
        <v>0.94410198574074089</v>
      </c>
      <c r="AG220" s="48">
        <f t="shared" si="118"/>
        <v>0.1132922382888889</v>
      </c>
      <c r="AH220" s="20">
        <f>+IFERROR(VLOOKUP(C220,k!$A$7:$L$13,7,0),0)</f>
        <v>0</v>
      </c>
      <c r="AI220" s="20">
        <f t="shared" si="119"/>
        <v>0</v>
      </c>
      <c r="AJ220" s="5">
        <f t="shared" si="120"/>
        <v>0</v>
      </c>
      <c r="AK220" s="57">
        <f t="shared" si="121"/>
        <v>0</v>
      </c>
      <c r="AL220" s="19">
        <f t="shared" si="122"/>
        <v>0</v>
      </c>
      <c r="AM220" s="20">
        <f t="shared" si="123"/>
        <v>0</v>
      </c>
      <c r="AN220" s="27">
        <f t="shared" si="124"/>
        <v>0</v>
      </c>
      <c r="AO220" s="57">
        <f t="shared" si="104"/>
        <v>0</v>
      </c>
      <c r="AP220" s="19">
        <f t="shared" si="125"/>
        <v>0</v>
      </c>
      <c r="AQ220" s="20">
        <f t="shared" si="126"/>
        <v>0</v>
      </c>
      <c r="AR220" s="58">
        <f t="shared" si="127"/>
        <v>0</v>
      </c>
      <c r="AS220" s="1">
        <f t="shared" si="128"/>
        <v>0</v>
      </c>
      <c r="AT220" s="21">
        <f t="shared" si="129"/>
        <v>0</v>
      </c>
      <c r="AU220" s="28">
        <f t="shared" si="130"/>
        <v>0</v>
      </c>
      <c r="AV220" s="19">
        <f t="shared" si="131"/>
        <v>0</v>
      </c>
      <c r="AW220" s="19">
        <f t="shared" si="132"/>
        <v>0</v>
      </c>
      <c r="AX220" s="27">
        <f t="shared" si="133"/>
        <v>0</v>
      </c>
      <c r="AY220" s="1" t="e">
        <f t="shared" si="134"/>
        <v>#DIV/0!</v>
      </c>
      <c r="AZ220" s="1" t="e">
        <f t="shared" si="135"/>
        <v>#DIV/0!</v>
      </c>
    </row>
    <row r="221" spans="1:52" hidden="1" x14ac:dyDescent="0.35">
      <c r="A221" s="6" t="s">
        <v>423</v>
      </c>
      <c r="B221" s="6">
        <v>1000</v>
      </c>
      <c r="C221" s="2" t="e">
        <f>+VLOOKUP(E221,inventario!#REF!,2,0)</f>
        <v>#REF!</v>
      </c>
      <c r="D221" t="str">
        <f t="shared" si="105"/>
        <v>6402</v>
      </c>
      <c r="E221" s="66" t="s">
        <v>808</v>
      </c>
      <c r="F221" s="6" t="str">
        <f>+IFERROR(VLOOKUP(E221,#REF!,29,0),"C")</f>
        <v>C</v>
      </c>
      <c r="G221" s="6" t="str">
        <f>+IFERROR(VLOOKUP(E221,#REF!,34,0),"C")</f>
        <v>C</v>
      </c>
      <c r="H221" s="64">
        <f>+IFERROR(VLOOKUP(E221,#REF!,31,0),0)</f>
        <v>0</v>
      </c>
      <c r="I221" s="44">
        <f>+IFERROR(VLOOKUP(E221,#REF!,26,0),0)</f>
        <v>0</v>
      </c>
      <c r="J221" s="44">
        <f>+IFERROR(VLOOKUP(E221,#REF!,30,0),0)</f>
        <v>0</v>
      </c>
      <c r="K221" s="3"/>
      <c r="L221" s="25">
        <f t="shared" si="106"/>
        <v>0.7</v>
      </c>
      <c r="M221" s="26">
        <f t="shared" si="107"/>
        <v>0.52440051270804078</v>
      </c>
      <c r="O221">
        <f>+IFERROR(VLOOKUP(D221,lt!A:J,10,0),15)</f>
        <v>15</v>
      </c>
      <c r="P221">
        <v>2</v>
      </c>
      <c r="Q221">
        <v>1</v>
      </c>
      <c r="R221">
        <v>2</v>
      </c>
      <c r="S221" s="22">
        <f t="shared" si="108"/>
        <v>20</v>
      </c>
      <c r="T221" s="9">
        <v>3</v>
      </c>
      <c r="U221" s="23">
        <f t="shared" si="109"/>
        <v>0.76666666666666672</v>
      </c>
      <c r="V221" s="11">
        <f t="shared" si="110"/>
        <v>0</v>
      </c>
      <c r="W221" s="11">
        <f t="shared" si="111"/>
        <v>0</v>
      </c>
      <c r="X221" s="11">
        <f t="shared" si="112"/>
        <v>0</v>
      </c>
      <c r="Y221" s="11">
        <f t="shared" si="113"/>
        <v>0</v>
      </c>
      <c r="Z221" s="65">
        <f t="shared" si="114"/>
        <v>0</v>
      </c>
      <c r="AA221" s="24">
        <f t="shared" si="115"/>
        <v>0</v>
      </c>
      <c r="AB221">
        <f t="shared" si="116"/>
        <v>0</v>
      </c>
      <c r="AC221" s="46">
        <f>+IFERROR(VLOOKUP(E221,#REF!,24,0),0.2)</f>
        <v>0.2</v>
      </c>
      <c r="AD221" s="42">
        <f>+IFERROR(VLOOKUP(E221,h!$C:$D,2,0),0.3866)</f>
        <v>0.38610833333333339</v>
      </c>
      <c r="AE221" s="42">
        <f>+VLOOKUP(A221,k!$A$1:$G$4,5,0)</f>
        <v>0.35799365240740744</v>
      </c>
      <c r="AF221" s="47">
        <f t="shared" si="117"/>
        <v>0.94410198574074089</v>
      </c>
      <c r="AG221" s="48">
        <f t="shared" si="118"/>
        <v>0.1132922382888889</v>
      </c>
      <c r="AH221" s="20">
        <f>+IFERROR(VLOOKUP(C221,k!$A$7:$L$13,7,0),0)</f>
        <v>0</v>
      </c>
      <c r="AI221" s="20">
        <f t="shared" si="119"/>
        <v>0</v>
      </c>
      <c r="AJ221" s="5">
        <f t="shared" si="120"/>
        <v>0</v>
      </c>
      <c r="AK221" s="57">
        <f t="shared" si="121"/>
        <v>0</v>
      </c>
      <c r="AL221" s="19">
        <f t="shared" si="122"/>
        <v>0</v>
      </c>
      <c r="AM221" s="20">
        <f t="shared" si="123"/>
        <v>0</v>
      </c>
      <c r="AN221" s="27">
        <f t="shared" si="124"/>
        <v>0</v>
      </c>
      <c r="AO221" s="57">
        <f t="shared" si="104"/>
        <v>0</v>
      </c>
      <c r="AP221" s="19">
        <f t="shared" si="125"/>
        <v>0</v>
      </c>
      <c r="AQ221" s="20">
        <f t="shared" si="126"/>
        <v>0</v>
      </c>
      <c r="AR221" s="58">
        <f t="shared" si="127"/>
        <v>0</v>
      </c>
      <c r="AS221" s="1">
        <f t="shared" si="128"/>
        <v>0</v>
      </c>
      <c r="AT221" s="21">
        <f t="shared" si="129"/>
        <v>0</v>
      </c>
      <c r="AU221" s="28">
        <f t="shared" si="130"/>
        <v>0</v>
      </c>
      <c r="AV221" s="19">
        <f t="shared" si="131"/>
        <v>0</v>
      </c>
      <c r="AW221" s="19">
        <f t="shared" si="132"/>
        <v>0</v>
      </c>
      <c r="AX221" s="27">
        <f t="shared" si="133"/>
        <v>0</v>
      </c>
      <c r="AY221" s="1" t="e">
        <f t="shared" si="134"/>
        <v>#DIV/0!</v>
      </c>
      <c r="AZ221" s="1" t="e">
        <f t="shared" si="135"/>
        <v>#DIV/0!</v>
      </c>
    </row>
    <row r="222" spans="1:52" hidden="1" x14ac:dyDescent="0.35">
      <c r="A222" s="6" t="s">
        <v>423</v>
      </c>
      <c r="B222" s="6">
        <v>1000</v>
      </c>
      <c r="C222" s="2" t="e">
        <f>+VLOOKUP(E222,inventario!#REF!,2,0)</f>
        <v>#REF!</v>
      </c>
      <c r="D222" t="str">
        <f t="shared" si="105"/>
        <v>5204</v>
      </c>
      <c r="E222" s="62" t="s">
        <v>1047</v>
      </c>
      <c r="F222" s="6" t="str">
        <f>+IFERROR(VLOOKUP(E222,#REF!,29,0),"C")</f>
        <v>C</v>
      </c>
      <c r="G222" s="6" t="str">
        <f>+IFERROR(VLOOKUP(E222,#REF!,34,0),"C")</f>
        <v>C</v>
      </c>
      <c r="H222" s="64">
        <f>+IFERROR(VLOOKUP(E222,#REF!,31,0),0)</f>
        <v>0</v>
      </c>
      <c r="I222" s="44">
        <f>+IFERROR(VLOOKUP(E222,#REF!,26,0),0)</f>
        <v>0</v>
      </c>
      <c r="J222" s="44">
        <f>+IFERROR(VLOOKUP(E222,#REF!,30,0),0)</f>
        <v>0</v>
      </c>
      <c r="L222" s="25">
        <f t="shared" si="106"/>
        <v>0.7</v>
      </c>
      <c r="M222" s="26">
        <f t="shared" si="107"/>
        <v>0.52440051270804078</v>
      </c>
      <c r="O222">
        <f>+IFERROR(VLOOKUP(D222,lt!A:J,10,0),15)</f>
        <v>15</v>
      </c>
      <c r="P222">
        <v>2</v>
      </c>
      <c r="Q222">
        <v>1</v>
      </c>
      <c r="R222">
        <v>2</v>
      </c>
      <c r="S222" s="22">
        <f t="shared" si="108"/>
        <v>20</v>
      </c>
      <c r="T222" s="9">
        <v>3</v>
      </c>
      <c r="U222" s="23">
        <f t="shared" si="109"/>
        <v>0.76666666666666672</v>
      </c>
      <c r="V222" s="11">
        <f t="shared" si="110"/>
        <v>0</v>
      </c>
      <c r="W222" s="11">
        <f t="shared" si="111"/>
        <v>0</v>
      </c>
      <c r="X222" s="11">
        <f t="shared" si="112"/>
        <v>0</v>
      </c>
      <c r="Y222" s="11">
        <f t="shared" si="113"/>
        <v>0</v>
      </c>
      <c r="Z222" s="65">
        <f t="shared" si="114"/>
        <v>0</v>
      </c>
      <c r="AA222" s="24">
        <f t="shared" si="115"/>
        <v>0</v>
      </c>
      <c r="AB222">
        <f t="shared" si="116"/>
        <v>0</v>
      </c>
      <c r="AC222" s="46">
        <f>+IFERROR(VLOOKUP(E222,#REF!,24,0),0.2)</f>
        <v>0.2</v>
      </c>
      <c r="AD222" s="42">
        <f>+IFERROR(VLOOKUP(E222,h!$C:$D,2,0),0.3866)</f>
        <v>0.3866</v>
      </c>
      <c r="AE222" s="42">
        <f>+VLOOKUP(A222,k!$A$1:$G$4,5,0)</f>
        <v>0.35799365240740744</v>
      </c>
      <c r="AF222" s="47">
        <f t="shared" si="117"/>
        <v>0.94459365240740745</v>
      </c>
      <c r="AG222" s="48">
        <f t="shared" si="118"/>
        <v>0.11335123828888889</v>
      </c>
      <c r="AH222" s="20">
        <f>+IFERROR(VLOOKUP(C222,k!$A$7:$L$13,7,0),0)</f>
        <v>0</v>
      </c>
      <c r="AI222" s="20">
        <f t="shared" si="119"/>
        <v>0</v>
      </c>
      <c r="AJ222" s="5">
        <f t="shared" si="120"/>
        <v>0</v>
      </c>
      <c r="AK222" s="57">
        <f t="shared" si="121"/>
        <v>0</v>
      </c>
      <c r="AL222" s="19">
        <f t="shared" si="122"/>
        <v>0</v>
      </c>
      <c r="AM222" s="20">
        <f t="shared" si="123"/>
        <v>0</v>
      </c>
      <c r="AN222" s="27">
        <f t="shared" si="124"/>
        <v>0</v>
      </c>
      <c r="AO222" s="57">
        <f t="shared" si="104"/>
        <v>0</v>
      </c>
      <c r="AP222" s="19">
        <f t="shared" si="125"/>
        <v>0</v>
      </c>
      <c r="AQ222" s="20">
        <f t="shared" si="126"/>
        <v>0</v>
      </c>
      <c r="AR222" s="58">
        <f t="shared" si="127"/>
        <v>0</v>
      </c>
      <c r="AS222" s="1">
        <f t="shared" si="128"/>
        <v>0</v>
      </c>
      <c r="AT222" s="21">
        <f t="shared" si="129"/>
        <v>0</v>
      </c>
      <c r="AU222" s="28">
        <f t="shared" si="130"/>
        <v>0</v>
      </c>
      <c r="AV222" s="19">
        <f t="shared" si="131"/>
        <v>0</v>
      </c>
      <c r="AW222" s="19">
        <f t="shared" si="132"/>
        <v>0</v>
      </c>
      <c r="AX222" s="27">
        <f t="shared" si="133"/>
        <v>0</v>
      </c>
      <c r="AY222" s="1" t="e">
        <f t="shared" si="134"/>
        <v>#DIV/0!</v>
      </c>
      <c r="AZ222" s="1" t="e">
        <f t="shared" si="135"/>
        <v>#DIV/0!</v>
      </c>
    </row>
    <row r="223" spans="1:52" hidden="1" x14ac:dyDescent="0.35">
      <c r="A223" s="6" t="s">
        <v>423</v>
      </c>
      <c r="B223" s="6">
        <v>1000</v>
      </c>
      <c r="C223" s="2" t="e">
        <f>+VLOOKUP(E223,inventario!#REF!,2,0)</f>
        <v>#REF!</v>
      </c>
      <c r="D223" t="str">
        <f t="shared" si="105"/>
        <v>6409-FER</v>
      </c>
      <c r="E223" s="62" t="s">
        <v>1058</v>
      </c>
      <c r="F223" s="6" t="str">
        <f>+IFERROR(VLOOKUP(E223,#REF!,29,0),"C")</f>
        <v>C</v>
      </c>
      <c r="G223" s="6" t="str">
        <f>+IFERROR(VLOOKUP(E223,#REF!,34,0),"C")</f>
        <v>C</v>
      </c>
      <c r="H223" s="64">
        <f>+IFERROR(VLOOKUP(E223,#REF!,31,0),0)</f>
        <v>0</v>
      </c>
      <c r="I223" s="44">
        <f>+IFERROR(VLOOKUP(E223,#REF!,26,0),0)</f>
        <v>0</v>
      </c>
      <c r="J223" s="44">
        <f>+IFERROR(VLOOKUP(E223,#REF!,30,0),0)</f>
        <v>0</v>
      </c>
      <c r="L223" s="25">
        <f t="shared" si="106"/>
        <v>0.7</v>
      </c>
      <c r="M223" s="26">
        <f t="shared" si="107"/>
        <v>0.52440051270804078</v>
      </c>
      <c r="O223">
        <f>+IFERROR(VLOOKUP(D223,lt!A:J,10,0),15)</f>
        <v>15</v>
      </c>
      <c r="P223">
        <v>2</v>
      </c>
      <c r="Q223">
        <v>1</v>
      </c>
      <c r="R223">
        <v>2</v>
      </c>
      <c r="S223" s="22">
        <f t="shared" si="108"/>
        <v>20</v>
      </c>
      <c r="T223" s="9">
        <v>3</v>
      </c>
      <c r="U223" s="23">
        <f t="shared" si="109"/>
        <v>0.76666666666666672</v>
      </c>
      <c r="V223" s="11">
        <f t="shared" si="110"/>
        <v>0</v>
      </c>
      <c r="W223" s="11">
        <f t="shared" si="111"/>
        <v>0</v>
      </c>
      <c r="X223" s="11">
        <f t="shared" si="112"/>
        <v>0</v>
      </c>
      <c r="Y223" s="11">
        <f t="shared" si="113"/>
        <v>0</v>
      </c>
      <c r="Z223" s="65">
        <f t="shared" si="114"/>
        <v>0</v>
      </c>
      <c r="AA223" s="24">
        <f t="shared" si="115"/>
        <v>0</v>
      </c>
      <c r="AB223">
        <f t="shared" si="116"/>
        <v>0</v>
      </c>
      <c r="AC223" s="46">
        <f>+IFERROR(VLOOKUP(E223,#REF!,24,0),0.2)</f>
        <v>0.2</v>
      </c>
      <c r="AD223" s="42">
        <f>+IFERROR(VLOOKUP(E223,h!$C:$D,2,0),0.3866)</f>
        <v>0.3866</v>
      </c>
      <c r="AE223" s="42">
        <f>+VLOOKUP(A223,k!$A$1:$G$4,5,0)</f>
        <v>0.35799365240740744</v>
      </c>
      <c r="AF223" s="47">
        <f t="shared" si="117"/>
        <v>0.94459365240740745</v>
      </c>
      <c r="AG223" s="48">
        <f t="shared" si="118"/>
        <v>0.11335123828888889</v>
      </c>
      <c r="AH223" s="20">
        <f>+IFERROR(VLOOKUP(C223,k!$A$7:$L$13,7,0),0)</f>
        <v>0</v>
      </c>
      <c r="AI223" s="20">
        <f t="shared" si="119"/>
        <v>0</v>
      </c>
      <c r="AJ223" s="5">
        <f t="shared" si="120"/>
        <v>0</v>
      </c>
      <c r="AK223" s="57">
        <f t="shared" si="121"/>
        <v>0</v>
      </c>
      <c r="AL223" s="19">
        <f t="shared" si="122"/>
        <v>0</v>
      </c>
      <c r="AM223" s="20">
        <f t="shared" si="123"/>
        <v>0</v>
      </c>
      <c r="AN223" s="27">
        <f t="shared" si="124"/>
        <v>0</v>
      </c>
      <c r="AO223" s="57">
        <f t="shared" si="104"/>
        <v>0</v>
      </c>
      <c r="AP223" s="19">
        <f t="shared" si="125"/>
        <v>0</v>
      </c>
      <c r="AQ223" s="20">
        <f t="shared" si="126"/>
        <v>0</v>
      </c>
      <c r="AR223" s="58">
        <f t="shared" si="127"/>
        <v>0</v>
      </c>
      <c r="AS223" s="1">
        <f t="shared" si="128"/>
        <v>0</v>
      </c>
      <c r="AT223" s="21">
        <f t="shared" si="129"/>
        <v>0</v>
      </c>
      <c r="AU223" s="28">
        <f t="shared" si="130"/>
        <v>0</v>
      </c>
      <c r="AV223" s="19">
        <f t="shared" si="131"/>
        <v>0</v>
      </c>
      <c r="AW223" s="19">
        <f t="shared" si="132"/>
        <v>0</v>
      </c>
      <c r="AX223" s="27">
        <f t="shared" si="133"/>
        <v>0</v>
      </c>
      <c r="AY223" s="1" t="e">
        <f t="shared" si="134"/>
        <v>#DIV/0!</v>
      </c>
      <c r="AZ223" s="1" t="e">
        <f t="shared" si="135"/>
        <v>#DIV/0!</v>
      </c>
    </row>
    <row r="224" spans="1:52" hidden="1" x14ac:dyDescent="0.35">
      <c r="A224" s="6" t="s">
        <v>423</v>
      </c>
      <c r="B224" s="6">
        <v>1000</v>
      </c>
      <c r="C224" s="2" t="e">
        <f>+VLOOKUP(E224,inventario!#REF!,2,0)</f>
        <v>#REF!</v>
      </c>
      <c r="D224" t="str">
        <f t="shared" si="105"/>
        <v>3220</v>
      </c>
      <c r="E224" s="61" t="s">
        <v>1059</v>
      </c>
      <c r="F224" s="6" t="str">
        <f>+IFERROR(VLOOKUP(E224,#REF!,29,0),"C")</f>
        <v>C</v>
      </c>
      <c r="G224" s="6" t="str">
        <f>+IFERROR(VLOOKUP(E224,#REF!,34,0),"C")</f>
        <v>C</v>
      </c>
      <c r="H224" s="64">
        <f>+IFERROR(VLOOKUP(E224,#REF!,31,0),0)</f>
        <v>0</v>
      </c>
      <c r="I224" s="44">
        <f>+IFERROR(VLOOKUP(E224,#REF!,26,0),0)</f>
        <v>0</v>
      </c>
      <c r="J224" s="44">
        <f>+IFERROR(VLOOKUP(E224,#REF!,30,0),0)</f>
        <v>0</v>
      </c>
      <c r="L224" s="25">
        <f t="shared" si="106"/>
        <v>0.7</v>
      </c>
      <c r="M224" s="26">
        <f t="shared" si="107"/>
        <v>0.52440051270804078</v>
      </c>
      <c r="O224">
        <f>+IFERROR(VLOOKUP(D224,lt!A:J,10,0),15)</f>
        <v>15</v>
      </c>
      <c r="P224">
        <v>2</v>
      </c>
      <c r="Q224">
        <v>1</v>
      </c>
      <c r="R224">
        <v>2</v>
      </c>
      <c r="S224" s="22">
        <f t="shared" si="108"/>
        <v>20</v>
      </c>
      <c r="T224" s="9">
        <v>3</v>
      </c>
      <c r="U224" s="23">
        <f t="shared" si="109"/>
        <v>0.76666666666666672</v>
      </c>
      <c r="V224" s="11">
        <f t="shared" si="110"/>
        <v>0</v>
      </c>
      <c r="W224" s="11">
        <f t="shared" si="111"/>
        <v>0</v>
      </c>
      <c r="X224" s="11">
        <f t="shared" si="112"/>
        <v>0</v>
      </c>
      <c r="Y224" s="11">
        <f t="shared" si="113"/>
        <v>0</v>
      </c>
      <c r="Z224" s="65">
        <f t="shared" si="114"/>
        <v>0</v>
      </c>
      <c r="AA224" s="24">
        <f t="shared" si="115"/>
        <v>0</v>
      </c>
      <c r="AB224">
        <f t="shared" si="116"/>
        <v>0</v>
      </c>
      <c r="AC224" s="46">
        <f>+IFERROR(VLOOKUP(E224,#REF!,24,0),0.2)</f>
        <v>0.2</v>
      </c>
      <c r="AD224" s="42">
        <f>+IFERROR(VLOOKUP(E224,h!$C:$D,2,0),0.3866)</f>
        <v>0.3866</v>
      </c>
      <c r="AE224" s="42">
        <f>+VLOOKUP(A224,k!$A$1:$G$4,5,0)</f>
        <v>0.35799365240740744</v>
      </c>
      <c r="AF224" s="47">
        <f t="shared" si="117"/>
        <v>0.94459365240740745</v>
      </c>
      <c r="AG224" s="48">
        <f t="shared" si="118"/>
        <v>0.11335123828888889</v>
      </c>
      <c r="AH224" s="20">
        <f>+IFERROR(VLOOKUP(C224,k!$A$7:$L$13,7,0),0)</f>
        <v>0</v>
      </c>
      <c r="AI224" s="20">
        <f t="shared" si="119"/>
        <v>0</v>
      </c>
      <c r="AJ224" s="5">
        <f t="shared" si="120"/>
        <v>0</v>
      </c>
      <c r="AK224" s="57">
        <f t="shared" si="121"/>
        <v>0</v>
      </c>
      <c r="AL224" s="19">
        <f t="shared" si="122"/>
        <v>0</v>
      </c>
      <c r="AM224" s="20">
        <f t="shared" si="123"/>
        <v>0</v>
      </c>
      <c r="AN224" s="27">
        <f t="shared" si="124"/>
        <v>0</v>
      </c>
      <c r="AO224" s="57">
        <f t="shared" si="104"/>
        <v>0</v>
      </c>
      <c r="AP224" s="19">
        <f t="shared" si="125"/>
        <v>0</v>
      </c>
      <c r="AQ224" s="20">
        <f t="shared" si="126"/>
        <v>0</v>
      </c>
      <c r="AR224" s="58">
        <f t="shared" si="127"/>
        <v>0</v>
      </c>
      <c r="AS224" s="1">
        <f t="shared" si="128"/>
        <v>0</v>
      </c>
      <c r="AT224" s="21">
        <f t="shared" si="129"/>
        <v>0</v>
      </c>
      <c r="AU224" s="28">
        <f t="shared" si="130"/>
        <v>0</v>
      </c>
      <c r="AV224" s="19">
        <f t="shared" si="131"/>
        <v>0</v>
      </c>
      <c r="AW224" s="19">
        <f t="shared" si="132"/>
        <v>0</v>
      </c>
      <c r="AX224" s="27">
        <f t="shared" si="133"/>
        <v>0</v>
      </c>
      <c r="AY224" s="1" t="e">
        <f t="shared" si="134"/>
        <v>#DIV/0!</v>
      </c>
      <c r="AZ224" s="1" t="e">
        <f t="shared" si="135"/>
        <v>#DIV/0!</v>
      </c>
    </row>
    <row r="225" spans="1:52" hidden="1" x14ac:dyDescent="0.35">
      <c r="A225" s="6" t="s">
        <v>423</v>
      </c>
      <c r="B225" s="6">
        <v>1000</v>
      </c>
      <c r="C225" s="2" t="e">
        <f>+VLOOKUP(E225,inventario!#REF!,2,0)</f>
        <v>#REF!</v>
      </c>
      <c r="D225" t="str">
        <f t="shared" si="105"/>
        <v>3120</v>
      </c>
      <c r="E225" s="61" t="s">
        <v>1060</v>
      </c>
      <c r="F225" s="6" t="str">
        <f>+IFERROR(VLOOKUP(E225,#REF!,29,0),"C")</f>
        <v>C</v>
      </c>
      <c r="G225" s="6" t="str">
        <f>+IFERROR(VLOOKUP(E225,#REF!,34,0),"C")</f>
        <v>C</v>
      </c>
      <c r="H225" s="64">
        <f>+IFERROR(VLOOKUP(E225,#REF!,31,0),0)</f>
        <v>0</v>
      </c>
      <c r="I225" s="44">
        <f>+IFERROR(VLOOKUP(E225,#REF!,26,0),0)</f>
        <v>0</v>
      </c>
      <c r="J225" s="44">
        <f>+IFERROR(VLOOKUP(E225,#REF!,30,0),0)</f>
        <v>0</v>
      </c>
      <c r="L225" s="25">
        <f t="shared" si="106"/>
        <v>0.7</v>
      </c>
      <c r="M225" s="26">
        <f t="shared" si="107"/>
        <v>0.52440051270804078</v>
      </c>
      <c r="O225">
        <f>+IFERROR(VLOOKUP(D225,lt!A:J,10,0),15)</f>
        <v>15</v>
      </c>
      <c r="P225">
        <v>2</v>
      </c>
      <c r="Q225">
        <v>1</v>
      </c>
      <c r="R225">
        <v>2</v>
      </c>
      <c r="S225" s="22">
        <f t="shared" si="108"/>
        <v>20</v>
      </c>
      <c r="T225" s="9">
        <v>3</v>
      </c>
      <c r="U225" s="23">
        <f t="shared" si="109"/>
        <v>0.76666666666666672</v>
      </c>
      <c r="V225" s="11">
        <f t="shared" si="110"/>
        <v>0</v>
      </c>
      <c r="W225" s="11">
        <f t="shared" si="111"/>
        <v>0</v>
      </c>
      <c r="X225" s="11">
        <f t="shared" si="112"/>
        <v>0</v>
      </c>
      <c r="Y225" s="11">
        <f t="shared" si="113"/>
        <v>0</v>
      </c>
      <c r="Z225" s="65">
        <f t="shared" si="114"/>
        <v>0</v>
      </c>
      <c r="AA225" s="24">
        <f t="shared" si="115"/>
        <v>0</v>
      </c>
      <c r="AB225">
        <f t="shared" si="116"/>
        <v>0</v>
      </c>
      <c r="AC225" s="46">
        <f>+IFERROR(VLOOKUP(E225,#REF!,24,0),0.2)</f>
        <v>0.2</v>
      </c>
      <c r="AD225" s="42">
        <f>+IFERROR(VLOOKUP(E225,h!$C:$D,2,0),0.3866)</f>
        <v>0.3866</v>
      </c>
      <c r="AE225" s="42">
        <f>+VLOOKUP(A225,k!$A$1:$G$4,5,0)</f>
        <v>0.35799365240740744</v>
      </c>
      <c r="AF225" s="47">
        <f t="shared" si="117"/>
        <v>0.94459365240740745</v>
      </c>
      <c r="AG225" s="48">
        <f t="shared" si="118"/>
        <v>0.11335123828888889</v>
      </c>
      <c r="AH225" s="20">
        <f>+IFERROR(VLOOKUP(C225,k!$A$7:$L$13,7,0),0)</f>
        <v>0</v>
      </c>
      <c r="AI225" s="20">
        <f t="shared" si="119"/>
        <v>0</v>
      </c>
      <c r="AJ225" s="5">
        <f t="shared" si="120"/>
        <v>0</v>
      </c>
      <c r="AK225" s="57">
        <f t="shared" si="121"/>
        <v>0</v>
      </c>
      <c r="AL225" s="19">
        <f t="shared" si="122"/>
        <v>0</v>
      </c>
      <c r="AM225" s="20">
        <f t="shared" si="123"/>
        <v>0</v>
      </c>
      <c r="AN225" s="27">
        <f t="shared" si="124"/>
        <v>0</v>
      </c>
      <c r="AO225" s="57">
        <f t="shared" si="104"/>
        <v>0</v>
      </c>
      <c r="AP225" s="19">
        <f t="shared" si="125"/>
        <v>0</v>
      </c>
      <c r="AQ225" s="20">
        <f t="shared" si="126"/>
        <v>0</v>
      </c>
      <c r="AR225" s="58">
        <f t="shared" si="127"/>
        <v>0</v>
      </c>
      <c r="AS225" s="1">
        <f t="shared" si="128"/>
        <v>0</v>
      </c>
      <c r="AT225" s="21">
        <f t="shared" si="129"/>
        <v>0</v>
      </c>
      <c r="AU225" s="28">
        <f t="shared" si="130"/>
        <v>0</v>
      </c>
      <c r="AV225" s="19">
        <f t="shared" si="131"/>
        <v>0</v>
      </c>
      <c r="AW225" s="19">
        <f t="shared" si="132"/>
        <v>0</v>
      </c>
      <c r="AX225" s="27">
        <f t="shared" si="133"/>
        <v>0</v>
      </c>
      <c r="AY225" s="1" t="e">
        <f t="shared" si="134"/>
        <v>#DIV/0!</v>
      </c>
      <c r="AZ225" s="1" t="e">
        <f t="shared" si="135"/>
        <v>#DIV/0!</v>
      </c>
    </row>
    <row r="226" spans="1:52" hidden="1" x14ac:dyDescent="0.35">
      <c r="A226" s="6" t="s">
        <v>423</v>
      </c>
      <c r="B226" s="6">
        <v>1000</v>
      </c>
      <c r="C226" s="2" t="e">
        <f>+VLOOKUP(E226,inventario!#REF!,2,0)</f>
        <v>#REF!</v>
      </c>
      <c r="D226" t="str">
        <f t="shared" si="105"/>
        <v>2448</v>
      </c>
      <c r="E226" s="62" t="s">
        <v>1061</v>
      </c>
      <c r="F226" s="6" t="str">
        <f>+IFERROR(VLOOKUP(E226,#REF!,29,0),"C")</f>
        <v>C</v>
      </c>
      <c r="G226" s="6" t="str">
        <f>+IFERROR(VLOOKUP(E226,#REF!,34,0),"C")</f>
        <v>C</v>
      </c>
      <c r="H226" s="64">
        <f>+IFERROR(VLOOKUP(E226,#REF!,31,0),0)</f>
        <v>0</v>
      </c>
      <c r="I226" s="44">
        <f>+IFERROR(VLOOKUP(E226,#REF!,26,0),0)</f>
        <v>0</v>
      </c>
      <c r="J226" s="44">
        <f>+IFERROR(VLOOKUP(E226,#REF!,30,0),0)</f>
        <v>0</v>
      </c>
      <c r="L226" s="25">
        <f t="shared" si="106"/>
        <v>0.7</v>
      </c>
      <c r="M226" s="26">
        <f t="shared" si="107"/>
        <v>0.52440051270804078</v>
      </c>
      <c r="O226">
        <f>+IFERROR(VLOOKUP(D226,lt!A:J,10,0),15)</f>
        <v>15</v>
      </c>
      <c r="P226">
        <v>2</v>
      </c>
      <c r="Q226">
        <v>1</v>
      </c>
      <c r="R226">
        <v>2</v>
      </c>
      <c r="S226" s="22">
        <f t="shared" si="108"/>
        <v>20</v>
      </c>
      <c r="T226" s="9">
        <v>3</v>
      </c>
      <c r="U226" s="23">
        <f t="shared" si="109"/>
        <v>0.76666666666666672</v>
      </c>
      <c r="V226" s="11">
        <f t="shared" si="110"/>
        <v>0</v>
      </c>
      <c r="W226" s="11">
        <f t="shared" si="111"/>
        <v>0</v>
      </c>
      <c r="X226" s="11">
        <f t="shared" si="112"/>
        <v>0</v>
      </c>
      <c r="Y226" s="11">
        <f t="shared" si="113"/>
        <v>0</v>
      </c>
      <c r="Z226" s="65">
        <f t="shared" si="114"/>
        <v>0</v>
      </c>
      <c r="AA226" s="24">
        <f t="shared" si="115"/>
        <v>0</v>
      </c>
      <c r="AB226">
        <f t="shared" si="116"/>
        <v>0</v>
      </c>
      <c r="AC226" s="46">
        <f>+IFERROR(VLOOKUP(E226,#REF!,24,0),0.2)</f>
        <v>0.2</v>
      </c>
      <c r="AD226" s="42">
        <f>+IFERROR(VLOOKUP(E226,h!$C:$D,2,0),0.3866)</f>
        <v>0.3866</v>
      </c>
      <c r="AE226" s="42">
        <f>+VLOOKUP(A226,k!$A$1:$G$4,5,0)</f>
        <v>0.35799365240740744</v>
      </c>
      <c r="AF226" s="47">
        <f t="shared" si="117"/>
        <v>0.94459365240740745</v>
      </c>
      <c r="AG226" s="48">
        <f t="shared" si="118"/>
        <v>0.11335123828888889</v>
      </c>
      <c r="AH226" s="20">
        <f>+IFERROR(VLOOKUP(C226,k!$A$7:$L$13,7,0),0)</f>
        <v>0</v>
      </c>
      <c r="AI226" s="20">
        <f t="shared" si="119"/>
        <v>0</v>
      </c>
      <c r="AJ226" s="5">
        <f t="shared" si="120"/>
        <v>0</v>
      </c>
      <c r="AK226" s="57">
        <f t="shared" si="121"/>
        <v>0</v>
      </c>
      <c r="AL226" s="19">
        <f t="shared" si="122"/>
        <v>0</v>
      </c>
      <c r="AM226" s="20">
        <f t="shared" si="123"/>
        <v>0</v>
      </c>
      <c r="AN226" s="27">
        <f t="shared" si="124"/>
        <v>0</v>
      </c>
      <c r="AO226" s="57">
        <f t="shared" ref="AO226:AO239" si="136">+CEILING(IFERROR(SQRT(2*AI226*I226/AG226),0),B226)</f>
        <v>0</v>
      </c>
      <c r="AP226" s="19">
        <f t="shared" si="125"/>
        <v>0</v>
      </c>
      <c r="AQ226" s="20">
        <f t="shared" si="126"/>
        <v>0</v>
      </c>
      <c r="AR226" s="58">
        <f t="shared" si="127"/>
        <v>0</v>
      </c>
      <c r="AS226" s="1">
        <f t="shared" si="128"/>
        <v>0</v>
      </c>
      <c r="AT226" s="21">
        <f t="shared" si="129"/>
        <v>0</v>
      </c>
      <c r="AU226" s="28">
        <f t="shared" si="130"/>
        <v>0</v>
      </c>
      <c r="AV226" s="19">
        <f t="shared" si="131"/>
        <v>0</v>
      </c>
      <c r="AW226" s="19">
        <f t="shared" si="132"/>
        <v>0</v>
      </c>
      <c r="AX226" s="27">
        <f t="shared" si="133"/>
        <v>0</v>
      </c>
      <c r="AY226" s="1" t="e">
        <f t="shared" si="134"/>
        <v>#DIV/0!</v>
      </c>
      <c r="AZ226" s="1" t="e">
        <f t="shared" si="135"/>
        <v>#DIV/0!</v>
      </c>
    </row>
    <row r="227" spans="1:52" hidden="1" x14ac:dyDescent="0.35">
      <c r="A227" s="6" t="s">
        <v>423</v>
      </c>
      <c r="B227" s="6">
        <v>1000</v>
      </c>
      <c r="C227" s="2" t="e">
        <f>+VLOOKUP(E227,inventario!#REF!,2,0)</f>
        <v>#REF!</v>
      </c>
      <c r="D227" t="str">
        <f t="shared" si="105"/>
        <v>9500</v>
      </c>
      <c r="E227" s="62" t="s">
        <v>1062</v>
      </c>
      <c r="F227" s="6" t="str">
        <f>+IFERROR(VLOOKUP(E227,#REF!,29,0),"C")</f>
        <v>C</v>
      </c>
      <c r="G227" s="6" t="str">
        <f>+IFERROR(VLOOKUP(E227,#REF!,34,0),"C")</f>
        <v>C</v>
      </c>
      <c r="H227" s="64">
        <f>+IFERROR(VLOOKUP(E227,#REF!,31,0),0)</f>
        <v>0</v>
      </c>
      <c r="I227" s="44">
        <f>+IFERROR(VLOOKUP(E227,#REF!,26,0),0)</f>
        <v>0</v>
      </c>
      <c r="J227" s="44">
        <f>+IFERROR(VLOOKUP(E227,#REF!,30,0),0)</f>
        <v>0</v>
      </c>
      <c r="L227" s="25">
        <f t="shared" si="106"/>
        <v>0.7</v>
      </c>
      <c r="M227" s="26">
        <f t="shared" si="107"/>
        <v>0.52440051270804078</v>
      </c>
      <c r="O227">
        <f>+IFERROR(VLOOKUP(D227,lt!A:J,10,0),15)</f>
        <v>15</v>
      </c>
      <c r="P227">
        <v>2</v>
      </c>
      <c r="Q227">
        <v>1</v>
      </c>
      <c r="R227">
        <v>2</v>
      </c>
      <c r="S227" s="22">
        <f t="shared" si="108"/>
        <v>20</v>
      </c>
      <c r="T227" s="9">
        <v>3</v>
      </c>
      <c r="U227" s="23">
        <f t="shared" si="109"/>
        <v>0.76666666666666672</v>
      </c>
      <c r="V227" s="11">
        <f t="shared" si="110"/>
        <v>0</v>
      </c>
      <c r="W227" s="11">
        <f t="shared" si="111"/>
        <v>0</v>
      </c>
      <c r="X227" s="11">
        <f t="shared" si="112"/>
        <v>0</v>
      </c>
      <c r="Y227" s="11">
        <f t="shared" si="113"/>
        <v>0</v>
      </c>
      <c r="Z227" s="65">
        <f t="shared" si="114"/>
        <v>0</v>
      </c>
      <c r="AA227" s="24">
        <f t="shared" si="115"/>
        <v>0</v>
      </c>
      <c r="AB227">
        <f t="shared" si="116"/>
        <v>0</v>
      </c>
      <c r="AC227" s="46">
        <f>+IFERROR(VLOOKUP(E227,#REF!,24,0),0.2)</f>
        <v>0.2</v>
      </c>
      <c r="AD227" s="42">
        <f>+IFERROR(VLOOKUP(E227,h!$C:$D,2,0),0.3866)</f>
        <v>0.3866</v>
      </c>
      <c r="AE227" s="42">
        <f>+VLOOKUP(A227,k!$A$1:$G$4,5,0)</f>
        <v>0.35799365240740744</v>
      </c>
      <c r="AF227" s="47">
        <f t="shared" si="117"/>
        <v>0.94459365240740745</v>
      </c>
      <c r="AG227" s="48">
        <f t="shared" si="118"/>
        <v>0.11335123828888889</v>
      </c>
      <c r="AH227" s="20">
        <f>+IFERROR(VLOOKUP(C227,k!$A$7:$L$13,7,0),0)</f>
        <v>0</v>
      </c>
      <c r="AI227" s="20">
        <f t="shared" si="119"/>
        <v>0</v>
      </c>
      <c r="AJ227" s="5">
        <f t="shared" si="120"/>
        <v>0</v>
      </c>
      <c r="AK227" s="57">
        <f t="shared" si="121"/>
        <v>0</v>
      </c>
      <c r="AL227" s="19">
        <f t="shared" si="122"/>
        <v>0</v>
      </c>
      <c r="AM227" s="20">
        <f t="shared" si="123"/>
        <v>0</v>
      </c>
      <c r="AN227" s="27">
        <f t="shared" si="124"/>
        <v>0</v>
      </c>
      <c r="AO227" s="57">
        <f t="shared" si="136"/>
        <v>0</v>
      </c>
      <c r="AP227" s="19">
        <f t="shared" si="125"/>
        <v>0</v>
      </c>
      <c r="AQ227" s="20">
        <f t="shared" si="126"/>
        <v>0</v>
      </c>
      <c r="AR227" s="58">
        <f t="shared" si="127"/>
        <v>0</v>
      </c>
      <c r="AS227" s="1">
        <f t="shared" si="128"/>
        <v>0</v>
      </c>
      <c r="AT227" s="21">
        <f t="shared" si="129"/>
        <v>0</v>
      </c>
      <c r="AU227" s="28">
        <f t="shared" si="130"/>
        <v>0</v>
      </c>
      <c r="AV227" s="19">
        <f t="shared" si="131"/>
        <v>0</v>
      </c>
      <c r="AW227" s="19">
        <f t="shared" si="132"/>
        <v>0</v>
      </c>
      <c r="AX227" s="27">
        <f t="shared" si="133"/>
        <v>0</v>
      </c>
      <c r="AY227" s="1" t="e">
        <f t="shared" si="134"/>
        <v>#DIV/0!</v>
      </c>
      <c r="AZ227" s="1" t="e">
        <f t="shared" si="135"/>
        <v>#DIV/0!</v>
      </c>
    </row>
    <row r="228" spans="1:52" hidden="1" x14ac:dyDescent="0.35">
      <c r="A228" s="6" t="s">
        <v>423</v>
      </c>
      <c r="B228" s="6">
        <v>1000</v>
      </c>
      <c r="C228" s="2" t="e">
        <f>+VLOOKUP(E228,inventario!#REF!,2,0)</f>
        <v>#REF!</v>
      </c>
      <c r="D228" t="str">
        <f t="shared" si="105"/>
        <v>7400</v>
      </c>
      <c r="E228" s="62" t="s">
        <v>1063</v>
      </c>
      <c r="F228" s="6" t="str">
        <f>+IFERROR(VLOOKUP(E228,#REF!,29,0),"C")</f>
        <v>C</v>
      </c>
      <c r="G228" s="6" t="str">
        <f>+IFERROR(VLOOKUP(E228,#REF!,34,0),"C")</f>
        <v>C</v>
      </c>
      <c r="H228" s="64">
        <f>+IFERROR(VLOOKUP(E228,#REF!,31,0),0)</f>
        <v>0</v>
      </c>
      <c r="I228" s="44">
        <f>+IFERROR(VLOOKUP(E228,#REF!,26,0),0)</f>
        <v>0</v>
      </c>
      <c r="J228" s="44">
        <f>+IFERROR(VLOOKUP(E228,#REF!,30,0),0)</f>
        <v>0</v>
      </c>
      <c r="L228" s="25">
        <f t="shared" si="106"/>
        <v>0.7</v>
      </c>
      <c r="M228" s="26">
        <f t="shared" si="107"/>
        <v>0.52440051270804078</v>
      </c>
      <c r="O228">
        <f>+IFERROR(VLOOKUP(D228,lt!A:J,10,0),15)</f>
        <v>15</v>
      </c>
      <c r="P228">
        <v>2</v>
      </c>
      <c r="Q228">
        <v>1</v>
      </c>
      <c r="R228">
        <v>2</v>
      </c>
      <c r="S228" s="22">
        <f t="shared" si="108"/>
        <v>20</v>
      </c>
      <c r="T228" s="9">
        <v>3</v>
      </c>
      <c r="U228" s="23">
        <f t="shared" si="109"/>
        <v>0.76666666666666672</v>
      </c>
      <c r="V228" s="11">
        <f t="shared" si="110"/>
        <v>0</v>
      </c>
      <c r="W228" s="11">
        <f t="shared" si="111"/>
        <v>0</v>
      </c>
      <c r="X228" s="11">
        <f t="shared" si="112"/>
        <v>0</v>
      </c>
      <c r="Y228" s="11">
        <f t="shared" si="113"/>
        <v>0</v>
      </c>
      <c r="Z228" s="65">
        <f t="shared" si="114"/>
        <v>0</v>
      </c>
      <c r="AA228" s="24">
        <f t="shared" si="115"/>
        <v>0</v>
      </c>
      <c r="AB228">
        <f t="shared" si="116"/>
        <v>0</v>
      </c>
      <c r="AC228" s="46">
        <f>+IFERROR(VLOOKUP(E228,#REF!,24,0),0.2)</f>
        <v>0.2</v>
      </c>
      <c r="AD228" s="42">
        <f>+IFERROR(VLOOKUP(E228,h!$C:$D,2,0),0.3866)</f>
        <v>0.3866</v>
      </c>
      <c r="AE228" s="42">
        <f>+VLOOKUP(A228,k!$A$1:$G$4,5,0)</f>
        <v>0.35799365240740744</v>
      </c>
      <c r="AF228" s="47">
        <f t="shared" si="117"/>
        <v>0.94459365240740745</v>
      </c>
      <c r="AG228" s="48">
        <f t="shared" si="118"/>
        <v>0.11335123828888889</v>
      </c>
      <c r="AH228" s="20">
        <f>+IFERROR(VLOOKUP(C228,k!$A$7:$L$13,7,0),0)</f>
        <v>0</v>
      </c>
      <c r="AI228" s="20">
        <f t="shared" si="119"/>
        <v>0</v>
      </c>
      <c r="AJ228" s="5">
        <f t="shared" si="120"/>
        <v>0</v>
      </c>
      <c r="AK228" s="57">
        <f t="shared" si="121"/>
        <v>0</v>
      </c>
      <c r="AL228" s="19">
        <f t="shared" si="122"/>
        <v>0</v>
      </c>
      <c r="AM228" s="20">
        <f t="shared" si="123"/>
        <v>0</v>
      </c>
      <c r="AN228" s="27">
        <f t="shared" si="124"/>
        <v>0</v>
      </c>
      <c r="AO228" s="57">
        <f t="shared" si="136"/>
        <v>0</v>
      </c>
      <c r="AP228" s="19">
        <f t="shared" si="125"/>
        <v>0</v>
      </c>
      <c r="AQ228" s="20">
        <f t="shared" si="126"/>
        <v>0</v>
      </c>
      <c r="AR228" s="58">
        <f t="shared" si="127"/>
        <v>0</v>
      </c>
      <c r="AS228" s="1">
        <f t="shared" si="128"/>
        <v>0</v>
      </c>
      <c r="AT228" s="21">
        <f t="shared" si="129"/>
        <v>0</v>
      </c>
      <c r="AU228" s="28">
        <f t="shared" si="130"/>
        <v>0</v>
      </c>
      <c r="AV228" s="19">
        <f t="shared" si="131"/>
        <v>0</v>
      </c>
      <c r="AW228" s="19">
        <f t="shared" si="132"/>
        <v>0</v>
      </c>
      <c r="AX228" s="27">
        <f t="shared" si="133"/>
        <v>0</v>
      </c>
      <c r="AY228" s="1" t="e">
        <f t="shared" si="134"/>
        <v>#DIV/0!</v>
      </c>
      <c r="AZ228" s="1" t="e">
        <f t="shared" si="135"/>
        <v>#DIV/0!</v>
      </c>
    </row>
    <row r="229" spans="1:52" hidden="1" x14ac:dyDescent="0.35">
      <c r="A229" s="6" t="s">
        <v>423</v>
      </c>
      <c r="B229" s="6">
        <v>1000</v>
      </c>
      <c r="C229" s="2" t="e">
        <f>+VLOOKUP(E229,inventario!#REF!,2,0)</f>
        <v>#REF!</v>
      </c>
      <c r="D229" t="str">
        <f t="shared" si="105"/>
        <v>8822</v>
      </c>
      <c r="E229" s="62" t="s">
        <v>1064</v>
      </c>
      <c r="F229" s="6" t="str">
        <f>+IFERROR(VLOOKUP(E229,#REF!,29,0),"C")</f>
        <v>C</v>
      </c>
      <c r="G229" s="6" t="str">
        <f>+IFERROR(VLOOKUP(E229,#REF!,34,0),"C")</f>
        <v>C</v>
      </c>
      <c r="H229" s="64">
        <f>+IFERROR(VLOOKUP(E229,#REF!,31,0),0)</f>
        <v>0</v>
      </c>
      <c r="I229" s="44">
        <f>+IFERROR(VLOOKUP(E229,#REF!,26,0),0)</f>
        <v>0</v>
      </c>
      <c r="J229" s="44">
        <f>+IFERROR(VLOOKUP(E229,#REF!,30,0),0)</f>
        <v>0</v>
      </c>
      <c r="L229" s="25">
        <f t="shared" si="106"/>
        <v>0.7</v>
      </c>
      <c r="M229" s="26">
        <f t="shared" si="107"/>
        <v>0.52440051270804078</v>
      </c>
      <c r="O229">
        <f>+IFERROR(VLOOKUP(D229,lt!A:J,10,0),15)</f>
        <v>15</v>
      </c>
      <c r="P229">
        <v>2</v>
      </c>
      <c r="Q229">
        <v>1</v>
      </c>
      <c r="R229">
        <v>2</v>
      </c>
      <c r="S229" s="22">
        <f t="shared" si="108"/>
        <v>20</v>
      </c>
      <c r="T229" s="9">
        <v>3</v>
      </c>
      <c r="U229" s="23">
        <f t="shared" si="109"/>
        <v>0.76666666666666672</v>
      </c>
      <c r="V229" s="11">
        <f t="shared" si="110"/>
        <v>0</v>
      </c>
      <c r="W229" s="11">
        <f t="shared" si="111"/>
        <v>0</v>
      </c>
      <c r="X229" s="11">
        <f t="shared" si="112"/>
        <v>0</v>
      </c>
      <c r="Y229" s="11">
        <f t="shared" si="113"/>
        <v>0</v>
      </c>
      <c r="Z229" s="65">
        <f t="shared" si="114"/>
        <v>0</v>
      </c>
      <c r="AA229" s="24">
        <f t="shared" si="115"/>
        <v>0</v>
      </c>
      <c r="AB229">
        <f t="shared" si="116"/>
        <v>0</v>
      </c>
      <c r="AC229" s="46">
        <f>+IFERROR(VLOOKUP(E229,#REF!,24,0),0.2)</f>
        <v>0.2</v>
      </c>
      <c r="AD229" s="42">
        <f>+IFERROR(VLOOKUP(E229,h!$C:$D,2,0),0.3866)</f>
        <v>0.3866</v>
      </c>
      <c r="AE229" s="42">
        <f>+VLOOKUP(A229,k!$A$1:$G$4,5,0)</f>
        <v>0.35799365240740744</v>
      </c>
      <c r="AF229" s="47">
        <f t="shared" si="117"/>
        <v>0.94459365240740745</v>
      </c>
      <c r="AG229" s="48">
        <f t="shared" si="118"/>
        <v>0.11335123828888889</v>
      </c>
      <c r="AH229" s="20">
        <f>+IFERROR(VLOOKUP(C229,k!$A$7:$L$13,7,0),0)</f>
        <v>0</v>
      </c>
      <c r="AI229" s="20">
        <f t="shared" si="119"/>
        <v>0</v>
      </c>
      <c r="AJ229" s="5">
        <f t="shared" si="120"/>
        <v>0</v>
      </c>
      <c r="AK229" s="57">
        <f t="shared" si="121"/>
        <v>0</v>
      </c>
      <c r="AL229" s="19">
        <f t="shared" si="122"/>
        <v>0</v>
      </c>
      <c r="AM229" s="20">
        <f t="shared" si="123"/>
        <v>0</v>
      </c>
      <c r="AN229" s="27">
        <f t="shared" si="124"/>
        <v>0</v>
      </c>
      <c r="AO229" s="57">
        <f t="shared" si="136"/>
        <v>0</v>
      </c>
      <c r="AP229" s="19">
        <f t="shared" si="125"/>
        <v>0</v>
      </c>
      <c r="AQ229" s="20">
        <f t="shared" si="126"/>
        <v>0</v>
      </c>
      <c r="AR229" s="58">
        <f t="shared" si="127"/>
        <v>0</v>
      </c>
      <c r="AS229" s="1">
        <f t="shared" si="128"/>
        <v>0</v>
      </c>
      <c r="AT229" s="21">
        <f t="shared" si="129"/>
        <v>0</v>
      </c>
      <c r="AU229" s="28">
        <f t="shared" si="130"/>
        <v>0</v>
      </c>
      <c r="AV229" s="19">
        <f t="shared" si="131"/>
        <v>0</v>
      </c>
      <c r="AW229" s="19">
        <f t="shared" si="132"/>
        <v>0</v>
      </c>
      <c r="AX229" s="27">
        <f t="shared" si="133"/>
        <v>0</v>
      </c>
      <c r="AY229" s="1" t="e">
        <f t="shared" si="134"/>
        <v>#DIV/0!</v>
      </c>
      <c r="AZ229" s="1" t="e">
        <f t="shared" si="135"/>
        <v>#DIV/0!</v>
      </c>
    </row>
    <row r="230" spans="1:52" hidden="1" x14ac:dyDescent="0.35">
      <c r="A230" s="6" t="s">
        <v>423</v>
      </c>
      <c r="B230" s="6">
        <v>1000</v>
      </c>
      <c r="C230" s="2" t="e">
        <f>+VLOOKUP(E230,inventario!#REF!,2,0)</f>
        <v>#REF!</v>
      </c>
      <c r="D230" t="str">
        <f t="shared" si="105"/>
        <v>8827</v>
      </c>
      <c r="E230" s="62" t="s">
        <v>1065</v>
      </c>
      <c r="F230" s="6" t="str">
        <f>+IFERROR(VLOOKUP(E230,#REF!,29,0),"C")</f>
        <v>C</v>
      </c>
      <c r="G230" s="6" t="str">
        <f>+IFERROR(VLOOKUP(E230,#REF!,34,0),"C")</f>
        <v>C</v>
      </c>
      <c r="H230" s="64">
        <f>+IFERROR(VLOOKUP(E230,#REF!,31,0),0)</f>
        <v>0</v>
      </c>
      <c r="I230" s="44">
        <f>+IFERROR(VLOOKUP(E230,#REF!,26,0),0)</f>
        <v>0</v>
      </c>
      <c r="J230" s="44">
        <f>+IFERROR(VLOOKUP(E230,#REF!,30,0),0)</f>
        <v>0</v>
      </c>
      <c r="L230" s="25">
        <f t="shared" si="106"/>
        <v>0.7</v>
      </c>
      <c r="M230" s="26">
        <f t="shared" si="107"/>
        <v>0.52440051270804078</v>
      </c>
      <c r="O230">
        <f>+IFERROR(VLOOKUP(D230,lt!A:J,10,0),15)</f>
        <v>15</v>
      </c>
      <c r="P230">
        <v>2</v>
      </c>
      <c r="Q230">
        <v>1</v>
      </c>
      <c r="R230">
        <v>2</v>
      </c>
      <c r="S230" s="22">
        <f t="shared" si="108"/>
        <v>20</v>
      </c>
      <c r="T230" s="9">
        <v>3</v>
      </c>
      <c r="U230" s="23">
        <f t="shared" si="109"/>
        <v>0.76666666666666672</v>
      </c>
      <c r="V230" s="11">
        <f t="shared" si="110"/>
        <v>0</v>
      </c>
      <c r="W230" s="11">
        <f t="shared" si="111"/>
        <v>0</v>
      </c>
      <c r="X230" s="11">
        <f t="shared" si="112"/>
        <v>0</v>
      </c>
      <c r="Y230" s="11">
        <f t="shared" si="113"/>
        <v>0</v>
      </c>
      <c r="Z230" s="65">
        <f t="shared" si="114"/>
        <v>0</v>
      </c>
      <c r="AA230" s="24">
        <f t="shared" si="115"/>
        <v>0</v>
      </c>
      <c r="AB230">
        <f t="shared" si="116"/>
        <v>0</v>
      </c>
      <c r="AC230" s="46">
        <f>+IFERROR(VLOOKUP(E230,#REF!,24,0),0.2)</f>
        <v>0.2</v>
      </c>
      <c r="AD230" s="42">
        <f>+IFERROR(VLOOKUP(E230,h!$C:$D,2,0),0.3866)</f>
        <v>0.3866</v>
      </c>
      <c r="AE230" s="42">
        <f>+VLOOKUP(A230,k!$A$1:$G$4,5,0)</f>
        <v>0.35799365240740744</v>
      </c>
      <c r="AF230" s="47">
        <f t="shared" si="117"/>
        <v>0.94459365240740745</v>
      </c>
      <c r="AG230" s="48">
        <f t="shared" si="118"/>
        <v>0.11335123828888889</v>
      </c>
      <c r="AH230" s="20">
        <f>+IFERROR(VLOOKUP(C230,k!$A$7:$L$13,7,0),0)</f>
        <v>0</v>
      </c>
      <c r="AI230" s="20">
        <f t="shared" si="119"/>
        <v>0</v>
      </c>
      <c r="AJ230" s="5">
        <f t="shared" si="120"/>
        <v>0</v>
      </c>
      <c r="AK230" s="57">
        <f t="shared" si="121"/>
        <v>0</v>
      </c>
      <c r="AL230" s="19">
        <f t="shared" si="122"/>
        <v>0</v>
      </c>
      <c r="AM230" s="20">
        <f t="shared" si="123"/>
        <v>0</v>
      </c>
      <c r="AN230" s="27">
        <f t="shared" si="124"/>
        <v>0</v>
      </c>
      <c r="AO230" s="57">
        <f t="shared" si="136"/>
        <v>0</v>
      </c>
      <c r="AP230" s="19">
        <f t="shared" si="125"/>
        <v>0</v>
      </c>
      <c r="AQ230" s="20">
        <f t="shared" si="126"/>
        <v>0</v>
      </c>
      <c r="AR230" s="58">
        <f t="shared" si="127"/>
        <v>0</v>
      </c>
      <c r="AS230" s="1">
        <f t="shared" si="128"/>
        <v>0</v>
      </c>
      <c r="AT230" s="21">
        <f t="shared" si="129"/>
        <v>0</v>
      </c>
      <c r="AU230" s="28">
        <f t="shared" si="130"/>
        <v>0</v>
      </c>
      <c r="AV230" s="19">
        <f t="shared" si="131"/>
        <v>0</v>
      </c>
      <c r="AW230" s="19">
        <f t="shared" si="132"/>
        <v>0</v>
      </c>
      <c r="AX230" s="27">
        <f t="shared" si="133"/>
        <v>0</v>
      </c>
      <c r="AY230" s="1" t="e">
        <f t="shared" si="134"/>
        <v>#DIV/0!</v>
      </c>
      <c r="AZ230" s="1" t="e">
        <f t="shared" si="135"/>
        <v>#DIV/0!</v>
      </c>
    </row>
    <row r="231" spans="1:52" hidden="1" x14ac:dyDescent="0.35">
      <c r="A231" s="6" t="s">
        <v>423</v>
      </c>
      <c r="B231" s="6">
        <v>1000</v>
      </c>
      <c r="C231" s="2" t="e">
        <f>+VLOOKUP(E231,inventario!#REF!,2,0)</f>
        <v>#REF!</v>
      </c>
      <c r="D231" t="str">
        <f t="shared" si="105"/>
        <v>8830</v>
      </c>
      <c r="E231" s="62" t="s">
        <v>1066</v>
      </c>
      <c r="F231" s="6" t="str">
        <f>+IFERROR(VLOOKUP(E231,#REF!,29,0),"C")</f>
        <v>C</v>
      </c>
      <c r="G231" s="6" t="str">
        <f>+IFERROR(VLOOKUP(E231,#REF!,34,0),"C")</f>
        <v>C</v>
      </c>
      <c r="H231" s="64">
        <f>+IFERROR(VLOOKUP(E231,#REF!,31,0),0)</f>
        <v>0</v>
      </c>
      <c r="I231" s="44">
        <f>+IFERROR(VLOOKUP(E231,#REF!,26,0),0)</f>
        <v>0</v>
      </c>
      <c r="J231" s="44">
        <f>+IFERROR(VLOOKUP(E231,#REF!,30,0),0)</f>
        <v>0</v>
      </c>
      <c r="L231" s="25">
        <f t="shared" si="106"/>
        <v>0.7</v>
      </c>
      <c r="M231" s="26">
        <f t="shared" si="107"/>
        <v>0.52440051270804078</v>
      </c>
      <c r="O231">
        <f>+IFERROR(VLOOKUP(D231,lt!A:J,10,0),15)</f>
        <v>15</v>
      </c>
      <c r="P231">
        <v>2</v>
      </c>
      <c r="Q231">
        <v>1</v>
      </c>
      <c r="R231">
        <v>2</v>
      </c>
      <c r="S231" s="22">
        <f t="shared" si="108"/>
        <v>20</v>
      </c>
      <c r="T231" s="9">
        <v>3</v>
      </c>
      <c r="U231" s="23">
        <f t="shared" si="109"/>
        <v>0.76666666666666672</v>
      </c>
      <c r="V231" s="11">
        <f t="shared" si="110"/>
        <v>0</v>
      </c>
      <c r="W231" s="11">
        <f t="shared" si="111"/>
        <v>0</v>
      </c>
      <c r="X231" s="11">
        <f t="shared" si="112"/>
        <v>0</v>
      </c>
      <c r="Y231" s="11">
        <f t="shared" si="113"/>
        <v>0</v>
      </c>
      <c r="Z231" s="65">
        <f t="shared" si="114"/>
        <v>0</v>
      </c>
      <c r="AA231" s="24">
        <f t="shared" si="115"/>
        <v>0</v>
      </c>
      <c r="AB231">
        <f t="shared" si="116"/>
        <v>0</v>
      </c>
      <c r="AC231" s="46">
        <f>+IFERROR(VLOOKUP(E231,#REF!,24,0),0.2)</f>
        <v>0.2</v>
      </c>
      <c r="AD231" s="42">
        <f>+IFERROR(VLOOKUP(E231,h!$C:$D,2,0),0.3866)</f>
        <v>0.3866</v>
      </c>
      <c r="AE231" s="42">
        <f>+VLOOKUP(A231,k!$A$1:$G$4,5,0)</f>
        <v>0.35799365240740744</v>
      </c>
      <c r="AF231" s="47">
        <f t="shared" si="117"/>
        <v>0.94459365240740745</v>
      </c>
      <c r="AG231" s="48">
        <f t="shared" si="118"/>
        <v>0.11335123828888889</v>
      </c>
      <c r="AH231" s="20">
        <f>+IFERROR(VLOOKUP(C231,k!$A$7:$L$13,7,0),0)</f>
        <v>0</v>
      </c>
      <c r="AI231" s="20">
        <f t="shared" si="119"/>
        <v>0</v>
      </c>
      <c r="AJ231" s="5">
        <f t="shared" si="120"/>
        <v>0</v>
      </c>
      <c r="AK231" s="57">
        <f t="shared" si="121"/>
        <v>0</v>
      </c>
      <c r="AL231" s="19">
        <f t="shared" si="122"/>
        <v>0</v>
      </c>
      <c r="AM231" s="20">
        <f t="shared" si="123"/>
        <v>0</v>
      </c>
      <c r="AN231" s="27">
        <f t="shared" si="124"/>
        <v>0</v>
      </c>
      <c r="AO231" s="57">
        <f t="shared" si="136"/>
        <v>0</v>
      </c>
      <c r="AP231" s="19">
        <f t="shared" si="125"/>
        <v>0</v>
      </c>
      <c r="AQ231" s="20">
        <f t="shared" si="126"/>
        <v>0</v>
      </c>
      <c r="AR231" s="58">
        <f t="shared" si="127"/>
        <v>0</v>
      </c>
      <c r="AS231" s="1">
        <f t="shared" si="128"/>
        <v>0</v>
      </c>
      <c r="AT231" s="21">
        <f t="shared" si="129"/>
        <v>0</v>
      </c>
      <c r="AU231" s="28">
        <f t="shared" si="130"/>
        <v>0</v>
      </c>
      <c r="AV231" s="19">
        <f t="shared" si="131"/>
        <v>0</v>
      </c>
      <c r="AW231" s="19">
        <f t="shared" si="132"/>
        <v>0</v>
      </c>
      <c r="AX231" s="27">
        <f t="shared" si="133"/>
        <v>0</v>
      </c>
      <c r="AY231" s="1" t="e">
        <f t="shared" si="134"/>
        <v>#DIV/0!</v>
      </c>
      <c r="AZ231" s="1" t="e">
        <f t="shared" si="135"/>
        <v>#DIV/0!</v>
      </c>
    </row>
    <row r="232" spans="1:52" hidden="1" x14ac:dyDescent="0.35">
      <c r="A232" s="6" t="s">
        <v>423</v>
      </c>
      <c r="B232" s="6">
        <v>1000</v>
      </c>
      <c r="C232" s="2" t="e">
        <f>+VLOOKUP(E232,inventario!#REF!,2,0)</f>
        <v>#REF!</v>
      </c>
      <c r="D232" t="str">
        <f t="shared" si="105"/>
        <v>8035</v>
      </c>
      <c r="E232" s="62" t="s">
        <v>1067</v>
      </c>
      <c r="F232" s="6" t="str">
        <f>+IFERROR(VLOOKUP(E232,#REF!,29,0),"C")</f>
        <v>C</v>
      </c>
      <c r="G232" s="6" t="str">
        <f>+IFERROR(VLOOKUP(E232,#REF!,34,0),"C")</f>
        <v>C</v>
      </c>
      <c r="H232" s="64">
        <f>+IFERROR(VLOOKUP(E232,#REF!,31,0),0)</f>
        <v>0</v>
      </c>
      <c r="I232" s="44">
        <f>+IFERROR(VLOOKUP(E232,#REF!,26,0),0)</f>
        <v>0</v>
      </c>
      <c r="J232" s="44">
        <f>+IFERROR(VLOOKUP(E232,#REF!,30,0),0)</f>
        <v>0</v>
      </c>
      <c r="L232" s="25">
        <f t="shared" si="106"/>
        <v>0.7</v>
      </c>
      <c r="M232" s="26">
        <f t="shared" si="107"/>
        <v>0.52440051270804078</v>
      </c>
      <c r="O232">
        <f>+IFERROR(VLOOKUP(D232,lt!A:J,10,0),15)</f>
        <v>15</v>
      </c>
      <c r="P232">
        <v>2</v>
      </c>
      <c r="Q232">
        <v>1</v>
      </c>
      <c r="R232">
        <v>2</v>
      </c>
      <c r="S232" s="22">
        <f t="shared" si="108"/>
        <v>20</v>
      </c>
      <c r="T232" s="9">
        <v>3</v>
      </c>
      <c r="U232" s="23">
        <f t="shared" si="109"/>
        <v>0.76666666666666672</v>
      </c>
      <c r="V232" s="11">
        <f t="shared" si="110"/>
        <v>0</v>
      </c>
      <c r="W232" s="11">
        <f t="shared" si="111"/>
        <v>0</v>
      </c>
      <c r="X232" s="11">
        <f t="shared" si="112"/>
        <v>0</v>
      </c>
      <c r="Y232" s="11">
        <f t="shared" si="113"/>
        <v>0</v>
      </c>
      <c r="Z232" s="65">
        <f t="shared" si="114"/>
        <v>0</v>
      </c>
      <c r="AA232" s="24">
        <f t="shared" si="115"/>
        <v>0</v>
      </c>
      <c r="AB232">
        <f t="shared" si="116"/>
        <v>0</v>
      </c>
      <c r="AC232" s="46">
        <f>+IFERROR(VLOOKUP(E232,#REF!,24,0),0.2)</f>
        <v>0.2</v>
      </c>
      <c r="AD232" s="42">
        <f>+IFERROR(VLOOKUP(E232,h!$C:$D,2,0),0.3866)</f>
        <v>0.3866</v>
      </c>
      <c r="AE232" s="42">
        <f>+VLOOKUP(A232,k!$A$1:$G$4,5,0)</f>
        <v>0.35799365240740744</v>
      </c>
      <c r="AF232" s="47">
        <f t="shared" si="117"/>
        <v>0.94459365240740745</v>
      </c>
      <c r="AG232" s="48">
        <f t="shared" si="118"/>
        <v>0.11335123828888889</v>
      </c>
      <c r="AH232" s="20">
        <f>+IFERROR(VLOOKUP(C232,k!$A$7:$L$13,7,0),0)</f>
        <v>0</v>
      </c>
      <c r="AI232" s="20">
        <f t="shared" si="119"/>
        <v>0</v>
      </c>
      <c r="AJ232" s="5">
        <f t="shared" si="120"/>
        <v>0</v>
      </c>
      <c r="AK232" s="57">
        <f t="shared" si="121"/>
        <v>0</v>
      </c>
      <c r="AL232" s="19">
        <f t="shared" si="122"/>
        <v>0</v>
      </c>
      <c r="AM232" s="20">
        <f t="shared" si="123"/>
        <v>0</v>
      </c>
      <c r="AN232" s="27">
        <f t="shared" si="124"/>
        <v>0</v>
      </c>
      <c r="AO232" s="57">
        <f t="shared" si="136"/>
        <v>0</v>
      </c>
      <c r="AP232" s="19">
        <f t="shared" si="125"/>
        <v>0</v>
      </c>
      <c r="AQ232" s="20">
        <f t="shared" si="126"/>
        <v>0</v>
      </c>
      <c r="AR232" s="58">
        <f t="shared" si="127"/>
        <v>0</v>
      </c>
      <c r="AS232" s="1">
        <f t="shared" si="128"/>
        <v>0</v>
      </c>
      <c r="AT232" s="21">
        <f t="shared" si="129"/>
        <v>0</v>
      </c>
      <c r="AU232" s="28">
        <f t="shared" si="130"/>
        <v>0</v>
      </c>
      <c r="AV232" s="19">
        <f t="shared" si="131"/>
        <v>0</v>
      </c>
      <c r="AW232" s="19">
        <f t="shared" si="132"/>
        <v>0</v>
      </c>
      <c r="AX232" s="27">
        <f t="shared" si="133"/>
        <v>0</v>
      </c>
      <c r="AY232" s="1" t="e">
        <f t="shared" si="134"/>
        <v>#DIV/0!</v>
      </c>
      <c r="AZ232" s="1" t="e">
        <f t="shared" si="135"/>
        <v>#DIV/0!</v>
      </c>
    </row>
    <row r="233" spans="1:52" hidden="1" x14ac:dyDescent="0.35">
      <c r="A233" s="6" t="s">
        <v>423</v>
      </c>
      <c r="B233" s="6">
        <v>1000</v>
      </c>
      <c r="C233" s="2" t="e">
        <f>+VLOOKUP(E233,inventario!#REF!,2,0)</f>
        <v>#REF!</v>
      </c>
      <c r="D233" t="str">
        <f t="shared" si="105"/>
        <v>8635</v>
      </c>
      <c r="E233" s="62" t="s">
        <v>1068</v>
      </c>
      <c r="F233" s="6" t="str">
        <f>+IFERROR(VLOOKUP(E233,#REF!,29,0),"C")</f>
        <v>C</v>
      </c>
      <c r="G233" s="6" t="str">
        <f>+IFERROR(VLOOKUP(E233,#REF!,34,0),"C")</f>
        <v>C</v>
      </c>
      <c r="H233" s="64">
        <f>+IFERROR(VLOOKUP(E233,#REF!,31,0),0)</f>
        <v>0</v>
      </c>
      <c r="I233" s="44">
        <f>+IFERROR(VLOOKUP(E233,#REF!,26,0),0)</f>
        <v>0</v>
      </c>
      <c r="J233" s="44">
        <f>+IFERROR(VLOOKUP(E233,#REF!,30,0),0)</f>
        <v>0</v>
      </c>
      <c r="L233" s="25">
        <f t="shared" si="106"/>
        <v>0.7</v>
      </c>
      <c r="M233" s="26">
        <f t="shared" si="107"/>
        <v>0.52440051270804078</v>
      </c>
      <c r="O233">
        <f>+IFERROR(VLOOKUP(D233,lt!A:J,10,0),15)</f>
        <v>15</v>
      </c>
      <c r="P233">
        <v>2</v>
      </c>
      <c r="Q233">
        <v>1</v>
      </c>
      <c r="R233">
        <v>2</v>
      </c>
      <c r="S233" s="22">
        <f t="shared" si="108"/>
        <v>20</v>
      </c>
      <c r="T233" s="9">
        <v>3</v>
      </c>
      <c r="U233" s="23">
        <f t="shared" si="109"/>
        <v>0.76666666666666672</v>
      </c>
      <c r="V233" s="11">
        <f t="shared" si="110"/>
        <v>0</v>
      </c>
      <c r="W233" s="11">
        <f t="shared" si="111"/>
        <v>0</v>
      </c>
      <c r="X233" s="11">
        <f t="shared" si="112"/>
        <v>0</v>
      </c>
      <c r="Y233" s="11">
        <f t="shared" si="113"/>
        <v>0</v>
      </c>
      <c r="Z233" s="65">
        <f t="shared" si="114"/>
        <v>0</v>
      </c>
      <c r="AA233" s="24">
        <f t="shared" si="115"/>
        <v>0</v>
      </c>
      <c r="AB233">
        <f t="shared" si="116"/>
        <v>0</v>
      </c>
      <c r="AC233" s="46">
        <f>+IFERROR(VLOOKUP(E233,#REF!,24,0),0.2)</f>
        <v>0.2</v>
      </c>
      <c r="AD233" s="42">
        <f>+IFERROR(VLOOKUP(E233,h!$C:$D,2,0),0.3866)</f>
        <v>0.3866</v>
      </c>
      <c r="AE233" s="42">
        <f>+VLOOKUP(A233,k!$A$1:$G$4,5,0)</f>
        <v>0.35799365240740744</v>
      </c>
      <c r="AF233" s="47">
        <f t="shared" si="117"/>
        <v>0.94459365240740745</v>
      </c>
      <c r="AG233" s="48">
        <f t="shared" si="118"/>
        <v>0.11335123828888889</v>
      </c>
      <c r="AH233" s="20">
        <f>+IFERROR(VLOOKUP(C233,k!$A$7:$L$13,7,0),0)</f>
        <v>0</v>
      </c>
      <c r="AI233" s="20">
        <f t="shared" si="119"/>
        <v>0</v>
      </c>
      <c r="AJ233" s="5">
        <f t="shared" si="120"/>
        <v>0</v>
      </c>
      <c r="AK233" s="57">
        <f t="shared" si="121"/>
        <v>0</v>
      </c>
      <c r="AL233" s="19">
        <f t="shared" si="122"/>
        <v>0</v>
      </c>
      <c r="AM233" s="20">
        <f t="shared" si="123"/>
        <v>0</v>
      </c>
      <c r="AN233" s="27">
        <f t="shared" si="124"/>
        <v>0</v>
      </c>
      <c r="AO233" s="57">
        <f t="shared" si="136"/>
        <v>0</v>
      </c>
      <c r="AP233" s="19">
        <f t="shared" si="125"/>
        <v>0</v>
      </c>
      <c r="AQ233" s="20">
        <f t="shared" si="126"/>
        <v>0</v>
      </c>
      <c r="AR233" s="58">
        <f t="shared" si="127"/>
        <v>0</v>
      </c>
      <c r="AS233" s="1">
        <f t="shared" si="128"/>
        <v>0</v>
      </c>
      <c r="AT233" s="21">
        <f t="shared" si="129"/>
        <v>0</v>
      </c>
      <c r="AU233" s="28">
        <f t="shared" si="130"/>
        <v>0</v>
      </c>
      <c r="AV233" s="19">
        <f t="shared" si="131"/>
        <v>0</v>
      </c>
      <c r="AW233" s="19">
        <f t="shared" si="132"/>
        <v>0</v>
      </c>
      <c r="AX233" s="27">
        <f t="shared" si="133"/>
        <v>0</v>
      </c>
      <c r="AY233" s="1" t="e">
        <f t="shared" si="134"/>
        <v>#DIV/0!</v>
      </c>
      <c r="AZ233" s="1" t="e">
        <f t="shared" si="135"/>
        <v>#DIV/0!</v>
      </c>
    </row>
    <row r="234" spans="1:52" hidden="1" x14ac:dyDescent="0.35">
      <c r="A234" s="6" t="s">
        <v>423</v>
      </c>
      <c r="B234" s="6">
        <v>1000</v>
      </c>
      <c r="C234" s="2" t="e">
        <f>+VLOOKUP(E234,inventario!#REF!,2,0)</f>
        <v>#REF!</v>
      </c>
      <c r="D234" t="str">
        <f t="shared" si="105"/>
        <v>8835</v>
      </c>
      <c r="E234" s="62" t="s">
        <v>1069</v>
      </c>
      <c r="F234" s="6" t="str">
        <f>+IFERROR(VLOOKUP(E234,#REF!,29,0),"C")</f>
        <v>C</v>
      </c>
      <c r="G234" s="6" t="str">
        <f>+IFERROR(VLOOKUP(E234,#REF!,34,0),"C")</f>
        <v>C</v>
      </c>
      <c r="H234" s="64">
        <f>+IFERROR(VLOOKUP(E234,#REF!,31,0),0)</f>
        <v>0</v>
      </c>
      <c r="I234" s="44">
        <f>+IFERROR(VLOOKUP(E234,#REF!,26,0),0)</f>
        <v>0</v>
      </c>
      <c r="J234" s="44">
        <f>+IFERROR(VLOOKUP(E234,#REF!,30,0),0)</f>
        <v>0</v>
      </c>
      <c r="L234" s="25">
        <f t="shared" si="106"/>
        <v>0.7</v>
      </c>
      <c r="M234" s="26">
        <f t="shared" si="107"/>
        <v>0.52440051270804078</v>
      </c>
      <c r="O234">
        <f>+IFERROR(VLOOKUP(D234,lt!A:J,10,0),15)</f>
        <v>15</v>
      </c>
      <c r="P234">
        <v>2</v>
      </c>
      <c r="Q234">
        <v>1</v>
      </c>
      <c r="R234">
        <v>2</v>
      </c>
      <c r="S234" s="22">
        <f t="shared" si="108"/>
        <v>20</v>
      </c>
      <c r="T234" s="9">
        <v>3</v>
      </c>
      <c r="U234" s="23">
        <f t="shared" si="109"/>
        <v>0.76666666666666672</v>
      </c>
      <c r="V234" s="11">
        <f t="shared" si="110"/>
        <v>0</v>
      </c>
      <c r="W234" s="11">
        <f t="shared" si="111"/>
        <v>0</v>
      </c>
      <c r="X234" s="11">
        <f t="shared" si="112"/>
        <v>0</v>
      </c>
      <c r="Y234" s="11">
        <f t="shared" si="113"/>
        <v>0</v>
      </c>
      <c r="Z234" s="65">
        <f t="shared" si="114"/>
        <v>0</v>
      </c>
      <c r="AA234" s="24">
        <f t="shared" si="115"/>
        <v>0</v>
      </c>
      <c r="AB234">
        <f t="shared" si="116"/>
        <v>0</v>
      </c>
      <c r="AC234" s="46">
        <f>+IFERROR(VLOOKUP(E234,#REF!,24,0),0.2)</f>
        <v>0.2</v>
      </c>
      <c r="AD234" s="42">
        <f>+IFERROR(VLOOKUP(E234,h!$C:$D,2,0),0.3866)</f>
        <v>0.3866</v>
      </c>
      <c r="AE234" s="42">
        <f>+VLOOKUP(A234,k!$A$1:$G$4,5,0)</f>
        <v>0.35799365240740744</v>
      </c>
      <c r="AF234" s="47">
        <f t="shared" si="117"/>
        <v>0.94459365240740745</v>
      </c>
      <c r="AG234" s="48">
        <f t="shared" si="118"/>
        <v>0.11335123828888889</v>
      </c>
      <c r="AH234" s="20">
        <f>+IFERROR(VLOOKUP(C234,k!$A$7:$L$13,7,0),0)</f>
        <v>0</v>
      </c>
      <c r="AI234" s="20">
        <f t="shared" si="119"/>
        <v>0</v>
      </c>
      <c r="AJ234" s="5">
        <f t="shared" si="120"/>
        <v>0</v>
      </c>
      <c r="AK234" s="57">
        <f t="shared" si="121"/>
        <v>0</v>
      </c>
      <c r="AL234" s="19">
        <f t="shared" si="122"/>
        <v>0</v>
      </c>
      <c r="AM234" s="20">
        <f t="shared" si="123"/>
        <v>0</v>
      </c>
      <c r="AN234" s="27">
        <f t="shared" si="124"/>
        <v>0</v>
      </c>
      <c r="AO234" s="57">
        <f t="shared" si="136"/>
        <v>0</v>
      </c>
      <c r="AP234" s="19">
        <f t="shared" si="125"/>
        <v>0</v>
      </c>
      <c r="AQ234" s="20">
        <f t="shared" si="126"/>
        <v>0</v>
      </c>
      <c r="AR234" s="58">
        <f t="shared" si="127"/>
        <v>0</v>
      </c>
      <c r="AS234" s="1">
        <f t="shared" si="128"/>
        <v>0</v>
      </c>
      <c r="AT234" s="21">
        <f t="shared" si="129"/>
        <v>0</v>
      </c>
      <c r="AU234" s="28">
        <f t="shared" si="130"/>
        <v>0</v>
      </c>
      <c r="AV234" s="19">
        <f t="shared" si="131"/>
        <v>0</v>
      </c>
      <c r="AW234" s="19">
        <f t="shared" si="132"/>
        <v>0</v>
      </c>
      <c r="AX234" s="27">
        <f t="shared" si="133"/>
        <v>0</v>
      </c>
      <c r="AY234" s="1" t="e">
        <f t="shared" si="134"/>
        <v>#DIV/0!</v>
      </c>
      <c r="AZ234" s="1" t="e">
        <f t="shared" si="135"/>
        <v>#DIV/0!</v>
      </c>
    </row>
    <row r="235" spans="1:52" hidden="1" x14ac:dyDescent="0.35">
      <c r="A235" s="6" t="s">
        <v>423</v>
      </c>
      <c r="B235" s="6">
        <v>1000</v>
      </c>
      <c r="C235" s="2" t="e">
        <f>+VLOOKUP(E235,inventario!#REF!,2,0)</f>
        <v>#REF!</v>
      </c>
      <c r="D235" t="str">
        <f t="shared" si="105"/>
        <v>8040</v>
      </c>
      <c r="E235" s="55" t="s">
        <v>1070</v>
      </c>
      <c r="F235" s="6" t="str">
        <f>+IFERROR(VLOOKUP(E235,#REF!,29,0),"C")</f>
        <v>C</v>
      </c>
      <c r="G235" s="6" t="str">
        <f>+IFERROR(VLOOKUP(E235,#REF!,34,0),"C")</f>
        <v>C</v>
      </c>
      <c r="H235" s="64">
        <f>+IFERROR(VLOOKUP(E235,#REF!,31,0),0)</f>
        <v>0</v>
      </c>
      <c r="I235" s="44">
        <f>+IFERROR(VLOOKUP(E235,#REF!,26,0),0)</f>
        <v>0</v>
      </c>
      <c r="J235" s="44">
        <f>+IFERROR(VLOOKUP(E235,#REF!,30,0),0)</f>
        <v>0</v>
      </c>
      <c r="L235" s="25">
        <f t="shared" si="106"/>
        <v>0.7</v>
      </c>
      <c r="M235" s="26">
        <f t="shared" si="107"/>
        <v>0.52440051270804078</v>
      </c>
      <c r="O235">
        <f>+IFERROR(VLOOKUP(D235,lt!A:J,10,0),15)</f>
        <v>15</v>
      </c>
      <c r="P235">
        <v>2</v>
      </c>
      <c r="Q235">
        <v>1</v>
      </c>
      <c r="R235">
        <v>2</v>
      </c>
      <c r="S235" s="22">
        <f t="shared" si="108"/>
        <v>20</v>
      </c>
      <c r="T235" s="9">
        <v>3</v>
      </c>
      <c r="U235" s="23">
        <f t="shared" si="109"/>
        <v>0.76666666666666672</v>
      </c>
      <c r="V235" s="11">
        <f t="shared" si="110"/>
        <v>0</v>
      </c>
      <c r="W235" s="11">
        <f t="shared" si="111"/>
        <v>0</v>
      </c>
      <c r="X235" s="11">
        <f t="shared" si="112"/>
        <v>0</v>
      </c>
      <c r="Y235" s="11">
        <f t="shared" si="113"/>
        <v>0</v>
      </c>
      <c r="Z235" s="65">
        <f t="shared" si="114"/>
        <v>0</v>
      </c>
      <c r="AA235" s="24">
        <f t="shared" si="115"/>
        <v>0</v>
      </c>
      <c r="AB235">
        <f t="shared" si="116"/>
        <v>0</v>
      </c>
      <c r="AC235" s="46">
        <f>+IFERROR(VLOOKUP(E235,#REF!,24,0),0.2)</f>
        <v>0.2</v>
      </c>
      <c r="AD235" s="42">
        <f>+IFERROR(VLOOKUP(E235,h!$C:$D,2,0),0.3866)</f>
        <v>0.3866</v>
      </c>
      <c r="AE235" s="42">
        <f>+VLOOKUP(A235,k!$A$1:$G$4,5,0)</f>
        <v>0.35799365240740744</v>
      </c>
      <c r="AF235" s="47">
        <f t="shared" si="117"/>
        <v>0.94459365240740745</v>
      </c>
      <c r="AG235" s="48">
        <f t="shared" si="118"/>
        <v>0.11335123828888889</v>
      </c>
      <c r="AH235" s="20">
        <f>+IFERROR(VLOOKUP(C235,k!$A$7:$L$13,7,0),0)</f>
        <v>0</v>
      </c>
      <c r="AI235" s="20">
        <f t="shared" si="119"/>
        <v>0</v>
      </c>
      <c r="AJ235" s="5">
        <f t="shared" si="120"/>
        <v>0</v>
      </c>
      <c r="AK235" s="57">
        <f t="shared" si="121"/>
        <v>0</v>
      </c>
      <c r="AL235" s="19">
        <f t="shared" si="122"/>
        <v>0</v>
      </c>
      <c r="AM235" s="20">
        <f t="shared" si="123"/>
        <v>0</v>
      </c>
      <c r="AN235" s="27">
        <f t="shared" si="124"/>
        <v>0</v>
      </c>
      <c r="AO235" s="57">
        <f t="shared" si="136"/>
        <v>0</v>
      </c>
      <c r="AP235" s="19">
        <f t="shared" si="125"/>
        <v>0</v>
      </c>
      <c r="AQ235" s="20">
        <f t="shared" si="126"/>
        <v>0</v>
      </c>
      <c r="AR235" s="58">
        <f t="shared" si="127"/>
        <v>0</v>
      </c>
      <c r="AS235" s="1">
        <f t="shared" si="128"/>
        <v>0</v>
      </c>
      <c r="AT235" s="21">
        <f t="shared" si="129"/>
        <v>0</v>
      </c>
      <c r="AU235" s="28">
        <f t="shared" si="130"/>
        <v>0</v>
      </c>
      <c r="AV235" s="19">
        <f t="shared" si="131"/>
        <v>0</v>
      </c>
      <c r="AW235" s="19">
        <f t="shared" si="132"/>
        <v>0</v>
      </c>
      <c r="AX235" s="27">
        <f t="shared" si="133"/>
        <v>0</v>
      </c>
      <c r="AY235" s="1" t="e">
        <f t="shared" si="134"/>
        <v>#DIV/0!</v>
      </c>
      <c r="AZ235" s="1" t="e">
        <f t="shared" si="135"/>
        <v>#DIV/0!</v>
      </c>
    </row>
    <row r="236" spans="1:52" hidden="1" x14ac:dyDescent="0.35">
      <c r="A236" s="6" t="s">
        <v>423</v>
      </c>
      <c r="B236" s="6">
        <v>1000</v>
      </c>
      <c r="C236" s="2" t="e">
        <f>+VLOOKUP(E236,inventario!#REF!,2,0)</f>
        <v>#REF!</v>
      </c>
      <c r="D236" t="str">
        <f t="shared" si="105"/>
        <v>8622</v>
      </c>
      <c r="E236" s="62" t="s">
        <v>1071</v>
      </c>
      <c r="F236" s="6" t="str">
        <f>+IFERROR(VLOOKUP(E236,#REF!,29,0),"C")</f>
        <v>C</v>
      </c>
      <c r="G236" s="6" t="str">
        <f>+IFERROR(VLOOKUP(E236,#REF!,34,0),"C")</f>
        <v>C</v>
      </c>
      <c r="H236" s="64">
        <f>+IFERROR(VLOOKUP(E236,#REF!,31,0),0)</f>
        <v>0</v>
      </c>
      <c r="I236" s="44">
        <f>+IFERROR(VLOOKUP(E236,#REF!,26,0),0)</f>
        <v>0</v>
      </c>
      <c r="J236" s="44">
        <f>+IFERROR(VLOOKUP(E236,#REF!,30,0),0)</f>
        <v>0</v>
      </c>
      <c r="L236" s="25">
        <f t="shared" si="106"/>
        <v>0.7</v>
      </c>
      <c r="M236" s="26">
        <f t="shared" si="107"/>
        <v>0.52440051270804078</v>
      </c>
      <c r="O236">
        <f>+IFERROR(VLOOKUP(D236,lt!A:J,10,0),15)</f>
        <v>15</v>
      </c>
      <c r="P236">
        <v>2</v>
      </c>
      <c r="Q236">
        <v>1</v>
      </c>
      <c r="R236">
        <v>2</v>
      </c>
      <c r="S236" s="22">
        <f t="shared" si="108"/>
        <v>20</v>
      </c>
      <c r="T236" s="9">
        <v>3</v>
      </c>
      <c r="U236" s="23">
        <f t="shared" si="109"/>
        <v>0.76666666666666672</v>
      </c>
      <c r="V236" s="11">
        <f t="shared" si="110"/>
        <v>0</v>
      </c>
      <c r="W236" s="11">
        <f t="shared" si="111"/>
        <v>0</v>
      </c>
      <c r="X236" s="11">
        <f t="shared" si="112"/>
        <v>0</v>
      </c>
      <c r="Y236" s="11">
        <f t="shared" si="113"/>
        <v>0</v>
      </c>
      <c r="Z236" s="65">
        <f t="shared" si="114"/>
        <v>0</v>
      </c>
      <c r="AA236" s="24">
        <f t="shared" si="115"/>
        <v>0</v>
      </c>
      <c r="AB236">
        <f t="shared" si="116"/>
        <v>0</v>
      </c>
      <c r="AC236" s="46">
        <f>+IFERROR(VLOOKUP(E236,#REF!,24,0),0.2)</f>
        <v>0.2</v>
      </c>
      <c r="AD236" s="42">
        <f>+IFERROR(VLOOKUP(E236,h!$C:$D,2,0),0.3866)</f>
        <v>0.3866</v>
      </c>
      <c r="AE236" s="42">
        <f>+VLOOKUP(A236,k!$A$1:$G$4,5,0)</f>
        <v>0.35799365240740744</v>
      </c>
      <c r="AF236" s="47">
        <f t="shared" si="117"/>
        <v>0.94459365240740745</v>
      </c>
      <c r="AG236" s="48">
        <f t="shared" si="118"/>
        <v>0.11335123828888889</v>
      </c>
      <c r="AH236" s="20">
        <f>+IFERROR(VLOOKUP(C236,k!$A$7:$L$13,7,0),0)</f>
        <v>0</v>
      </c>
      <c r="AI236" s="20">
        <f t="shared" si="119"/>
        <v>0</v>
      </c>
      <c r="AJ236" s="5">
        <f t="shared" si="120"/>
        <v>0</v>
      </c>
      <c r="AK236" s="57">
        <f t="shared" si="121"/>
        <v>0</v>
      </c>
      <c r="AL236" s="19">
        <f t="shared" si="122"/>
        <v>0</v>
      </c>
      <c r="AM236" s="20">
        <f t="shared" si="123"/>
        <v>0</v>
      </c>
      <c r="AN236" s="27">
        <f t="shared" si="124"/>
        <v>0</v>
      </c>
      <c r="AO236" s="57">
        <f t="shared" si="136"/>
        <v>0</v>
      </c>
      <c r="AP236" s="19">
        <f t="shared" si="125"/>
        <v>0</v>
      </c>
      <c r="AQ236" s="20">
        <f t="shared" si="126"/>
        <v>0</v>
      </c>
      <c r="AR236" s="58">
        <f t="shared" si="127"/>
        <v>0</v>
      </c>
      <c r="AS236" s="1">
        <f t="shared" si="128"/>
        <v>0</v>
      </c>
      <c r="AT236" s="21">
        <f t="shared" si="129"/>
        <v>0</v>
      </c>
      <c r="AU236" s="28">
        <f t="shared" si="130"/>
        <v>0</v>
      </c>
      <c r="AV236" s="19">
        <f t="shared" si="131"/>
        <v>0</v>
      </c>
      <c r="AW236" s="19">
        <f t="shared" si="132"/>
        <v>0</v>
      </c>
      <c r="AX236" s="27">
        <f t="shared" si="133"/>
        <v>0</v>
      </c>
      <c r="AY236" s="1" t="e">
        <f t="shared" si="134"/>
        <v>#DIV/0!</v>
      </c>
      <c r="AZ236" s="1" t="e">
        <f t="shared" si="135"/>
        <v>#DIV/0!</v>
      </c>
    </row>
    <row r="237" spans="1:52" hidden="1" x14ac:dyDescent="0.35">
      <c r="A237" s="6" t="s">
        <v>423</v>
      </c>
      <c r="B237" s="6">
        <v>1000</v>
      </c>
      <c r="C237" s="2" t="e">
        <f>+VLOOKUP(E237,inventario!#REF!,2,0)</f>
        <v>#REF!</v>
      </c>
      <c r="D237" t="str">
        <f t="shared" si="105"/>
        <v>8628</v>
      </c>
      <c r="E237" s="62" t="s">
        <v>1072</v>
      </c>
      <c r="F237" s="6" t="str">
        <f>+IFERROR(VLOOKUP(E237,#REF!,29,0),"C")</f>
        <v>C</v>
      </c>
      <c r="G237" s="6" t="str">
        <f>+IFERROR(VLOOKUP(E237,#REF!,34,0),"C")</f>
        <v>C</v>
      </c>
      <c r="H237" s="64">
        <f>+IFERROR(VLOOKUP(E237,#REF!,31,0),0)</f>
        <v>0</v>
      </c>
      <c r="I237" s="44">
        <f>+IFERROR(VLOOKUP(E237,#REF!,26,0),0)</f>
        <v>0</v>
      </c>
      <c r="J237" s="44">
        <f>+IFERROR(VLOOKUP(E237,#REF!,30,0),0)</f>
        <v>0</v>
      </c>
      <c r="L237" s="25">
        <f t="shared" si="106"/>
        <v>0.7</v>
      </c>
      <c r="M237" s="26">
        <f t="shared" si="107"/>
        <v>0.52440051270804078</v>
      </c>
      <c r="O237">
        <f>+IFERROR(VLOOKUP(D237,lt!A:J,10,0),15)</f>
        <v>15</v>
      </c>
      <c r="P237">
        <v>2</v>
      </c>
      <c r="Q237">
        <v>1</v>
      </c>
      <c r="R237">
        <v>2</v>
      </c>
      <c r="S237" s="22">
        <f t="shared" si="108"/>
        <v>20</v>
      </c>
      <c r="T237" s="9">
        <v>3</v>
      </c>
      <c r="U237" s="23">
        <f t="shared" si="109"/>
        <v>0.76666666666666672</v>
      </c>
      <c r="V237" s="11">
        <f t="shared" si="110"/>
        <v>0</v>
      </c>
      <c r="W237" s="11">
        <f t="shared" si="111"/>
        <v>0</v>
      </c>
      <c r="X237" s="11">
        <f t="shared" si="112"/>
        <v>0</v>
      </c>
      <c r="Y237" s="11">
        <f t="shared" si="113"/>
        <v>0</v>
      </c>
      <c r="Z237" s="65">
        <f t="shared" si="114"/>
        <v>0</v>
      </c>
      <c r="AA237" s="24">
        <f t="shared" si="115"/>
        <v>0</v>
      </c>
      <c r="AB237">
        <f t="shared" si="116"/>
        <v>0</v>
      </c>
      <c r="AC237" s="46">
        <f>+IFERROR(VLOOKUP(E237,#REF!,24,0),0.2)</f>
        <v>0.2</v>
      </c>
      <c r="AD237" s="42">
        <f>+IFERROR(VLOOKUP(E237,h!$C:$D,2,0),0.3866)</f>
        <v>0.3866</v>
      </c>
      <c r="AE237" s="42">
        <f>+VLOOKUP(A237,k!$A$1:$G$4,5,0)</f>
        <v>0.35799365240740744</v>
      </c>
      <c r="AF237" s="47">
        <f t="shared" si="117"/>
        <v>0.94459365240740745</v>
      </c>
      <c r="AG237" s="48">
        <f t="shared" si="118"/>
        <v>0.11335123828888889</v>
      </c>
      <c r="AH237" s="20">
        <f>+IFERROR(VLOOKUP(C237,k!$A$7:$L$13,7,0),0)</f>
        <v>0</v>
      </c>
      <c r="AI237" s="20">
        <f t="shared" si="119"/>
        <v>0</v>
      </c>
      <c r="AJ237" s="5">
        <f t="shared" si="120"/>
        <v>0</v>
      </c>
      <c r="AK237" s="57">
        <f t="shared" si="121"/>
        <v>0</v>
      </c>
      <c r="AL237" s="19">
        <f t="shared" si="122"/>
        <v>0</v>
      </c>
      <c r="AM237" s="20">
        <f t="shared" si="123"/>
        <v>0</v>
      </c>
      <c r="AN237" s="27">
        <f t="shared" si="124"/>
        <v>0</v>
      </c>
      <c r="AO237" s="57">
        <f t="shared" si="136"/>
        <v>0</v>
      </c>
      <c r="AP237" s="19">
        <f t="shared" si="125"/>
        <v>0</v>
      </c>
      <c r="AQ237" s="20">
        <f t="shared" si="126"/>
        <v>0</v>
      </c>
      <c r="AR237" s="58">
        <f t="shared" si="127"/>
        <v>0</v>
      </c>
      <c r="AS237" s="1">
        <f t="shared" si="128"/>
        <v>0</v>
      </c>
      <c r="AT237" s="21">
        <f t="shared" si="129"/>
        <v>0</v>
      </c>
      <c r="AU237" s="28">
        <f t="shared" si="130"/>
        <v>0</v>
      </c>
      <c r="AV237" s="19">
        <f t="shared" si="131"/>
        <v>0</v>
      </c>
      <c r="AW237" s="19">
        <f t="shared" si="132"/>
        <v>0</v>
      </c>
      <c r="AX237" s="27">
        <f t="shared" si="133"/>
        <v>0</v>
      </c>
      <c r="AY237" s="1" t="e">
        <f t="shared" si="134"/>
        <v>#DIV/0!</v>
      </c>
      <c r="AZ237" s="1" t="e">
        <f t="shared" si="135"/>
        <v>#DIV/0!</v>
      </c>
    </row>
    <row r="238" spans="1:52" hidden="1" x14ac:dyDescent="0.35">
      <c r="A238" s="6" t="s">
        <v>423</v>
      </c>
      <c r="B238" s="6">
        <v>0.02</v>
      </c>
      <c r="C238" s="2" t="e">
        <f>+VLOOKUP(E238,inventario!#REF!,2,0)</f>
        <v>#REF!</v>
      </c>
      <c r="D238" t="str">
        <f t="shared" si="105"/>
        <v>160</v>
      </c>
      <c r="E238" t="s">
        <v>175</v>
      </c>
      <c r="F238" s="6" t="str">
        <f>+IFERROR(VLOOKUP(E238,#REF!,29,0),"C")</f>
        <v>C</v>
      </c>
      <c r="G238" s="6" t="str">
        <f>+IFERROR(VLOOKUP(E238,#REF!,34,0),"C")</f>
        <v>C</v>
      </c>
      <c r="H238" s="64">
        <f>+IFERROR(VLOOKUP(E238,#REF!,31,0),0)</f>
        <v>0</v>
      </c>
      <c r="I238" s="44">
        <f>+IFERROR(VLOOKUP(E238,#REF!,26,0),0)</f>
        <v>0</v>
      </c>
      <c r="J238" s="44">
        <f>+IFERROR(VLOOKUP(E238,#REF!,30,0),0)</f>
        <v>0</v>
      </c>
      <c r="K238" s="3"/>
      <c r="L238" s="25">
        <f t="shared" si="106"/>
        <v>0.7</v>
      </c>
      <c r="M238" s="26">
        <f t="shared" si="107"/>
        <v>0.52440051270804078</v>
      </c>
      <c r="O238">
        <f>+IFERROR(VLOOKUP(D238,lt!A:J,10,0),15)</f>
        <v>17</v>
      </c>
      <c r="P238">
        <v>2</v>
      </c>
      <c r="Q238">
        <v>1</v>
      </c>
      <c r="R238">
        <v>2</v>
      </c>
      <c r="S238" s="22">
        <f t="shared" si="108"/>
        <v>22</v>
      </c>
      <c r="T238" s="9">
        <v>3</v>
      </c>
      <c r="U238" s="23">
        <f t="shared" si="109"/>
        <v>0.83333333333333337</v>
      </c>
      <c r="V238" s="11">
        <f t="shared" si="110"/>
        <v>0</v>
      </c>
      <c r="W238" s="11">
        <f t="shared" si="111"/>
        <v>0</v>
      </c>
      <c r="X238" s="11">
        <f t="shared" si="112"/>
        <v>0</v>
      </c>
      <c r="Y238" s="11">
        <f t="shared" si="113"/>
        <v>0</v>
      </c>
      <c r="Z238" s="65">
        <f t="shared" si="114"/>
        <v>0</v>
      </c>
      <c r="AA238" s="24">
        <f t="shared" si="115"/>
        <v>0</v>
      </c>
      <c r="AB238">
        <f t="shared" si="116"/>
        <v>0</v>
      </c>
      <c r="AC238" s="46">
        <f>+IFERROR(VLOOKUP(E238,#REF!,24,0),0.2)</f>
        <v>0.2</v>
      </c>
      <c r="AD238" s="42">
        <f>+IFERROR(VLOOKUP(E238,h!$C:$D,2,0),0.3866)</f>
        <v>0.38610833333333339</v>
      </c>
      <c r="AE238" s="42">
        <f>+VLOOKUP(A238,k!$A$1:$G$4,5,0)</f>
        <v>0.35799365240740744</v>
      </c>
      <c r="AF238" s="47">
        <f t="shared" si="117"/>
        <v>0.94410198574074089</v>
      </c>
      <c r="AG238" s="48">
        <f t="shared" si="118"/>
        <v>0.1132922382888889</v>
      </c>
      <c r="AH238" s="20">
        <f>+IFERROR(VLOOKUP(C238,k!$A$7:$L$13,7,0),0)</f>
        <v>0</v>
      </c>
      <c r="AI238" s="20">
        <f t="shared" si="119"/>
        <v>0</v>
      </c>
      <c r="AJ238" s="5">
        <f t="shared" si="120"/>
        <v>0</v>
      </c>
      <c r="AK238" s="57">
        <f t="shared" si="121"/>
        <v>0</v>
      </c>
      <c r="AL238" s="19">
        <f t="shared" si="122"/>
        <v>0</v>
      </c>
      <c r="AM238" s="20">
        <f t="shared" si="123"/>
        <v>0</v>
      </c>
      <c r="AN238" s="27">
        <f t="shared" si="124"/>
        <v>0</v>
      </c>
      <c r="AO238" s="57">
        <f t="shared" si="136"/>
        <v>0</v>
      </c>
      <c r="AP238" s="19">
        <f t="shared" si="125"/>
        <v>0</v>
      </c>
      <c r="AQ238" s="20">
        <f t="shared" si="126"/>
        <v>0</v>
      </c>
      <c r="AR238" s="58">
        <f t="shared" si="127"/>
        <v>0</v>
      </c>
      <c r="AS238" s="1">
        <f t="shared" si="128"/>
        <v>0</v>
      </c>
      <c r="AT238" s="21">
        <f t="shared" si="129"/>
        <v>0</v>
      </c>
      <c r="AU238" s="28">
        <f t="shared" si="130"/>
        <v>0</v>
      </c>
      <c r="AV238" s="19">
        <f t="shared" si="131"/>
        <v>0</v>
      </c>
      <c r="AW238" s="19">
        <f t="shared" si="132"/>
        <v>0</v>
      </c>
      <c r="AX238" s="27">
        <f t="shared" si="133"/>
        <v>0</v>
      </c>
      <c r="AY238" s="1" t="e">
        <f t="shared" si="134"/>
        <v>#DIV/0!</v>
      </c>
      <c r="AZ238" s="1" t="e">
        <f t="shared" si="135"/>
        <v>#DIV/0!</v>
      </c>
    </row>
    <row r="239" spans="1:52" hidden="1" x14ac:dyDescent="0.35">
      <c r="A239" s="6" t="s">
        <v>423</v>
      </c>
      <c r="B239" s="6">
        <v>1000</v>
      </c>
      <c r="C239" s="2" t="e">
        <f>+VLOOKUP(E239,inventario!#REF!,2,0)</f>
        <v>#REF!</v>
      </c>
      <c r="D239" t="str">
        <f t="shared" si="105"/>
        <v>1035-ME</v>
      </c>
      <c r="E239" s="55" t="s">
        <v>55</v>
      </c>
      <c r="F239" s="6" t="str">
        <f>+IFERROR(VLOOKUP(E239,#REF!,29,0),"C")</f>
        <v>C</v>
      </c>
      <c r="G239" s="6" t="str">
        <f>+IFERROR(VLOOKUP(E239,#REF!,34,0),"C")</f>
        <v>C</v>
      </c>
      <c r="H239" s="64">
        <f>+IFERROR(VLOOKUP(E239,#REF!,31,0),0)</f>
        <v>0</v>
      </c>
      <c r="I239" s="44">
        <f>+IFERROR(VLOOKUP(E239,#REF!,26,0),0)</f>
        <v>0</v>
      </c>
      <c r="J239" s="44">
        <f>+IFERROR(VLOOKUP(E239,#REF!,30,0),0)</f>
        <v>0</v>
      </c>
      <c r="L239" s="25">
        <f t="shared" si="106"/>
        <v>0.7</v>
      </c>
      <c r="M239" s="26">
        <f t="shared" si="107"/>
        <v>0.52440051270804078</v>
      </c>
      <c r="O239">
        <f>+IFERROR(VLOOKUP(D239,lt!A:J,10,0),15)</f>
        <v>15</v>
      </c>
      <c r="P239">
        <v>2</v>
      </c>
      <c r="Q239">
        <v>1</v>
      </c>
      <c r="R239">
        <v>2</v>
      </c>
      <c r="S239" s="22">
        <f t="shared" si="108"/>
        <v>20</v>
      </c>
      <c r="T239" s="9">
        <v>3</v>
      </c>
      <c r="U239" s="23">
        <f t="shared" si="109"/>
        <v>0.76666666666666672</v>
      </c>
      <c r="V239" s="11">
        <f t="shared" si="110"/>
        <v>0</v>
      </c>
      <c r="W239" s="11">
        <f t="shared" si="111"/>
        <v>0</v>
      </c>
      <c r="X239" s="11">
        <f t="shared" si="112"/>
        <v>0</v>
      </c>
      <c r="Y239" s="11">
        <f t="shared" si="113"/>
        <v>0</v>
      </c>
      <c r="Z239" s="65">
        <f t="shared" si="114"/>
        <v>0</v>
      </c>
      <c r="AA239" s="24">
        <f t="shared" si="115"/>
        <v>0</v>
      </c>
      <c r="AB239">
        <f t="shared" si="116"/>
        <v>0</v>
      </c>
      <c r="AC239" s="46">
        <f>+IFERROR(VLOOKUP(E239,#REF!,24,0),0.2)</f>
        <v>0.2</v>
      </c>
      <c r="AD239" s="42">
        <f>+IFERROR(VLOOKUP(E239,h!$C:$D,2,0),0.3866)</f>
        <v>0.3866</v>
      </c>
      <c r="AE239" s="42">
        <f>+VLOOKUP(A239,k!$A$1:$G$4,5,0)</f>
        <v>0.35799365240740744</v>
      </c>
      <c r="AF239" s="47">
        <f t="shared" si="117"/>
        <v>0.94459365240740745</v>
      </c>
      <c r="AG239" s="48">
        <f t="shared" si="118"/>
        <v>0.11335123828888889</v>
      </c>
      <c r="AH239" s="20">
        <f>+IFERROR(VLOOKUP(C239,k!$A$7:$L$13,7,0),0)</f>
        <v>0</v>
      </c>
      <c r="AI239" s="20">
        <f t="shared" si="119"/>
        <v>0</v>
      </c>
      <c r="AJ239" s="5">
        <f t="shared" si="120"/>
        <v>0</v>
      </c>
      <c r="AK239" s="57">
        <f t="shared" si="121"/>
        <v>0</v>
      </c>
      <c r="AL239" s="19">
        <f t="shared" si="122"/>
        <v>0</v>
      </c>
      <c r="AM239" s="20">
        <f t="shared" si="123"/>
        <v>0</v>
      </c>
      <c r="AN239" s="27">
        <f t="shared" si="124"/>
        <v>0</v>
      </c>
      <c r="AO239" s="57">
        <f t="shared" si="136"/>
        <v>0</v>
      </c>
      <c r="AP239" s="19">
        <f t="shared" si="125"/>
        <v>0</v>
      </c>
      <c r="AQ239" s="20">
        <f t="shared" si="126"/>
        <v>0</v>
      </c>
      <c r="AR239" s="58">
        <f t="shared" si="127"/>
        <v>0</v>
      </c>
      <c r="AS239" s="1">
        <f t="shared" si="128"/>
        <v>0</v>
      </c>
      <c r="AT239" s="21">
        <f t="shared" si="129"/>
        <v>0</v>
      </c>
      <c r="AU239" s="28">
        <f t="shared" si="130"/>
        <v>0</v>
      </c>
      <c r="AV239" s="19">
        <f t="shared" si="131"/>
        <v>0</v>
      </c>
      <c r="AW239" s="19">
        <f t="shared" si="132"/>
        <v>0</v>
      </c>
      <c r="AX239" s="27">
        <f t="shared" si="133"/>
        <v>0</v>
      </c>
      <c r="AY239" s="1" t="e">
        <f t="shared" si="134"/>
        <v>#DIV/0!</v>
      </c>
      <c r="AZ239" s="1" t="e">
        <f t="shared" si="135"/>
        <v>#DIV/0!</v>
      </c>
    </row>
    <row r="244" spans="2:2" x14ac:dyDescent="0.35">
      <c r="B244" s="63">
        <f>+B140*1000</f>
        <v>5</v>
      </c>
    </row>
  </sheetData>
  <autoFilter ref="A4:AZ239" xr:uid="{385C6113-EF93-42D3-AB55-907AA956273E}">
    <filterColumn colId="4">
      <filters>
        <filter val="NATUSTAT | 600"/>
      </filters>
    </filterColumn>
    <sortState xmlns:xlrd2="http://schemas.microsoft.com/office/spreadsheetml/2017/richdata2" ref="A5:AZ239">
      <sortCondition ref="C4:C239"/>
    </sortState>
  </autoFilter>
  <dataConsolidate/>
  <mergeCells count="1">
    <mergeCell ref="L2:M3"/>
  </mergeCells>
  <conditionalFormatting sqref="D241:D1048576 D2:D4">
    <cfRule type="duplicateValues" dxfId="24" priority="163"/>
  </conditionalFormatting>
  <conditionalFormatting sqref="E5:E65">
    <cfRule type="duplicateValues" dxfId="23" priority="302"/>
  </conditionalFormatting>
  <conditionalFormatting sqref="E120">
    <cfRule type="duplicateValues" dxfId="22" priority="11"/>
  </conditionalFormatting>
  <conditionalFormatting sqref="E125">
    <cfRule type="duplicateValues" dxfId="21" priority="12"/>
  </conditionalFormatting>
  <conditionalFormatting sqref="E147:E157 E66:E118 E121:E124">
    <cfRule type="duplicateValues" dxfId="20" priority="294"/>
  </conditionalFormatting>
  <conditionalFormatting sqref="E175">
    <cfRule type="duplicateValues" dxfId="19" priority="13"/>
  </conditionalFormatting>
  <conditionalFormatting sqref="E176 E158:E174">
    <cfRule type="duplicateValues" dxfId="18" priority="169"/>
  </conditionalFormatting>
  <conditionalFormatting sqref="E178">
    <cfRule type="duplicateValues" dxfId="17" priority="9"/>
    <cfRule type="duplicateValues" dxfId="16" priority="10"/>
  </conditionalFormatting>
  <conditionalFormatting sqref="E180:E183">
    <cfRule type="duplicateValues" dxfId="15" priority="8"/>
  </conditionalFormatting>
  <conditionalFormatting sqref="E184:E186">
    <cfRule type="duplicateValues" dxfId="14" priority="215"/>
  </conditionalFormatting>
  <conditionalFormatting sqref="E187:E208">
    <cfRule type="duplicateValues" dxfId="13" priority="209"/>
  </conditionalFormatting>
  <conditionalFormatting sqref="E209">
    <cfRule type="duplicateValues" dxfId="12" priority="3"/>
  </conditionalFormatting>
  <conditionalFormatting sqref="E235">
    <cfRule type="duplicateValues" dxfId="11" priority="1"/>
  </conditionalFormatting>
  <conditionalFormatting sqref="E240:E1048576 E1:E186">
    <cfRule type="duplicateValues" dxfId="10" priority="6"/>
  </conditionalFormatting>
  <conditionalFormatting sqref="E240:E1048576 E1:E233">
    <cfRule type="duplicateValues" dxfId="9" priority="2"/>
  </conditionalFormatting>
  <conditionalFormatting sqref="E240:E1048576 E179 E2:E4">
    <cfRule type="duplicateValues" dxfId="8" priority="166"/>
  </conditionalFormatting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0446-4A04-4170-BA08-2E4BDA4D4C5F}">
  <sheetPr codeName="Hoja13"/>
  <dimension ref="A1:R223"/>
  <sheetViews>
    <sheetView topLeftCell="I1" zoomScale="54" workbookViewId="0">
      <selection activeCell="S1" sqref="S1:T1048576"/>
    </sheetView>
  </sheetViews>
  <sheetFormatPr baseColWidth="10" defaultRowHeight="14.5" x14ac:dyDescent="0.35"/>
  <cols>
    <col min="2" max="2" width="69.54296875" bestFit="1" customWidth="1"/>
    <col min="3" max="3" width="11.36328125" customWidth="1"/>
    <col min="4" max="4" width="11" bestFit="1" customWidth="1"/>
    <col min="5" max="5" width="11.7265625" bestFit="1" customWidth="1"/>
    <col min="6" max="6" width="12.54296875" customWidth="1"/>
    <col min="7" max="7" width="11.7265625" bestFit="1" customWidth="1"/>
    <col min="8" max="8" width="21.08984375" customWidth="1"/>
    <col min="9" max="9" width="20.26953125" customWidth="1"/>
    <col min="10" max="10" width="11.453125" customWidth="1"/>
    <col min="11" max="13" width="14.26953125" customWidth="1"/>
    <col min="14" max="14" width="13.36328125" customWidth="1"/>
    <col min="15" max="15" width="12.08984375" customWidth="1"/>
    <col min="18" max="18" width="69.54296875" bestFit="1" customWidth="1"/>
    <col min="24" max="24" width="19.6328125" bestFit="1" customWidth="1"/>
    <col min="25" max="26" width="20.453125" bestFit="1" customWidth="1"/>
  </cols>
  <sheetData>
    <row r="1" spans="1:18" x14ac:dyDescent="0.35">
      <c r="A1" t="s">
        <v>9</v>
      </c>
      <c r="B1" t="s">
        <v>193</v>
      </c>
      <c r="C1" t="s">
        <v>1238</v>
      </c>
      <c r="D1" t="s">
        <v>573</v>
      </c>
      <c r="E1" t="s">
        <v>574</v>
      </c>
      <c r="F1" t="s">
        <v>575</v>
      </c>
      <c r="G1" t="s">
        <v>576</v>
      </c>
      <c r="H1" t="s">
        <v>1239</v>
      </c>
      <c r="I1" t="s">
        <v>577</v>
      </c>
      <c r="J1" t="s">
        <v>578</v>
      </c>
      <c r="K1" t="s">
        <v>1240</v>
      </c>
      <c r="L1" t="s">
        <v>579</v>
      </c>
      <c r="M1" t="s">
        <v>580</v>
      </c>
      <c r="N1" t="s">
        <v>581</v>
      </c>
      <c r="O1" t="s">
        <v>582</v>
      </c>
      <c r="P1" t="s">
        <v>775</v>
      </c>
      <c r="Q1" t="s">
        <v>776</v>
      </c>
      <c r="R1" t="s">
        <v>1224</v>
      </c>
    </row>
    <row r="2" spans="1:18" x14ac:dyDescent="0.35">
      <c r="A2" t="s">
        <v>101</v>
      </c>
      <c r="B2" t="s">
        <v>583</v>
      </c>
      <c r="C2" s="108">
        <v>5900</v>
      </c>
      <c r="D2" s="108">
        <v>0</v>
      </c>
      <c r="E2" s="108">
        <v>5900</v>
      </c>
      <c r="F2">
        <v>0</v>
      </c>
      <c r="G2" s="108">
        <v>60000</v>
      </c>
      <c r="H2" s="108">
        <v>3450</v>
      </c>
      <c r="I2" s="108">
        <v>2791.6666666666702</v>
      </c>
      <c r="J2">
        <v>1.7101449275362299</v>
      </c>
      <c r="K2">
        <v>15616.28</v>
      </c>
      <c r="L2">
        <v>19473.403999999999</v>
      </c>
      <c r="M2">
        <v>19200</v>
      </c>
      <c r="N2">
        <v>18096.561333333299</v>
      </c>
      <c r="O2">
        <v>0.32602879029467202</v>
      </c>
      <c r="P2" s="62" t="str">
        <f>+RIGHT(Tabla2[[#This Row],[Item-Codigo]], LEN(Tabla2[[#This Row],[Item-Codigo]]) - FIND(" |", Tabla2[[#This Row],[Item-Codigo]]) - 1)</f>
        <v>720</v>
      </c>
      <c r="Q2" s="62">
        <v>720</v>
      </c>
      <c r="R2" s="62" t="s">
        <v>1077</v>
      </c>
    </row>
    <row r="3" spans="1:18" x14ac:dyDescent="0.35">
      <c r="A3" t="s">
        <v>101</v>
      </c>
      <c r="B3" t="s">
        <v>585</v>
      </c>
      <c r="C3" s="108">
        <v>22000</v>
      </c>
      <c r="D3" s="108">
        <v>0</v>
      </c>
      <c r="E3" s="108">
        <v>22000</v>
      </c>
      <c r="F3">
        <v>0</v>
      </c>
      <c r="G3" s="108">
        <v>27000</v>
      </c>
      <c r="H3" s="108">
        <v>2000</v>
      </c>
      <c r="I3" s="108">
        <v>3133.3333333333298</v>
      </c>
      <c r="J3">
        <v>7.0212765957446797</v>
      </c>
      <c r="K3">
        <v>17400</v>
      </c>
      <c r="L3">
        <v>16000</v>
      </c>
      <c r="M3">
        <v>15021.04</v>
      </c>
      <c r="N3">
        <v>16140.346666666699</v>
      </c>
      <c r="O3">
        <v>1.3630438338375199</v>
      </c>
      <c r="P3" s="62" t="str">
        <f>+RIGHT(Tabla2[[#This Row],[Item-Codigo]], LEN(Tabla2[[#This Row],[Item-Codigo]]) - FIND(" |", Tabla2[[#This Row],[Item-Codigo]]) - 1)</f>
        <v>511.2</v>
      </c>
      <c r="Q3" s="62" t="s">
        <v>545</v>
      </c>
      <c r="R3" s="62" t="s">
        <v>130</v>
      </c>
    </row>
    <row r="4" spans="1:18" x14ac:dyDescent="0.35">
      <c r="A4" t="s">
        <v>102</v>
      </c>
      <c r="B4" t="s">
        <v>586</v>
      </c>
      <c r="C4" s="108">
        <v>925</v>
      </c>
      <c r="D4" s="108">
        <v>0</v>
      </c>
      <c r="E4" s="108">
        <v>925</v>
      </c>
      <c r="F4">
        <v>0</v>
      </c>
      <c r="G4" s="108">
        <v>2300</v>
      </c>
      <c r="H4" s="108">
        <v>443</v>
      </c>
      <c r="I4" s="108">
        <v>403.666666666666</v>
      </c>
      <c r="J4">
        <v>2.0880361173814901</v>
      </c>
      <c r="K4">
        <v>2321</v>
      </c>
      <c r="L4">
        <v>2106</v>
      </c>
      <c r="M4">
        <v>1937</v>
      </c>
      <c r="N4">
        <v>2121.3333333333298</v>
      </c>
      <c r="O4">
        <v>0.43604651162790697</v>
      </c>
      <c r="P4" s="62" t="str">
        <f>+RIGHT(Tabla2[[#This Row],[Item-Codigo]], LEN(Tabla2[[#This Row],[Item-Codigo]]) - FIND(" |", Tabla2[[#This Row],[Item-Codigo]]) - 1)</f>
        <v>732</v>
      </c>
      <c r="Q4" s="62">
        <v>732</v>
      </c>
      <c r="R4" s="62" t="s">
        <v>66</v>
      </c>
    </row>
    <row r="5" spans="1:18" x14ac:dyDescent="0.35">
      <c r="A5" t="s">
        <v>102</v>
      </c>
      <c r="B5" t="s">
        <v>587</v>
      </c>
      <c r="C5" s="108">
        <v>2900</v>
      </c>
      <c r="D5" s="108">
        <v>0</v>
      </c>
      <c r="E5" s="108">
        <v>2900</v>
      </c>
      <c r="F5">
        <v>0</v>
      </c>
      <c r="G5" s="108">
        <v>0</v>
      </c>
      <c r="H5" s="108">
        <v>25</v>
      </c>
      <c r="I5" s="108">
        <v>58.333333333333002</v>
      </c>
      <c r="J5">
        <v>49.714285714286</v>
      </c>
      <c r="K5">
        <v>275</v>
      </c>
      <c r="L5">
        <v>350</v>
      </c>
      <c r="M5">
        <v>291</v>
      </c>
      <c r="N5">
        <v>305.33333333333297</v>
      </c>
      <c r="O5">
        <v>9.4978165938864603</v>
      </c>
      <c r="P5" s="62" t="str">
        <f>+RIGHT(Tabla2[[#This Row],[Item-Codigo]], LEN(Tabla2[[#This Row],[Item-Codigo]]) - FIND(" |", Tabla2[[#This Row],[Item-Codigo]]) - 1)</f>
        <v>1039</v>
      </c>
      <c r="Q5" s="62">
        <v>1039</v>
      </c>
      <c r="R5" s="62" t="s">
        <v>67</v>
      </c>
    </row>
    <row r="6" spans="1:18" x14ac:dyDescent="0.35">
      <c r="A6" t="s">
        <v>102</v>
      </c>
      <c r="B6" t="s">
        <v>588</v>
      </c>
      <c r="C6" s="108">
        <v>175</v>
      </c>
      <c r="D6" s="108">
        <v>0</v>
      </c>
      <c r="E6" s="108">
        <v>175</v>
      </c>
      <c r="F6">
        <v>0</v>
      </c>
      <c r="G6" s="108">
        <v>0</v>
      </c>
      <c r="H6" s="108">
        <v>0</v>
      </c>
      <c r="I6" s="108">
        <v>25</v>
      </c>
      <c r="J6">
        <v>7</v>
      </c>
      <c r="K6">
        <v>125</v>
      </c>
      <c r="L6">
        <v>150</v>
      </c>
      <c r="M6">
        <v>125</v>
      </c>
      <c r="N6">
        <v>133.333333333333</v>
      </c>
      <c r="O6">
        <v>1.3125</v>
      </c>
      <c r="P6" s="62" t="str">
        <f>+RIGHT(Tabla2[[#This Row],[Item-Codigo]], LEN(Tabla2[[#This Row],[Item-Codigo]]) - FIND(" |", Tabla2[[#This Row],[Item-Codigo]]) - 1)</f>
        <v>1010</v>
      </c>
      <c r="Q6" s="62">
        <v>1010</v>
      </c>
      <c r="R6" s="62" t="s">
        <v>68</v>
      </c>
    </row>
    <row r="7" spans="1:18" x14ac:dyDescent="0.35">
      <c r="A7" t="s">
        <v>102</v>
      </c>
      <c r="B7" t="s">
        <v>589</v>
      </c>
      <c r="C7" s="108">
        <v>225</v>
      </c>
      <c r="D7" s="108">
        <v>0</v>
      </c>
      <c r="E7" s="108">
        <v>225</v>
      </c>
      <c r="F7">
        <v>0</v>
      </c>
      <c r="G7" s="108">
        <v>0</v>
      </c>
      <c r="H7" s="108">
        <v>25</v>
      </c>
      <c r="I7" s="108">
        <v>41.666666666666003</v>
      </c>
      <c r="J7">
        <v>5.4000000000000901</v>
      </c>
      <c r="K7">
        <v>250</v>
      </c>
      <c r="L7">
        <v>200</v>
      </c>
      <c r="M7">
        <v>200</v>
      </c>
      <c r="N7">
        <v>216.666666666667</v>
      </c>
      <c r="O7">
        <v>1.0384615384615401</v>
      </c>
      <c r="P7" s="62" t="str">
        <f>+RIGHT(Tabla2[[#This Row],[Item-Codigo]], LEN(Tabla2[[#This Row],[Item-Codigo]]) - FIND(" |", Tabla2[[#This Row],[Item-Codigo]]) - 1)</f>
        <v>317</v>
      </c>
      <c r="Q7" s="62">
        <v>317</v>
      </c>
      <c r="R7" s="62" t="s">
        <v>69</v>
      </c>
    </row>
    <row r="8" spans="1:18" x14ac:dyDescent="0.35">
      <c r="A8" t="s">
        <v>102</v>
      </c>
      <c r="B8" t="s">
        <v>590</v>
      </c>
      <c r="C8" s="108">
        <v>1400</v>
      </c>
      <c r="D8" s="108">
        <v>0</v>
      </c>
      <c r="E8" s="108">
        <v>1400</v>
      </c>
      <c r="F8">
        <v>0</v>
      </c>
      <c r="G8" s="108">
        <v>0</v>
      </c>
      <c r="H8" s="108">
        <v>366.05599999999998</v>
      </c>
      <c r="I8" s="108">
        <v>198.54533333333299</v>
      </c>
      <c r="J8">
        <v>3.82455143475315</v>
      </c>
      <c r="K8">
        <v>1229.58</v>
      </c>
      <c r="L8">
        <v>760.71199999999999</v>
      </c>
      <c r="M8">
        <v>1079.1120000000001</v>
      </c>
      <c r="N8">
        <v>1023.13466666667</v>
      </c>
      <c r="O8">
        <v>1.3683438217973301</v>
      </c>
      <c r="P8" s="62" t="str">
        <f>+RIGHT(Tabla2[[#This Row],[Item-Codigo]], LEN(Tabla2[[#This Row],[Item-Codigo]]) - FIND(" |", Tabla2[[#This Row],[Item-Codigo]]) - 1)</f>
        <v>901</v>
      </c>
      <c r="Q8" s="62">
        <v>901</v>
      </c>
      <c r="R8" s="62" t="s">
        <v>70</v>
      </c>
    </row>
    <row r="9" spans="1:18" x14ac:dyDescent="0.35">
      <c r="A9" t="s">
        <v>102</v>
      </c>
      <c r="B9" t="s">
        <v>591</v>
      </c>
      <c r="C9" s="108">
        <v>127</v>
      </c>
      <c r="D9" s="108">
        <v>0</v>
      </c>
      <c r="E9" s="108">
        <v>127</v>
      </c>
      <c r="F9">
        <v>0</v>
      </c>
      <c r="G9" s="108">
        <v>0</v>
      </c>
      <c r="H9" s="108">
        <v>0</v>
      </c>
      <c r="I9" s="108">
        <v>14.276</v>
      </c>
      <c r="J9">
        <v>8.8960493135332008</v>
      </c>
      <c r="K9">
        <v>153.50800000000001</v>
      </c>
      <c r="L9">
        <v>103.46</v>
      </c>
      <c r="M9">
        <v>107.66</v>
      </c>
      <c r="N9">
        <v>121.542666666667</v>
      </c>
      <c r="O9">
        <v>1.04490055618329</v>
      </c>
      <c r="P9" s="62" t="str">
        <f>+RIGHT(Tabla2[[#This Row],[Item-Codigo]], LEN(Tabla2[[#This Row],[Item-Codigo]]) - FIND(" |", Tabla2[[#This Row],[Item-Codigo]]) - 1)</f>
        <v>929</v>
      </c>
      <c r="Q9" s="62">
        <v>929</v>
      </c>
      <c r="R9" s="62" t="s">
        <v>71</v>
      </c>
    </row>
    <row r="10" spans="1:18" x14ac:dyDescent="0.35">
      <c r="A10" t="s">
        <v>102</v>
      </c>
      <c r="B10" t="s">
        <v>592</v>
      </c>
      <c r="C10" s="108">
        <v>1220</v>
      </c>
      <c r="D10" s="108">
        <v>0</v>
      </c>
      <c r="E10" s="108">
        <v>1220</v>
      </c>
      <c r="F10">
        <v>0</v>
      </c>
      <c r="G10" s="108">
        <v>0</v>
      </c>
      <c r="H10" s="108">
        <v>0</v>
      </c>
      <c r="I10" s="108">
        <v>6.6666666666659999</v>
      </c>
      <c r="J10">
        <v>183.00000000001799</v>
      </c>
      <c r="K10">
        <v>40</v>
      </c>
      <c r="L10">
        <v>40</v>
      </c>
      <c r="M10">
        <v>60</v>
      </c>
      <c r="N10">
        <v>46.6666666666667</v>
      </c>
      <c r="O10">
        <v>26.1428571428571</v>
      </c>
      <c r="P10" s="62" t="str">
        <f>+RIGHT(Tabla2[[#This Row],[Item-Codigo]], LEN(Tabla2[[#This Row],[Item-Codigo]]) - FIND(" |", Tabla2[[#This Row],[Item-Codigo]]) - 1)</f>
        <v>900</v>
      </c>
      <c r="Q10" s="62">
        <v>900</v>
      </c>
      <c r="R10" s="62" t="s">
        <v>72</v>
      </c>
    </row>
    <row r="11" spans="1:18" x14ac:dyDescent="0.35">
      <c r="A11" t="s">
        <v>102</v>
      </c>
      <c r="B11" t="s">
        <v>593</v>
      </c>
      <c r="C11" s="108">
        <v>1600</v>
      </c>
      <c r="D11" s="108">
        <v>0</v>
      </c>
      <c r="E11" s="108">
        <v>1600</v>
      </c>
      <c r="F11">
        <v>0</v>
      </c>
      <c r="G11" s="108">
        <v>0</v>
      </c>
      <c r="H11" s="108">
        <v>0</v>
      </c>
      <c r="I11" s="108">
        <v>166.666666666666</v>
      </c>
      <c r="J11">
        <v>9.6000000000000405</v>
      </c>
      <c r="K11">
        <v>1500</v>
      </c>
      <c r="L11">
        <v>2043</v>
      </c>
      <c r="M11">
        <v>1878</v>
      </c>
      <c r="N11">
        <v>1807</v>
      </c>
      <c r="O11">
        <v>0.88544548976203696</v>
      </c>
      <c r="P11" s="62" t="str">
        <f>+RIGHT(Tabla2[[#This Row],[Item-Codigo]], LEN(Tabla2[[#This Row],[Item-Codigo]]) - FIND(" |", Tabla2[[#This Row],[Item-Codigo]]) - 1)</f>
        <v>1009</v>
      </c>
      <c r="Q11" s="62">
        <v>1009</v>
      </c>
      <c r="R11" s="62" t="s">
        <v>73</v>
      </c>
    </row>
    <row r="12" spans="1:18" x14ac:dyDescent="0.35">
      <c r="A12" t="s">
        <v>102</v>
      </c>
      <c r="B12" t="s">
        <v>594</v>
      </c>
      <c r="C12" s="108">
        <v>400</v>
      </c>
      <c r="D12" s="108">
        <v>0</v>
      </c>
      <c r="E12" s="108">
        <v>400</v>
      </c>
      <c r="F12">
        <v>0</v>
      </c>
      <c r="G12" s="108">
        <v>0</v>
      </c>
      <c r="H12" s="108">
        <v>25</v>
      </c>
      <c r="I12" s="108">
        <v>16.666666666666</v>
      </c>
      <c r="J12">
        <v>16</v>
      </c>
      <c r="K12">
        <v>150</v>
      </c>
      <c r="L12">
        <v>227.6</v>
      </c>
      <c r="M12">
        <v>244</v>
      </c>
      <c r="N12">
        <v>207.2</v>
      </c>
      <c r="O12">
        <v>1.93050193050193</v>
      </c>
      <c r="P12" s="62" t="str">
        <f>+RIGHT(Tabla2[[#This Row],[Item-Codigo]], LEN(Tabla2[[#This Row],[Item-Codigo]]) - FIND(" |", Tabla2[[#This Row],[Item-Codigo]]) - 1)</f>
        <v>388</v>
      </c>
      <c r="Q12" s="62">
        <v>388</v>
      </c>
      <c r="R12" s="62" t="s">
        <v>74</v>
      </c>
    </row>
    <row r="13" spans="1:18" x14ac:dyDescent="0.35">
      <c r="A13" t="s">
        <v>102</v>
      </c>
      <c r="B13" t="s">
        <v>595</v>
      </c>
      <c r="C13" s="108">
        <v>75</v>
      </c>
      <c r="D13" s="108">
        <v>0</v>
      </c>
      <c r="E13" s="108">
        <v>75</v>
      </c>
      <c r="F13">
        <v>0</v>
      </c>
      <c r="G13" s="108">
        <v>100</v>
      </c>
      <c r="H13" s="108">
        <v>26.6</v>
      </c>
      <c r="I13" s="108">
        <v>21.833333333333002</v>
      </c>
      <c r="J13">
        <v>2.8195488721804498</v>
      </c>
      <c r="K13">
        <v>138.9</v>
      </c>
      <c r="L13">
        <v>123.342</v>
      </c>
      <c r="M13">
        <v>79.8</v>
      </c>
      <c r="N13">
        <v>114.014</v>
      </c>
      <c r="O13">
        <v>0.657813952672479</v>
      </c>
      <c r="P13" s="62" t="str">
        <f>+RIGHT(Tabla2[[#This Row],[Item-Codigo]], LEN(Tabla2[[#This Row],[Item-Codigo]]) - FIND(" |", Tabla2[[#This Row],[Item-Codigo]]) - 1)</f>
        <v>1070</v>
      </c>
      <c r="Q13" s="62">
        <v>1070</v>
      </c>
      <c r="R13" s="62" t="s">
        <v>75</v>
      </c>
    </row>
    <row r="14" spans="1:18" x14ac:dyDescent="0.35">
      <c r="A14" t="s">
        <v>102</v>
      </c>
      <c r="B14" t="s">
        <v>596</v>
      </c>
      <c r="C14" s="108">
        <v>4320</v>
      </c>
      <c r="D14" s="108">
        <v>0</v>
      </c>
      <c r="E14" s="108">
        <v>4320</v>
      </c>
      <c r="F14">
        <v>0</v>
      </c>
      <c r="G14" s="108">
        <v>0</v>
      </c>
      <c r="H14" s="108">
        <v>440</v>
      </c>
      <c r="I14" s="108">
        <v>380</v>
      </c>
      <c r="J14">
        <v>9.8181818181818201</v>
      </c>
      <c r="K14">
        <v>2060</v>
      </c>
      <c r="L14">
        <v>2251</v>
      </c>
      <c r="M14">
        <v>2783</v>
      </c>
      <c r="N14">
        <v>2364.6666666666702</v>
      </c>
      <c r="O14">
        <v>1.82689596842402</v>
      </c>
      <c r="P14" s="62" t="str">
        <f>+RIGHT(Tabla2[[#This Row],[Item-Codigo]], LEN(Tabla2[[#This Row],[Item-Codigo]]) - FIND(" |", Tabla2[[#This Row],[Item-Codigo]]) - 1)</f>
        <v>1045</v>
      </c>
      <c r="Q14" s="62">
        <v>1045</v>
      </c>
      <c r="R14" s="62" t="s">
        <v>76</v>
      </c>
    </row>
    <row r="15" spans="1:18" x14ac:dyDescent="0.35">
      <c r="A15" t="s">
        <v>102</v>
      </c>
      <c r="B15" t="s">
        <v>597</v>
      </c>
      <c r="C15" s="108">
        <v>1000</v>
      </c>
      <c r="D15" s="108">
        <v>0</v>
      </c>
      <c r="E15" s="108">
        <v>400</v>
      </c>
      <c r="F15">
        <v>600</v>
      </c>
      <c r="G15" s="108">
        <v>600</v>
      </c>
      <c r="H15" s="108">
        <v>150</v>
      </c>
      <c r="I15" s="108">
        <v>83.333333333333002</v>
      </c>
      <c r="J15">
        <v>6.6666666666666696</v>
      </c>
      <c r="K15">
        <v>375</v>
      </c>
      <c r="L15">
        <v>525.41999999999996</v>
      </c>
      <c r="M15">
        <v>459.42</v>
      </c>
      <c r="N15">
        <v>453.28</v>
      </c>
      <c r="O15">
        <v>2.2061418990469499</v>
      </c>
      <c r="P15" s="62" t="str">
        <f>+RIGHT(Tabla2[[#This Row],[Item-Codigo]], LEN(Tabla2[[#This Row],[Item-Codigo]]) - FIND(" |", Tabla2[[#This Row],[Item-Codigo]]) - 1)</f>
        <v>470.5</v>
      </c>
      <c r="Q15" s="62" t="s">
        <v>536</v>
      </c>
      <c r="R15" s="62" t="s">
        <v>77</v>
      </c>
    </row>
    <row r="16" spans="1:18" x14ac:dyDescent="0.35">
      <c r="A16" t="s">
        <v>102</v>
      </c>
      <c r="B16" t="s">
        <v>957</v>
      </c>
      <c r="C16" s="108">
        <v>900</v>
      </c>
      <c r="D16" s="108">
        <v>0</v>
      </c>
      <c r="E16" s="108">
        <v>0</v>
      </c>
      <c r="F16">
        <v>900</v>
      </c>
      <c r="G16" s="108">
        <v>900</v>
      </c>
      <c r="H16" s="108">
        <v>350</v>
      </c>
      <c r="I16" s="108">
        <v>241.666666666666</v>
      </c>
      <c r="J16">
        <v>2.5714285714285698</v>
      </c>
      <c r="K16">
        <v>925</v>
      </c>
      <c r="L16">
        <v>975.6</v>
      </c>
      <c r="M16">
        <v>853.6</v>
      </c>
      <c r="N16">
        <v>918.06666666666695</v>
      </c>
      <c r="O16">
        <v>0.98032096434536398</v>
      </c>
      <c r="P16" s="62" t="str">
        <f>+RIGHT(Tabla2[[#This Row],[Item-Codigo]], LEN(Tabla2[[#This Row],[Item-Codigo]]) - FIND(" |", Tabla2[[#This Row],[Item-Codigo]]) - 1)</f>
        <v>459</v>
      </c>
      <c r="Q16" s="62">
        <v>459</v>
      </c>
      <c r="R16" s="62" t="s">
        <v>981</v>
      </c>
    </row>
    <row r="17" spans="1:18" x14ac:dyDescent="0.35">
      <c r="A17" t="s">
        <v>102</v>
      </c>
      <c r="B17" t="s">
        <v>598</v>
      </c>
      <c r="C17" s="108">
        <v>14125</v>
      </c>
      <c r="D17" s="108">
        <v>0</v>
      </c>
      <c r="E17" s="108">
        <v>14125</v>
      </c>
      <c r="F17">
        <v>0</v>
      </c>
      <c r="G17" s="108">
        <v>0</v>
      </c>
      <c r="H17" s="108">
        <v>25</v>
      </c>
      <c r="I17" s="108">
        <v>108.333333333333</v>
      </c>
      <c r="J17">
        <v>130.38461538461601</v>
      </c>
      <c r="K17">
        <v>2350</v>
      </c>
      <c r="L17">
        <v>7679.9040000000005</v>
      </c>
      <c r="M17">
        <v>7175.0079999999998</v>
      </c>
      <c r="N17">
        <v>5734.9706666666698</v>
      </c>
      <c r="O17">
        <v>2.4629594153111598</v>
      </c>
      <c r="P17" s="62" t="str">
        <f>+RIGHT(Tabla2[[#This Row],[Item-Codigo]], LEN(Tabla2[[#This Row],[Item-Codigo]]) - FIND(" |", Tabla2[[#This Row],[Item-Codigo]]) - 1)</f>
        <v>495</v>
      </c>
      <c r="Q17" s="62">
        <v>495</v>
      </c>
      <c r="R17" s="62" t="s">
        <v>78</v>
      </c>
    </row>
    <row r="18" spans="1:18" x14ac:dyDescent="0.35">
      <c r="A18" t="s">
        <v>102</v>
      </c>
      <c r="B18" t="s">
        <v>600</v>
      </c>
      <c r="C18" s="108">
        <v>36.53</v>
      </c>
      <c r="D18" s="108">
        <v>0</v>
      </c>
      <c r="E18" s="108">
        <v>36.53</v>
      </c>
      <c r="F18">
        <v>0</v>
      </c>
      <c r="G18" s="108">
        <v>0</v>
      </c>
      <c r="H18" s="108">
        <v>0</v>
      </c>
      <c r="I18" s="108">
        <v>12.176666666666</v>
      </c>
      <c r="J18">
        <v>3.0000000000001599</v>
      </c>
      <c r="K18">
        <v>36.53</v>
      </c>
      <c r="L18">
        <v>0</v>
      </c>
      <c r="M18">
        <v>36.53</v>
      </c>
      <c r="N18">
        <v>36.53</v>
      </c>
      <c r="O18">
        <v>1</v>
      </c>
      <c r="P18" s="62" t="str">
        <f>+RIGHT(Tabla2[[#This Row],[Item-Codigo]], LEN(Tabla2[[#This Row],[Item-Codigo]]) - FIND(" |", Tabla2[[#This Row],[Item-Codigo]]) - 1)</f>
        <v>744</v>
      </c>
      <c r="Q18" s="62">
        <v>744</v>
      </c>
      <c r="R18" s="62" t="s">
        <v>80</v>
      </c>
    </row>
    <row r="19" spans="1:18" x14ac:dyDescent="0.35">
      <c r="A19" t="s">
        <v>102</v>
      </c>
      <c r="B19" t="s">
        <v>1215</v>
      </c>
      <c r="C19" s="108">
        <v>0</v>
      </c>
      <c r="D19" s="108">
        <v>0</v>
      </c>
      <c r="E19" s="108">
        <v>0</v>
      </c>
      <c r="F19">
        <v>0</v>
      </c>
      <c r="G19" s="108">
        <v>25</v>
      </c>
      <c r="H19" s="108">
        <v>0</v>
      </c>
      <c r="I19" s="108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62" t="str">
        <f>+RIGHT(Tabla2[[#This Row],[Item-Codigo]], LEN(Tabla2[[#This Row],[Item-Codigo]]) - FIND(" |", Tabla2[[#This Row],[Item-Codigo]]) - 1)</f>
        <v>47</v>
      </c>
      <c r="Q19" s="62">
        <v>47</v>
      </c>
      <c r="R19" s="62" t="s">
        <v>1215</v>
      </c>
    </row>
    <row r="20" spans="1:18" x14ac:dyDescent="0.35">
      <c r="A20" t="s">
        <v>102</v>
      </c>
      <c r="B20" t="s">
        <v>601</v>
      </c>
      <c r="C20" s="108">
        <v>22875</v>
      </c>
      <c r="D20" s="108">
        <v>0</v>
      </c>
      <c r="E20" s="108">
        <v>22875</v>
      </c>
      <c r="F20">
        <v>0</v>
      </c>
      <c r="G20" s="108">
        <v>88000</v>
      </c>
      <c r="H20" s="108">
        <v>7925</v>
      </c>
      <c r="I20" s="108">
        <v>10841.666666666701</v>
      </c>
      <c r="J20">
        <v>2.1099154496541099</v>
      </c>
      <c r="K20">
        <v>46600</v>
      </c>
      <c r="L20">
        <v>36000</v>
      </c>
      <c r="M20">
        <v>25200</v>
      </c>
      <c r="N20">
        <v>35933.333333333299</v>
      </c>
      <c r="O20">
        <v>0.63659554730983303</v>
      </c>
      <c r="P20" s="62" t="str">
        <f>+RIGHT(Tabla2[[#This Row],[Item-Codigo]], LEN(Tabla2[[#This Row],[Item-Codigo]]) - FIND(" |", Tabla2[[#This Row],[Item-Codigo]]) - 1)</f>
        <v>1073</v>
      </c>
      <c r="Q20" s="62">
        <v>1073</v>
      </c>
      <c r="R20" s="62" t="s">
        <v>81</v>
      </c>
    </row>
    <row r="21" spans="1:18" x14ac:dyDescent="0.35">
      <c r="A21" t="s">
        <v>102</v>
      </c>
      <c r="B21" t="s">
        <v>602</v>
      </c>
      <c r="C21" s="108">
        <v>1500</v>
      </c>
      <c r="D21" s="108">
        <v>0</v>
      </c>
      <c r="E21" s="108">
        <v>1500</v>
      </c>
      <c r="F21">
        <v>0</v>
      </c>
      <c r="G21" s="108">
        <v>0</v>
      </c>
      <c r="H21" s="108">
        <v>84</v>
      </c>
      <c r="I21" s="108">
        <v>69.666666666666003</v>
      </c>
      <c r="J21">
        <v>17.8571428571429</v>
      </c>
      <c r="K21">
        <v>450</v>
      </c>
      <c r="L21">
        <v>543.84</v>
      </c>
      <c r="M21">
        <v>481.2</v>
      </c>
      <c r="N21">
        <v>491.68</v>
      </c>
      <c r="O21">
        <v>3.0507647250244099</v>
      </c>
      <c r="P21" s="62" t="str">
        <f>+RIGHT(Tabla2[[#This Row],[Item-Codigo]], LEN(Tabla2[[#This Row],[Item-Codigo]]) - FIND(" |", Tabla2[[#This Row],[Item-Codigo]]) - 1)</f>
        <v>475</v>
      </c>
      <c r="Q21" s="62">
        <v>475</v>
      </c>
      <c r="R21" s="62" t="s">
        <v>82</v>
      </c>
    </row>
    <row r="22" spans="1:18" x14ac:dyDescent="0.35">
      <c r="A22" t="s">
        <v>102</v>
      </c>
      <c r="B22" t="s">
        <v>603</v>
      </c>
      <c r="C22" s="108">
        <v>2925</v>
      </c>
      <c r="D22" s="108">
        <v>0</v>
      </c>
      <c r="E22" s="108">
        <v>2925</v>
      </c>
      <c r="F22">
        <v>0</v>
      </c>
      <c r="G22" s="108">
        <v>0</v>
      </c>
      <c r="H22" s="108">
        <v>4500</v>
      </c>
      <c r="I22" s="108">
        <v>1625</v>
      </c>
      <c r="J22">
        <v>0.65</v>
      </c>
      <c r="K22">
        <v>7250</v>
      </c>
      <c r="L22">
        <v>5125</v>
      </c>
      <c r="M22">
        <v>9000</v>
      </c>
      <c r="N22">
        <v>7125</v>
      </c>
      <c r="O22">
        <v>0.41052631578947402</v>
      </c>
      <c r="P22" s="62" t="str">
        <f>+RIGHT(Tabla2[[#This Row],[Item-Codigo]], LEN(Tabla2[[#This Row],[Item-Codigo]]) - FIND(" |", Tabla2[[#This Row],[Item-Codigo]]) - 1)</f>
        <v>131.3</v>
      </c>
      <c r="Q22" s="62" t="s">
        <v>523</v>
      </c>
      <c r="R22" s="62" t="s">
        <v>83</v>
      </c>
    </row>
    <row r="23" spans="1:18" x14ac:dyDescent="0.35">
      <c r="A23" t="s">
        <v>102</v>
      </c>
      <c r="B23" t="s">
        <v>604</v>
      </c>
      <c r="C23" s="108">
        <v>25</v>
      </c>
      <c r="D23" s="108">
        <v>0</v>
      </c>
      <c r="E23" s="108">
        <v>25</v>
      </c>
      <c r="F23">
        <v>0</v>
      </c>
      <c r="G23" s="108">
        <v>75</v>
      </c>
      <c r="H23" s="108">
        <v>0</v>
      </c>
      <c r="I23" s="108">
        <v>8.333333333333</v>
      </c>
      <c r="J23">
        <v>3.0000000000001199</v>
      </c>
      <c r="K23">
        <v>50</v>
      </c>
      <c r="L23">
        <v>65.319999999999993</v>
      </c>
      <c r="M23">
        <v>55</v>
      </c>
      <c r="N23">
        <v>56.773333333333298</v>
      </c>
      <c r="O23">
        <v>0.44034758102395499</v>
      </c>
      <c r="P23" s="62" t="str">
        <f>+RIGHT(Tabla2[[#This Row],[Item-Codigo]], LEN(Tabla2[[#This Row],[Item-Codigo]]) - FIND(" |", Tabla2[[#This Row],[Item-Codigo]]) - 1)</f>
        <v>340.1</v>
      </c>
      <c r="Q23" s="62" t="s">
        <v>529</v>
      </c>
      <c r="R23" s="62" t="s">
        <v>84</v>
      </c>
    </row>
    <row r="24" spans="1:18" x14ac:dyDescent="0.35">
      <c r="A24" t="s">
        <v>102</v>
      </c>
      <c r="B24" t="s">
        <v>1216</v>
      </c>
      <c r="C24" s="108">
        <v>0</v>
      </c>
      <c r="D24" s="108">
        <v>0</v>
      </c>
      <c r="E24" s="108">
        <v>0</v>
      </c>
      <c r="F24">
        <v>0</v>
      </c>
      <c r="G24" s="108">
        <v>25</v>
      </c>
      <c r="H24" s="108">
        <v>0</v>
      </c>
      <c r="I24" s="108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62" t="str">
        <f>+RIGHT(Tabla2[[#This Row],[Item-Codigo]], LEN(Tabla2[[#This Row],[Item-Codigo]]) - FIND(" |", Tabla2[[#This Row],[Item-Codigo]]) - 1)</f>
        <v>33</v>
      </c>
      <c r="Q24" s="62">
        <v>33</v>
      </c>
      <c r="R24" s="62" t="s">
        <v>1216</v>
      </c>
    </row>
    <row r="25" spans="1:18" x14ac:dyDescent="0.35">
      <c r="A25" t="s">
        <v>102</v>
      </c>
      <c r="B25" t="s">
        <v>1181</v>
      </c>
      <c r="C25" s="108">
        <v>4</v>
      </c>
      <c r="D25" s="108">
        <v>0</v>
      </c>
      <c r="E25" s="108">
        <v>4</v>
      </c>
      <c r="F25">
        <v>0</v>
      </c>
      <c r="G25" s="108">
        <v>0</v>
      </c>
      <c r="H25" s="108">
        <v>0</v>
      </c>
      <c r="I25" s="108">
        <v>0</v>
      </c>
      <c r="J25">
        <v>0</v>
      </c>
      <c r="K25">
        <v>4</v>
      </c>
      <c r="L25">
        <v>0</v>
      </c>
      <c r="M25">
        <v>0</v>
      </c>
      <c r="N25">
        <v>4</v>
      </c>
      <c r="O25">
        <v>1</v>
      </c>
      <c r="P25" s="62" t="str">
        <f>+RIGHT(Tabla2[[#This Row],[Item-Codigo]], LEN(Tabla2[[#This Row],[Item-Codigo]]) - FIND(" |", Tabla2[[#This Row],[Item-Codigo]]) - 1)</f>
        <v>522</v>
      </c>
      <c r="Q25" s="62">
        <v>522</v>
      </c>
      <c r="R25" s="62" t="s">
        <v>1186</v>
      </c>
    </row>
    <row r="26" spans="1:18" x14ac:dyDescent="0.35">
      <c r="A26" t="s">
        <v>102</v>
      </c>
      <c r="B26" t="s">
        <v>605</v>
      </c>
      <c r="C26" s="108">
        <v>660</v>
      </c>
      <c r="D26" s="108">
        <v>0</v>
      </c>
      <c r="E26" s="108">
        <v>660</v>
      </c>
      <c r="F26">
        <v>0</v>
      </c>
      <c r="G26" s="108">
        <v>0</v>
      </c>
      <c r="H26" s="108">
        <v>80</v>
      </c>
      <c r="I26" s="108">
        <v>66.666666666666003</v>
      </c>
      <c r="J26">
        <v>8.25</v>
      </c>
      <c r="K26">
        <v>300</v>
      </c>
      <c r="L26">
        <v>322</v>
      </c>
      <c r="M26">
        <v>340</v>
      </c>
      <c r="N26">
        <v>320.66666666666703</v>
      </c>
      <c r="O26">
        <v>2.0582120582120602</v>
      </c>
      <c r="P26" s="62" t="str">
        <f>+RIGHT(Tabla2[[#This Row],[Item-Codigo]], LEN(Tabla2[[#This Row],[Item-Codigo]]) - FIND(" |", Tabla2[[#This Row],[Item-Codigo]]) - 1)</f>
        <v>936</v>
      </c>
      <c r="Q26" s="62">
        <v>936</v>
      </c>
      <c r="R26" s="62" t="s">
        <v>85</v>
      </c>
    </row>
    <row r="27" spans="1:18" x14ac:dyDescent="0.35">
      <c r="A27" t="s">
        <v>102</v>
      </c>
      <c r="B27" t="s">
        <v>606</v>
      </c>
      <c r="C27" s="108">
        <v>140</v>
      </c>
      <c r="D27" s="108">
        <v>0</v>
      </c>
      <c r="E27" s="108">
        <v>140</v>
      </c>
      <c r="F27">
        <v>0</v>
      </c>
      <c r="G27" s="108">
        <v>0</v>
      </c>
      <c r="H27" s="108">
        <v>0</v>
      </c>
      <c r="I27" s="108">
        <v>6.6666666666659999</v>
      </c>
      <c r="J27">
        <v>21.0000000000021</v>
      </c>
      <c r="K27">
        <v>40</v>
      </c>
      <c r="L27">
        <v>41.8</v>
      </c>
      <c r="M27">
        <v>40</v>
      </c>
      <c r="N27">
        <v>40.6</v>
      </c>
      <c r="O27">
        <v>3.4482758620689702</v>
      </c>
      <c r="P27" s="62" t="str">
        <f>+RIGHT(Tabla2[[#This Row],[Item-Codigo]], LEN(Tabla2[[#This Row],[Item-Codigo]]) - FIND(" |", Tabla2[[#This Row],[Item-Codigo]]) - 1)</f>
        <v>937</v>
      </c>
      <c r="Q27" s="62">
        <v>937</v>
      </c>
      <c r="R27" s="62" t="s">
        <v>86</v>
      </c>
    </row>
    <row r="28" spans="1:18" x14ac:dyDescent="0.35">
      <c r="A28" t="s">
        <v>102</v>
      </c>
      <c r="B28" t="s">
        <v>607</v>
      </c>
      <c r="C28" s="108">
        <v>75</v>
      </c>
      <c r="D28" s="108">
        <v>0</v>
      </c>
      <c r="E28" s="108">
        <v>75</v>
      </c>
      <c r="F28">
        <v>0</v>
      </c>
      <c r="G28" s="108">
        <v>0</v>
      </c>
      <c r="H28" s="108">
        <v>0</v>
      </c>
      <c r="I28" s="108">
        <v>0</v>
      </c>
      <c r="J28">
        <v>0</v>
      </c>
      <c r="K28">
        <v>25.92</v>
      </c>
      <c r="L28">
        <v>61.639400000000002</v>
      </c>
      <c r="M28">
        <v>38.71</v>
      </c>
      <c r="N28">
        <v>42.089799999999997</v>
      </c>
      <c r="O28">
        <v>1.7819044043925101</v>
      </c>
      <c r="P28" s="62" t="str">
        <f>+RIGHT(Tabla2[[#This Row],[Item-Codigo]], LEN(Tabla2[[#This Row],[Item-Codigo]]) - FIND(" |", Tabla2[[#This Row],[Item-Codigo]]) - 1)</f>
        <v>520.5</v>
      </c>
      <c r="Q28" s="62" t="s">
        <v>546</v>
      </c>
      <c r="R28" s="62" t="s">
        <v>87</v>
      </c>
    </row>
    <row r="29" spans="1:18" x14ac:dyDescent="0.35">
      <c r="A29" t="s">
        <v>102</v>
      </c>
      <c r="B29" t="s">
        <v>958</v>
      </c>
      <c r="C29" s="108">
        <v>125</v>
      </c>
      <c r="D29" s="108">
        <v>0</v>
      </c>
      <c r="E29" s="108">
        <v>125</v>
      </c>
      <c r="F29">
        <v>0</v>
      </c>
      <c r="G29" s="108">
        <v>0</v>
      </c>
      <c r="H29" s="108">
        <v>50</v>
      </c>
      <c r="I29" s="108">
        <v>16.666666666666</v>
      </c>
      <c r="J29">
        <v>2.5</v>
      </c>
      <c r="K29">
        <v>75</v>
      </c>
      <c r="L29">
        <v>80.599999999999994</v>
      </c>
      <c r="M29">
        <v>92</v>
      </c>
      <c r="N29">
        <v>82.533333333333303</v>
      </c>
      <c r="O29">
        <v>1.51453957996769</v>
      </c>
      <c r="P29" s="62" t="str">
        <f>+RIGHT(Tabla2[[#This Row],[Item-Codigo]], LEN(Tabla2[[#This Row],[Item-Codigo]]) - FIND(" |", Tabla2[[#This Row],[Item-Codigo]]) - 1)</f>
        <v>920</v>
      </c>
      <c r="Q29" s="62">
        <v>920</v>
      </c>
      <c r="R29" s="62" t="s">
        <v>1074</v>
      </c>
    </row>
    <row r="30" spans="1:18" x14ac:dyDescent="0.35">
      <c r="A30" t="s">
        <v>102</v>
      </c>
      <c r="B30" t="s">
        <v>609</v>
      </c>
      <c r="C30" s="108">
        <v>119</v>
      </c>
      <c r="D30" s="108">
        <v>0</v>
      </c>
      <c r="E30" s="108">
        <v>119</v>
      </c>
      <c r="F30">
        <v>0</v>
      </c>
      <c r="G30" s="108">
        <v>0</v>
      </c>
      <c r="H30" s="108">
        <v>11</v>
      </c>
      <c r="I30" s="108">
        <v>17</v>
      </c>
      <c r="J30">
        <v>7</v>
      </c>
      <c r="K30">
        <v>126</v>
      </c>
      <c r="L30">
        <v>105.79</v>
      </c>
      <c r="M30">
        <v>104.68</v>
      </c>
      <c r="N30">
        <v>112.15666666666699</v>
      </c>
      <c r="O30">
        <v>1.06101584093678</v>
      </c>
      <c r="P30" s="62" t="str">
        <f>+RIGHT(Tabla2[[#This Row],[Item-Codigo]], LEN(Tabla2[[#This Row],[Item-Codigo]]) - FIND(" |", Tabla2[[#This Row],[Item-Codigo]]) - 1)</f>
        <v>912.5</v>
      </c>
      <c r="Q30" s="62" t="s">
        <v>555</v>
      </c>
      <c r="R30" s="62" t="s">
        <v>90</v>
      </c>
    </row>
    <row r="31" spans="1:18" x14ac:dyDescent="0.35">
      <c r="A31" t="s">
        <v>102</v>
      </c>
      <c r="B31" t="s">
        <v>610</v>
      </c>
      <c r="C31" s="108">
        <v>375</v>
      </c>
      <c r="D31" s="108">
        <v>0</v>
      </c>
      <c r="E31" s="108">
        <v>375</v>
      </c>
      <c r="F31">
        <v>0</v>
      </c>
      <c r="G31" s="108">
        <v>700</v>
      </c>
      <c r="H31" s="108">
        <v>0</v>
      </c>
      <c r="I31" s="108">
        <v>50</v>
      </c>
      <c r="J31">
        <v>7.5</v>
      </c>
      <c r="K31">
        <v>300</v>
      </c>
      <c r="L31">
        <v>325</v>
      </c>
      <c r="M31">
        <v>300</v>
      </c>
      <c r="N31">
        <v>308.33333333333297</v>
      </c>
      <c r="O31">
        <v>1.21621621621622</v>
      </c>
      <c r="P31" s="62" t="str">
        <f>+RIGHT(Tabla2[[#This Row],[Item-Codigo]], LEN(Tabla2[[#This Row],[Item-Codigo]]) - FIND(" |", Tabla2[[#This Row],[Item-Codigo]]) - 1)</f>
        <v>492.12</v>
      </c>
      <c r="Q31" s="62" t="s">
        <v>539</v>
      </c>
      <c r="R31" s="62" t="s">
        <v>91</v>
      </c>
    </row>
    <row r="32" spans="1:18" x14ac:dyDescent="0.35">
      <c r="A32" t="s">
        <v>102</v>
      </c>
      <c r="B32" t="s">
        <v>611</v>
      </c>
      <c r="C32" s="108">
        <v>200</v>
      </c>
      <c r="D32" s="108">
        <v>0</v>
      </c>
      <c r="E32" s="108">
        <v>200</v>
      </c>
      <c r="F32">
        <v>0</v>
      </c>
      <c r="G32" s="108">
        <v>600</v>
      </c>
      <c r="H32" s="108">
        <v>134.19999999999999</v>
      </c>
      <c r="I32" s="108">
        <v>127.033333333333</v>
      </c>
      <c r="J32">
        <v>1.4903129657228</v>
      </c>
      <c r="K32">
        <v>648.428</v>
      </c>
      <c r="L32">
        <v>591.12800000000004</v>
      </c>
      <c r="M32">
        <v>574.52</v>
      </c>
      <c r="N32">
        <v>604.69200000000001</v>
      </c>
      <c r="O32">
        <v>0.33074689263294399</v>
      </c>
      <c r="P32" s="62" t="str">
        <f>+RIGHT(Tabla2[[#This Row],[Item-Codigo]], LEN(Tabla2[[#This Row],[Item-Codigo]]) - FIND(" |", Tabla2[[#This Row],[Item-Codigo]]) - 1)</f>
        <v>550</v>
      </c>
      <c r="Q32" s="62">
        <v>550</v>
      </c>
      <c r="R32" s="62" t="s">
        <v>92</v>
      </c>
    </row>
    <row r="33" spans="1:18" x14ac:dyDescent="0.35">
      <c r="A33" t="s">
        <v>102</v>
      </c>
      <c r="B33" t="s">
        <v>613</v>
      </c>
      <c r="C33" s="108">
        <v>1485</v>
      </c>
      <c r="D33" s="108">
        <v>0</v>
      </c>
      <c r="E33" s="108">
        <v>385</v>
      </c>
      <c r="F33">
        <v>1100</v>
      </c>
      <c r="G33" s="108">
        <v>1100</v>
      </c>
      <c r="H33" s="108">
        <v>655</v>
      </c>
      <c r="I33" s="108">
        <v>378.33333333333297</v>
      </c>
      <c r="J33">
        <v>2.2671755725190801</v>
      </c>
      <c r="K33">
        <v>740</v>
      </c>
      <c r="L33">
        <v>900</v>
      </c>
      <c r="M33">
        <v>1180</v>
      </c>
      <c r="N33">
        <v>940</v>
      </c>
      <c r="O33">
        <v>1.5797872340425501</v>
      </c>
      <c r="P33" s="62" t="str">
        <f>+RIGHT(Tabla2[[#This Row],[Item-Codigo]], LEN(Tabla2[[#This Row],[Item-Codigo]]) - FIND(" |", Tabla2[[#This Row],[Item-Codigo]]) - 1)</f>
        <v>173</v>
      </c>
      <c r="Q33" s="62">
        <v>173</v>
      </c>
      <c r="R33" s="62" t="s">
        <v>138</v>
      </c>
    </row>
    <row r="34" spans="1:18" x14ac:dyDescent="0.35">
      <c r="A34" t="s">
        <v>102</v>
      </c>
      <c r="B34" t="s">
        <v>614</v>
      </c>
      <c r="C34" s="108">
        <v>1230</v>
      </c>
      <c r="D34" s="108">
        <v>0</v>
      </c>
      <c r="E34" s="108">
        <v>1230</v>
      </c>
      <c r="F34">
        <v>0</v>
      </c>
      <c r="G34" s="108">
        <v>0</v>
      </c>
      <c r="H34" s="108">
        <v>270</v>
      </c>
      <c r="I34" s="108">
        <v>310</v>
      </c>
      <c r="J34">
        <v>3.9677419354838701</v>
      </c>
      <c r="K34">
        <v>1370</v>
      </c>
      <c r="L34">
        <v>1020</v>
      </c>
      <c r="M34">
        <v>1170</v>
      </c>
      <c r="N34">
        <v>1186.6666666666699</v>
      </c>
      <c r="O34">
        <v>1.03651685393258</v>
      </c>
      <c r="P34" s="62" t="str">
        <f>+RIGHT(Tabla2[[#This Row],[Item-Codigo]], LEN(Tabla2[[#This Row],[Item-Codigo]]) - FIND(" |", Tabla2[[#This Row],[Item-Codigo]]) - 1)</f>
        <v>742</v>
      </c>
      <c r="Q34" s="62">
        <v>742</v>
      </c>
      <c r="R34" s="62" t="s">
        <v>147</v>
      </c>
    </row>
    <row r="35" spans="1:18" x14ac:dyDescent="0.35">
      <c r="A35" t="s">
        <v>102</v>
      </c>
      <c r="B35" t="s">
        <v>615</v>
      </c>
      <c r="C35" s="108">
        <v>1000</v>
      </c>
      <c r="D35" s="108">
        <v>0</v>
      </c>
      <c r="E35" s="108">
        <v>1000</v>
      </c>
      <c r="F35">
        <v>0</v>
      </c>
      <c r="G35" s="108">
        <v>0</v>
      </c>
      <c r="H35" s="108">
        <v>720</v>
      </c>
      <c r="I35" s="108">
        <v>240</v>
      </c>
      <c r="J35">
        <v>1.3888888888888899</v>
      </c>
      <c r="K35">
        <v>1120</v>
      </c>
      <c r="L35">
        <v>800</v>
      </c>
      <c r="M35">
        <v>1440</v>
      </c>
      <c r="N35">
        <v>1120</v>
      </c>
      <c r="O35">
        <v>0.89285714285714302</v>
      </c>
      <c r="P35" s="62" t="str">
        <f>+RIGHT(Tabla2[[#This Row],[Item-Codigo]], LEN(Tabla2[[#This Row],[Item-Codigo]]) - FIND(" |", Tabla2[[#This Row],[Item-Codigo]]) - 1)</f>
        <v>741</v>
      </c>
      <c r="Q35" s="62">
        <v>741</v>
      </c>
      <c r="R35" s="62" t="s">
        <v>146</v>
      </c>
    </row>
    <row r="36" spans="1:18" x14ac:dyDescent="0.35">
      <c r="A36" t="s">
        <v>102</v>
      </c>
      <c r="B36" t="s">
        <v>616</v>
      </c>
      <c r="C36" s="108">
        <v>1420</v>
      </c>
      <c r="D36" s="108">
        <v>0</v>
      </c>
      <c r="E36" s="108">
        <v>1420</v>
      </c>
      <c r="F36">
        <v>0</v>
      </c>
      <c r="G36" s="108">
        <v>0</v>
      </c>
      <c r="H36" s="108">
        <v>960</v>
      </c>
      <c r="I36" s="108">
        <v>373.33333333333297</v>
      </c>
      <c r="J36">
        <v>1.4791666666666701</v>
      </c>
      <c r="K36">
        <v>1600</v>
      </c>
      <c r="L36">
        <v>1120</v>
      </c>
      <c r="M36">
        <v>1920</v>
      </c>
      <c r="N36">
        <v>1546.6666666666699</v>
      </c>
      <c r="O36">
        <v>0.91810344827586199</v>
      </c>
      <c r="P36" s="62" t="str">
        <f>+RIGHT(Tabla2[[#This Row],[Item-Codigo]], LEN(Tabla2[[#This Row],[Item-Codigo]]) - FIND(" |", Tabla2[[#This Row],[Item-Codigo]]) - 1)</f>
        <v>740</v>
      </c>
      <c r="Q36" s="62">
        <v>740</v>
      </c>
      <c r="R36" s="62" t="s">
        <v>143</v>
      </c>
    </row>
    <row r="37" spans="1:18" x14ac:dyDescent="0.35">
      <c r="A37" t="s">
        <v>102</v>
      </c>
      <c r="B37" t="s">
        <v>1081</v>
      </c>
      <c r="C37" s="108">
        <v>294</v>
      </c>
      <c r="D37" s="108">
        <v>0</v>
      </c>
      <c r="E37" s="108">
        <v>294</v>
      </c>
      <c r="F37">
        <v>0</v>
      </c>
      <c r="G37" s="108">
        <v>0</v>
      </c>
      <c r="H37" s="108">
        <v>0</v>
      </c>
      <c r="I37" s="108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62" t="str">
        <f>+RIGHT(Tabla2[[#This Row],[Item-Codigo]], LEN(Tabla2[[#This Row],[Item-Codigo]]) - FIND(" |", Tabla2[[#This Row],[Item-Codigo]]) - 1)</f>
        <v>1040</v>
      </c>
      <c r="Q37" s="62">
        <v>1040</v>
      </c>
      <c r="R37" s="62" t="s">
        <v>1083</v>
      </c>
    </row>
    <row r="38" spans="1:18" x14ac:dyDescent="0.35">
      <c r="A38" t="s">
        <v>102</v>
      </c>
      <c r="B38" t="s">
        <v>1185</v>
      </c>
      <c r="C38" s="108">
        <v>0</v>
      </c>
      <c r="D38" s="108">
        <v>0</v>
      </c>
      <c r="E38" s="108">
        <v>0</v>
      </c>
      <c r="F38">
        <v>0</v>
      </c>
      <c r="G38" s="108">
        <v>7000</v>
      </c>
      <c r="H38" s="108">
        <v>0</v>
      </c>
      <c r="I38" s="10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62" t="str">
        <f>+RIGHT(Tabla2[[#This Row],[Item-Codigo]], LEN(Tabla2[[#This Row],[Item-Codigo]]) - FIND(" |", Tabla2[[#This Row],[Item-Codigo]]) - 1)</f>
        <v>1055</v>
      </c>
      <c r="Q38" s="62">
        <v>1055</v>
      </c>
      <c r="R38" s="62" t="s">
        <v>1187</v>
      </c>
    </row>
    <row r="39" spans="1:18" x14ac:dyDescent="0.35">
      <c r="A39" t="s">
        <v>102</v>
      </c>
      <c r="B39" t="s">
        <v>617</v>
      </c>
      <c r="C39" s="108">
        <v>125</v>
      </c>
      <c r="D39" s="108">
        <v>0</v>
      </c>
      <c r="E39" s="108">
        <v>0</v>
      </c>
      <c r="F39">
        <v>125</v>
      </c>
      <c r="G39" s="108">
        <v>125</v>
      </c>
      <c r="H39" s="108">
        <v>56</v>
      </c>
      <c r="I39" s="108">
        <v>43.666666666666003</v>
      </c>
      <c r="J39">
        <v>2.2321428571428599</v>
      </c>
      <c r="K39">
        <v>176</v>
      </c>
      <c r="L39">
        <v>151.304</v>
      </c>
      <c r="M39">
        <v>119.45399999999999</v>
      </c>
      <c r="N39">
        <v>148.91933333333299</v>
      </c>
      <c r="O39">
        <v>0.83938060426450101</v>
      </c>
      <c r="P39" s="62" t="str">
        <f>+RIGHT(Tabla2[[#This Row],[Item-Codigo]], LEN(Tabla2[[#This Row],[Item-Codigo]]) - FIND(" |", Tabla2[[#This Row],[Item-Codigo]]) - 1)</f>
        <v>1016</v>
      </c>
      <c r="Q39" s="62">
        <v>1016</v>
      </c>
      <c r="R39" s="62" t="s">
        <v>177</v>
      </c>
    </row>
    <row r="40" spans="1:18" x14ac:dyDescent="0.35">
      <c r="A40" t="s">
        <v>102</v>
      </c>
      <c r="B40" t="s">
        <v>959</v>
      </c>
      <c r="C40" s="108">
        <v>1741.24</v>
      </c>
      <c r="D40" s="108">
        <v>0</v>
      </c>
      <c r="E40" s="108">
        <v>1741.24</v>
      </c>
      <c r="F40">
        <v>0</v>
      </c>
      <c r="G40" s="108">
        <v>0</v>
      </c>
      <c r="H40" s="108">
        <v>0</v>
      </c>
      <c r="I40" s="108">
        <v>0</v>
      </c>
      <c r="J40">
        <v>0</v>
      </c>
      <c r="K40">
        <v>0</v>
      </c>
      <c r="L40">
        <v>0</v>
      </c>
      <c r="M40">
        <v>1017.152</v>
      </c>
      <c r="N40">
        <v>1017.152</v>
      </c>
      <c r="O40">
        <v>1.7118778707607101</v>
      </c>
      <c r="P40" s="62" t="str">
        <f>+RIGHT(Tabla2[[#This Row],[Item-Codigo]], LEN(Tabla2[[#This Row],[Item-Codigo]]) - FIND(" |", Tabla2[[#This Row],[Item-Codigo]]) - 1)</f>
        <v>922</v>
      </c>
      <c r="Q40" s="62">
        <v>922</v>
      </c>
      <c r="R40" s="62" t="s">
        <v>959</v>
      </c>
    </row>
    <row r="41" spans="1:18" x14ac:dyDescent="0.35">
      <c r="A41" t="s">
        <v>102</v>
      </c>
      <c r="B41" t="s">
        <v>1217</v>
      </c>
      <c r="C41" s="108">
        <v>0</v>
      </c>
      <c r="D41" s="108">
        <v>0</v>
      </c>
      <c r="E41" s="108">
        <v>0</v>
      </c>
      <c r="F41">
        <v>0</v>
      </c>
      <c r="G41" s="108">
        <v>200</v>
      </c>
      <c r="H41" s="108">
        <v>50</v>
      </c>
      <c r="I41" s="108">
        <v>16.666666666666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62" t="str">
        <f>+RIGHT(Tabla2[[#This Row],[Item-Codigo]], LEN(Tabla2[[#This Row],[Item-Codigo]]) - FIND(" |", Tabla2[[#This Row],[Item-Codigo]]) - 1)</f>
        <v>510</v>
      </c>
      <c r="Q41" s="62">
        <v>510</v>
      </c>
      <c r="R41" s="62" t="s">
        <v>1217</v>
      </c>
    </row>
    <row r="42" spans="1:18" x14ac:dyDescent="0.35">
      <c r="A42" t="s">
        <v>102</v>
      </c>
      <c r="B42" t="s">
        <v>1218</v>
      </c>
      <c r="C42" s="108">
        <v>0</v>
      </c>
      <c r="D42" s="108">
        <v>0</v>
      </c>
      <c r="E42" s="108">
        <v>0</v>
      </c>
      <c r="F42">
        <v>0</v>
      </c>
      <c r="G42" s="108">
        <v>40</v>
      </c>
      <c r="H42" s="108">
        <v>0</v>
      </c>
      <c r="I42" s="108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62" t="str">
        <f>+RIGHT(Tabla2[[#This Row],[Item-Codigo]], LEN(Tabla2[[#This Row],[Item-Codigo]]) - FIND(" |", Tabla2[[#This Row],[Item-Codigo]]) - 1)</f>
        <v>32</v>
      </c>
      <c r="Q42" s="62">
        <v>32</v>
      </c>
      <c r="R42" s="62" t="s">
        <v>1218</v>
      </c>
    </row>
    <row r="43" spans="1:18" x14ac:dyDescent="0.35">
      <c r="A43" t="s">
        <v>102</v>
      </c>
      <c r="B43" t="s">
        <v>619</v>
      </c>
      <c r="C43" s="108">
        <v>2425</v>
      </c>
      <c r="D43" s="108">
        <v>0</v>
      </c>
      <c r="E43" s="108">
        <v>2425</v>
      </c>
      <c r="F43">
        <v>0</v>
      </c>
      <c r="G43" s="108">
        <v>0</v>
      </c>
      <c r="H43" s="108">
        <v>625</v>
      </c>
      <c r="I43" s="108">
        <v>603.93333333333305</v>
      </c>
      <c r="J43">
        <v>3.88</v>
      </c>
      <c r="K43">
        <v>3115.8</v>
      </c>
      <c r="L43">
        <v>2900</v>
      </c>
      <c r="M43">
        <v>3626</v>
      </c>
      <c r="N43">
        <v>3213.9333333333302</v>
      </c>
      <c r="O43">
        <v>0.75452716297786704</v>
      </c>
      <c r="P43" s="62" t="str">
        <f>+RIGHT(Tabla2[[#This Row],[Item-Codigo]], LEN(Tabla2[[#This Row],[Item-Codigo]]) - FIND(" |", Tabla2[[#This Row],[Item-Codigo]]) - 1)</f>
        <v>439</v>
      </c>
      <c r="Q43" s="62">
        <v>439</v>
      </c>
      <c r="R43" s="62" t="s">
        <v>137</v>
      </c>
    </row>
    <row r="44" spans="1:18" x14ac:dyDescent="0.35">
      <c r="A44" t="s">
        <v>102</v>
      </c>
      <c r="B44" t="s">
        <v>620</v>
      </c>
      <c r="C44" s="108">
        <v>3330</v>
      </c>
      <c r="D44" s="108">
        <v>0</v>
      </c>
      <c r="E44" s="108">
        <v>3330</v>
      </c>
      <c r="F44">
        <v>0</v>
      </c>
      <c r="G44" s="108">
        <v>3180</v>
      </c>
      <c r="H44" s="108">
        <v>378</v>
      </c>
      <c r="I44" s="108">
        <v>336</v>
      </c>
      <c r="J44">
        <v>8.8095238095238102</v>
      </c>
      <c r="K44">
        <v>1864</v>
      </c>
      <c r="L44">
        <v>2100</v>
      </c>
      <c r="M44">
        <v>2070</v>
      </c>
      <c r="N44">
        <v>2011.3333333333301</v>
      </c>
      <c r="O44">
        <v>1.6556181637388101</v>
      </c>
      <c r="P44" s="62" t="str">
        <f>+RIGHT(Tabla2[[#This Row],[Item-Codigo]], LEN(Tabla2[[#This Row],[Item-Codigo]]) - FIND(" |", Tabla2[[#This Row],[Item-Codigo]]) - 1)</f>
        <v>488.1</v>
      </c>
      <c r="Q44" s="62" t="s">
        <v>538</v>
      </c>
      <c r="R44" s="62" t="s">
        <v>149</v>
      </c>
    </row>
    <row r="45" spans="1:18" x14ac:dyDescent="0.35">
      <c r="A45" t="s">
        <v>102</v>
      </c>
      <c r="B45" t="s">
        <v>621</v>
      </c>
      <c r="C45" s="108">
        <v>270</v>
      </c>
      <c r="D45" s="108">
        <v>0</v>
      </c>
      <c r="E45" s="108">
        <v>270</v>
      </c>
      <c r="F45">
        <v>0</v>
      </c>
      <c r="G45" s="108">
        <v>0</v>
      </c>
      <c r="H45" s="108">
        <v>30</v>
      </c>
      <c r="I45" s="108">
        <v>40</v>
      </c>
      <c r="J45">
        <v>6.75</v>
      </c>
      <c r="K45">
        <v>180</v>
      </c>
      <c r="L45">
        <v>180</v>
      </c>
      <c r="M45">
        <v>120</v>
      </c>
      <c r="N45">
        <v>160</v>
      </c>
      <c r="O45">
        <v>1.6875</v>
      </c>
      <c r="P45" s="62" t="str">
        <f>+RIGHT(Tabla2[[#This Row],[Item-Codigo]], LEN(Tabla2[[#This Row],[Item-Codigo]]) - FIND(" |", Tabla2[[#This Row],[Item-Codigo]]) - 1)</f>
        <v>498.1</v>
      </c>
      <c r="Q45" s="62" t="s">
        <v>542</v>
      </c>
      <c r="R45" s="62" t="s">
        <v>157</v>
      </c>
    </row>
    <row r="46" spans="1:18" x14ac:dyDescent="0.35">
      <c r="A46" t="s">
        <v>102</v>
      </c>
      <c r="B46" t="s">
        <v>960</v>
      </c>
      <c r="C46" s="108">
        <v>540</v>
      </c>
      <c r="D46" s="108">
        <v>0</v>
      </c>
      <c r="E46" s="108">
        <v>540</v>
      </c>
      <c r="F46">
        <v>0</v>
      </c>
      <c r="G46" s="108">
        <v>0</v>
      </c>
      <c r="H46" s="108">
        <v>90</v>
      </c>
      <c r="I46" s="108">
        <v>90</v>
      </c>
      <c r="J46">
        <v>6</v>
      </c>
      <c r="K46">
        <v>517.6</v>
      </c>
      <c r="L46">
        <v>490.5</v>
      </c>
      <c r="M46">
        <v>458.52</v>
      </c>
      <c r="N46">
        <v>488.87333333333299</v>
      </c>
      <c r="O46">
        <v>1.1045806002918299</v>
      </c>
      <c r="P46" s="62" t="str">
        <f>+RIGHT(Tabla2[[#This Row],[Item-Codigo]], LEN(Tabla2[[#This Row],[Item-Codigo]]) - FIND(" |", Tabla2[[#This Row],[Item-Codigo]]) - 1)</f>
        <v>499.12</v>
      </c>
      <c r="Q46" s="62" t="s">
        <v>544</v>
      </c>
      <c r="R46" s="62" t="s">
        <v>972</v>
      </c>
    </row>
    <row r="47" spans="1:18" x14ac:dyDescent="0.35">
      <c r="A47" t="s">
        <v>102</v>
      </c>
      <c r="B47" t="s">
        <v>623</v>
      </c>
      <c r="C47" s="108">
        <v>3030</v>
      </c>
      <c r="D47" s="108">
        <v>0</v>
      </c>
      <c r="E47" s="108">
        <v>3030</v>
      </c>
      <c r="F47">
        <v>0</v>
      </c>
      <c r="G47" s="108">
        <v>2520</v>
      </c>
      <c r="H47" s="108">
        <v>480</v>
      </c>
      <c r="I47" s="108">
        <v>430</v>
      </c>
      <c r="J47">
        <v>6.3125</v>
      </c>
      <c r="K47">
        <v>2220</v>
      </c>
      <c r="L47">
        <v>2077.6</v>
      </c>
      <c r="M47">
        <v>2286</v>
      </c>
      <c r="N47">
        <v>2194.5333333333301</v>
      </c>
      <c r="O47">
        <v>1.38070356643782</v>
      </c>
      <c r="P47" s="62" t="str">
        <f>+RIGHT(Tabla2[[#This Row],[Item-Codigo]], LEN(Tabla2[[#This Row],[Item-Codigo]]) - FIND(" |", Tabla2[[#This Row],[Item-Codigo]]) - 1)</f>
        <v>499.11</v>
      </c>
      <c r="Q47" s="62" t="s">
        <v>543</v>
      </c>
      <c r="R47" s="62" t="s">
        <v>142</v>
      </c>
    </row>
    <row r="48" spans="1:18" x14ac:dyDescent="0.35">
      <c r="A48" t="s">
        <v>102</v>
      </c>
      <c r="B48" t="s">
        <v>624</v>
      </c>
      <c r="C48" s="108">
        <v>8050</v>
      </c>
      <c r="D48" s="108">
        <v>0</v>
      </c>
      <c r="E48" s="108">
        <v>8050</v>
      </c>
      <c r="F48">
        <v>0</v>
      </c>
      <c r="G48" s="108">
        <v>0</v>
      </c>
      <c r="H48" s="108">
        <v>1250</v>
      </c>
      <c r="I48" s="108">
        <v>1450</v>
      </c>
      <c r="J48">
        <v>5.5517241379310303</v>
      </c>
      <c r="K48">
        <v>5550</v>
      </c>
      <c r="L48">
        <v>8099</v>
      </c>
      <c r="M48">
        <v>6442</v>
      </c>
      <c r="N48">
        <v>6697</v>
      </c>
      <c r="O48">
        <v>1.2020307600418101</v>
      </c>
      <c r="P48" s="62" t="str">
        <f>+RIGHT(Tabla2[[#This Row],[Item-Codigo]], LEN(Tabla2[[#This Row],[Item-Codigo]]) - FIND(" |", Tabla2[[#This Row],[Item-Codigo]]) - 1)</f>
        <v>910</v>
      </c>
      <c r="Q48" s="62">
        <v>910</v>
      </c>
      <c r="R48" s="62" t="s">
        <v>136</v>
      </c>
    </row>
    <row r="49" spans="1:18" x14ac:dyDescent="0.35">
      <c r="A49" t="s">
        <v>102</v>
      </c>
      <c r="B49" t="s">
        <v>625</v>
      </c>
      <c r="C49" s="108">
        <v>2600</v>
      </c>
      <c r="D49" s="108">
        <v>0</v>
      </c>
      <c r="E49" s="108">
        <v>2600</v>
      </c>
      <c r="F49">
        <v>0</v>
      </c>
      <c r="G49" s="108">
        <v>0</v>
      </c>
      <c r="H49" s="108">
        <v>250</v>
      </c>
      <c r="I49" s="108">
        <v>292.33333333333297</v>
      </c>
      <c r="J49">
        <v>8.8939566704675102</v>
      </c>
      <c r="K49">
        <v>1425</v>
      </c>
      <c r="L49">
        <v>1929</v>
      </c>
      <c r="M49">
        <v>1650</v>
      </c>
      <c r="N49">
        <v>1668</v>
      </c>
      <c r="O49">
        <v>1.5587529976019201</v>
      </c>
      <c r="P49" s="62" t="str">
        <f>+RIGHT(Tabla2[[#This Row],[Item-Codigo]], LEN(Tabla2[[#This Row],[Item-Codigo]]) - FIND(" |", Tabla2[[#This Row],[Item-Codigo]]) - 1)</f>
        <v>439.3</v>
      </c>
      <c r="Q49" s="62" t="s">
        <v>530</v>
      </c>
      <c r="R49" s="62" t="s">
        <v>178</v>
      </c>
    </row>
    <row r="50" spans="1:18" x14ac:dyDescent="0.35">
      <c r="A50" t="s">
        <v>102</v>
      </c>
      <c r="B50" t="s">
        <v>565</v>
      </c>
      <c r="C50" s="108">
        <v>725</v>
      </c>
      <c r="D50" s="108">
        <v>0</v>
      </c>
      <c r="E50" s="108">
        <v>725</v>
      </c>
      <c r="F50">
        <v>0</v>
      </c>
      <c r="G50" s="108">
        <v>0</v>
      </c>
      <c r="H50" s="108">
        <v>75</v>
      </c>
      <c r="I50" s="108">
        <v>50</v>
      </c>
      <c r="J50">
        <v>9.6666666666666696</v>
      </c>
      <c r="K50">
        <v>250</v>
      </c>
      <c r="L50">
        <v>225</v>
      </c>
      <c r="M50">
        <v>175</v>
      </c>
      <c r="N50">
        <v>216.666666666667</v>
      </c>
      <c r="O50">
        <v>3.3461538461538498</v>
      </c>
      <c r="P50" s="62" t="str">
        <f>+RIGHT(Tabla2[[#This Row],[Item-Codigo]], LEN(Tabla2[[#This Row],[Item-Codigo]]) - FIND(" |", Tabla2[[#This Row],[Item-Codigo]]) - 1)</f>
        <v>600</v>
      </c>
      <c r="Q50" s="62">
        <v>600</v>
      </c>
      <c r="R50" s="62" t="s">
        <v>179</v>
      </c>
    </row>
    <row r="51" spans="1:18" x14ac:dyDescent="0.35">
      <c r="A51" t="s">
        <v>102</v>
      </c>
      <c r="B51" t="s">
        <v>1045</v>
      </c>
      <c r="C51" s="108">
        <v>30</v>
      </c>
      <c r="D51" s="108">
        <v>0</v>
      </c>
      <c r="E51" s="108">
        <v>30</v>
      </c>
      <c r="F51">
        <v>0</v>
      </c>
      <c r="G51" s="108">
        <v>0</v>
      </c>
      <c r="H51" s="108">
        <v>0</v>
      </c>
      <c r="I51" s="108">
        <v>0</v>
      </c>
      <c r="J51">
        <v>0</v>
      </c>
      <c r="K51">
        <v>5</v>
      </c>
      <c r="L51">
        <v>34.4</v>
      </c>
      <c r="M51">
        <v>24.4</v>
      </c>
      <c r="N51">
        <v>21.266666666666701</v>
      </c>
      <c r="O51">
        <v>1.41065830721003</v>
      </c>
      <c r="P51" s="62" t="str">
        <f>+RIGHT(Tabla2[[#This Row],[Item-Codigo]], LEN(Tabla2[[#This Row],[Item-Codigo]]) - FIND(" |", Tabla2[[#This Row],[Item-Codigo]]) - 1)</f>
        <v>913</v>
      </c>
      <c r="Q51" s="62">
        <v>913</v>
      </c>
      <c r="R51" s="62" t="s">
        <v>1048</v>
      </c>
    </row>
    <row r="52" spans="1:18" x14ac:dyDescent="0.35">
      <c r="A52" t="s">
        <v>102</v>
      </c>
      <c r="B52" t="s">
        <v>626</v>
      </c>
      <c r="C52" s="108">
        <v>1750</v>
      </c>
      <c r="D52" s="108">
        <v>0</v>
      </c>
      <c r="E52" s="108">
        <v>1750</v>
      </c>
      <c r="F52">
        <v>0</v>
      </c>
      <c r="G52" s="108">
        <v>0</v>
      </c>
      <c r="H52" s="108">
        <v>725</v>
      </c>
      <c r="I52" s="108">
        <v>616.66666666666595</v>
      </c>
      <c r="J52">
        <v>2.4137931034482798</v>
      </c>
      <c r="K52">
        <v>3200</v>
      </c>
      <c r="L52">
        <v>4445.28</v>
      </c>
      <c r="M52">
        <v>4583</v>
      </c>
      <c r="N52">
        <v>4076.0933333333301</v>
      </c>
      <c r="O52">
        <v>0.42933266166623602</v>
      </c>
      <c r="P52" s="62" t="str">
        <f>+RIGHT(Tabla2[[#This Row],[Item-Codigo]], LEN(Tabla2[[#This Row],[Item-Codigo]]) - FIND(" |", Tabla2[[#This Row],[Item-Codigo]]) - 1)</f>
        <v>990</v>
      </c>
      <c r="Q52" s="62">
        <v>990</v>
      </c>
      <c r="R52" s="62" t="s">
        <v>135</v>
      </c>
    </row>
    <row r="53" spans="1:18" x14ac:dyDescent="0.35">
      <c r="A53" t="s">
        <v>102</v>
      </c>
      <c r="B53" t="s">
        <v>627</v>
      </c>
      <c r="C53" s="108">
        <v>6200</v>
      </c>
      <c r="D53" s="108">
        <v>0</v>
      </c>
      <c r="E53" s="108">
        <v>6200</v>
      </c>
      <c r="F53">
        <v>0</v>
      </c>
      <c r="G53" s="108">
        <v>0</v>
      </c>
      <c r="H53" s="108">
        <v>100</v>
      </c>
      <c r="I53" s="108">
        <v>50</v>
      </c>
      <c r="J53">
        <v>62</v>
      </c>
      <c r="K53">
        <v>101.11</v>
      </c>
      <c r="L53">
        <v>217.166</v>
      </c>
      <c r="M53">
        <v>305.60000000000002</v>
      </c>
      <c r="N53">
        <v>207.958666666667</v>
      </c>
      <c r="O53">
        <v>29.8136168084683</v>
      </c>
      <c r="P53" s="62" t="str">
        <f>+RIGHT(Tabla2[[#This Row],[Item-Codigo]], LEN(Tabla2[[#This Row],[Item-Codigo]]) - FIND(" |", Tabla2[[#This Row],[Item-Codigo]]) - 1)</f>
        <v>701.2</v>
      </c>
      <c r="Q53" s="62" t="s">
        <v>553</v>
      </c>
      <c r="R53" s="62" t="s">
        <v>140</v>
      </c>
    </row>
    <row r="54" spans="1:18" x14ac:dyDescent="0.35">
      <c r="A54" t="s">
        <v>102</v>
      </c>
      <c r="B54" t="s">
        <v>962</v>
      </c>
      <c r="C54" s="108">
        <v>10</v>
      </c>
      <c r="D54" s="108">
        <v>0</v>
      </c>
      <c r="E54" s="108">
        <v>10</v>
      </c>
      <c r="F54">
        <v>0</v>
      </c>
      <c r="G54" s="108">
        <v>0</v>
      </c>
      <c r="H54" s="108">
        <v>0</v>
      </c>
      <c r="I54" s="108">
        <v>0</v>
      </c>
      <c r="J54">
        <v>0</v>
      </c>
      <c r="K54">
        <v>10</v>
      </c>
      <c r="L54">
        <v>0</v>
      </c>
      <c r="M54">
        <v>0</v>
      </c>
      <c r="N54">
        <v>10</v>
      </c>
      <c r="O54">
        <v>1</v>
      </c>
      <c r="P54" s="62" t="str">
        <f>+RIGHT(Tabla2[[#This Row],[Item-Codigo]], LEN(Tabla2[[#This Row],[Item-Codigo]]) - FIND(" |", Tabla2[[#This Row],[Item-Codigo]]) - 1)</f>
        <v>1051</v>
      </c>
      <c r="Q54" s="62">
        <v>1051</v>
      </c>
      <c r="R54" s="62" t="s">
        <v>173</v>
      </c>
    </row>
    <row r="55" spans="1:18" x14ac:dyDescent="0.35">
      <c r="A55" t="s">
        <v>102</v>
      </c>
      <c r="B55" t="s">
        <v>628</v>
      </c>
      <c r="C55" s="108">
        <v>1375</v>
      </c>
      <c r="D55" s="108">
        <v>0</v>
      </c>
      <c r="E55" s="108">
        <v>1375</v>
      </c>
      <c r="F55">
        <v>0</v>
      </c>
      <c r="G55" s="108">
        <v>0</v>
      </c>
      <c r="H55" s="108">
        <v>0</v>
      </c>
      <c r="I55" s="108">
        <v>0</v>
      </c>
      <c r="J55">
        <v>0</v>
      </c>
      <c r="K55">
        <v>0</v>
      </c>
      <c r="L55">
        <v>25</v>
      </c>
      <c r="M55">
        <v>150</v>
      </c>
      <c r="N55">
        <v>87.5</v>
      </c>
      <c r="O55">
        <v>15.714285714285699</v>
      </c>
      <c r="P55" s="62" t="str">
        <f>+RIGHT(Tabla2[[#This Row],[Item-Codigo]], LEN(Tabla2[[#This Row],[Item-Codigo]]) - FIND(" |", Tabla2[[#This Row],[Item-Codigo]]) - 1)</f>
        <v>945</v>
      </c>
      <c r="Q55" s="62">
        <v>945</v>
      </c>
      <c r="R55" s="62" t="s">
        <v>148</v>
      </c>
    </row>
    <row r="56" spans="1:18" x14ac:dyDescent="0.35">
      <c r="A56" t="s">
        <v>102</v>
      </c>
      <c r="B56" t="s">
        <v>963</v>
      </c>
      <c r="C56" s="108">
        <v>50</v>
      </c>
      <c r="D56" s="108">
        <v>0</v>
      </c>
      <c r="E56" s="108">
        <v>50</v>
      </c>
      <c r="F56">
        <v>0</v>
      </c>
      <c r="G56" s="108">
        <v>0</v>
      </c>
      <c r="H56" s="108">
        <v>0</v>
      </c>
      <c r="I56" s="108">
        <v>0</v>
      </c>
      <c r="J56">
        <v>0</v>
      </c>
      <c r="K56">
        <v>35.340000000000003</v>
      </c>
      <c r="L56">
        <v>0</v>
      </c>
      <c r="M56">
        <v>0</v>
      </c>
      <c r="N56">
        <v>35.340000000000003</v>
      </c>
      <c r="O56">
        <v>1.41482739105829</v>
      </c>
      <c r="P56" s="62" t="str">
        <f>+RIGHT(Tabla2[[#This Row],[Item-Codigo]], LEN(Tabla2[[#This Row],[Item-Codigo]]) - FIND(" |", Tabla2[[#This Row],[Item-Codigo]]) - 1)</f>
        <v>311</v>
      </c>
      <c r="Q56" s="62">
        <v>311</v>
      </c>
      <c r="R56" s="62" t="s">
        <v>168</v>
      </c>
    </row>
    <row r="57" spans="1:18" x14ac:dyDescent="0.35">
      <c r="A57" t="s">
        <v>102</v>
      </c>
      <c r="B57" t="s">
        <v>629</v>
      </c>
      <c r="C57" s="108">
        <v>100</v>
      </c>
      <c r="D57" s="108">
        <v>0</v>
      </c>
      <c r="E57" s="108">
        <v>100</v>
      </c>
      <c r="F57">
        <v>0</v>
      </c>
      <c r="G57" s="108">
        <v>0</v>
      </c>
      <c r="H57" s="108">
        <v>20</v>
      </c>
      <c r="I57" s="108">
        <v>6.6666666666659999</v>
      </c>
      <c r="J57">
        <v>5</v>
      </c>
      <c r="K57">
        <v>40</v>
      </c>
      <c r="L57">
        <v>70.400000000000006</v>
      </c>
      <c r="M57">
        <v>60</v>
      </c>
      <c r="N57">
        <v>56.8</v>
      </c>
      <c r="O57">
        <v>1.76056338028169</v>
      </c>
      <c r="P57" s="62" t="str">
        <f>+RIGHT(Tabla2[[#This Row],[Item-Codigo]], LEN(Tabla2[[#This Row],[Item-Codigo]]) - FIND(" |", Tabla2[[#This Row],[Item-Codigo]]) - 1)</f>
        <v>316</v>
      </c>
      <c r="Q57" s="62">
        <v>316</v>
      </c>
      <c r="R57" s="62" t="s">
        <v>165</v>
      </c>
    </row>
    <row r="58" spans="1:18" x14ac:dyDescent="0.35">
      <c r="A58" t="s">
        <v>102</v>
      </c>
      <c r="B58" t="s">
        <v>630</v>
      </c>
      <c r="C58" s="108">
        <v>59.27</v>
      </c>
      <c r="D58" s="108">
        <v>0</v>
      </c>
      <c r="E58" s="108">
        <v>59.27</v>
      </c>
      <c r="F58">
        <v>0</v>
      </c>
      <c r="G58" s="108">
        <v>0</v>
      </c>
      <c r="H58" s="108">
        <v>0</v>
      </c>
      <c r="I58" s="10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62" t="str">
        <f>+RIGHT(Tabla2[[#This Row],[Item-Codigo]], LEN(Tabla2[[#This Row],[Item-Codigo]]) - FIND(" |", Tabla2[[#This Row],[Item-Codigo]]) - 1)</f>
        <v>710</v>
      </c>
      <c r="Q58" s="62">
        <v>710</v>
      </c>
      <c r="R58" s="62" t="s">
        <v>571</v>
      </c>
    </row>
    <row r="59" spans="1:18" x14ac:dyDescent="0.35">
      <c r="A59" t="s">
        <v>102</v>
      </c>
      <c r="B59" t="s">
        <v>631</v>
      </c>
      <c r="C59" s="108">
        <v>525</v>
      </c>
      <c r="D59" s="108">
        <v>0</v>
      </c>
      <c r="E59" s="108">
        <v>525</v>
      </c>
      <c r="F59">
        <v>0</v>
      </c>
      <c r="G59" s="108">
        <v>0</v>
      </c>
      <c r="H59" s="108">
        <v>135.55199999999999</v>
      </c>
      <c r="I59" s="108">
        <v>78.873999999999995</v>
      </c>
      <c r="J59">
        <v>3.8730524079320099</v>
      </c>
      <c r="K59">
        <v>401.07</v>
      </c>
      <c r="L59">
        <v>300</v>
      </c>
      <c r="M59">
        <v>492.11599999999999</v>
      </c>
      <c r="N59">
        <v>397.72866666666698</v>
      </c>
      <c r="O59">
        <v>1.3199953737304999</v>
      </c>
      <c r="P59" s="62" t="str">
        <f>+RIGHT(Tabla2[[#This Row],[Item-Codigo]], LEN(Tabla2[[#This Row],[Item-Codigo]]) - FIND(" |", Tabla2[[#This Row],[Item-Codigo]]) - 1)</f>
        <v>706</v>
      </c>
      <c r="Q59" s="62">
        <v>706</v>
      </c>
      <c r="R59" s="62" t="s">
        <v>156</v>
      </c>
    </row>
    <row r="60" spans="1:18" x14ac:dyDescent="0.35">
      <c r="A60" t="s">
        <v>102</v>
      </c>
      <c r="B60" t="s">
        <v>632</v>
      </c>
      <c r="C60" s="108">
        <v>90</v>
      </c>
      <c r="D60" s="108">
        <v>0</v>
      </c>
      <c r="E60" s="108">
        <v>90</v>
      </c>
      <c r="F60">
        <v>0</v>
      </c>
      <c r="G60" s="108">
        <v>0</v>
      </c>
      <c r="H60" s="108">
        <v>0</v>
      </c>
      <c r="I60" s="108">
        <v>30</v>
      </c>
      <c r="J60">
        <v>3</v>
      </c>
      <c r="K60">
        <v>180</v>
      </c>
      <c r="L60">
        <v>180</v>
      </c>
      <c r="M60">
        <v>180</v>
      </c>
      <c r="N60">
        <v>180</v>
      </c>
      <c r="O60">
        <v>0.5</v>
      </c>
      <c r="P60" s="62" t="str">
        <f>+RIGHT(Tabla2[[#This Row],[Item-Codigo]], LEN(Tabla2[[#This Row],[Item-Codigo]]) - FIND(" |", Tabla2[[#This Row],[Item-Codigo]]) - 1)</f>
        <v>68.2</v>
      </c>
      <c r="Q60" s="62" t="s">
        <v>552</v>
      </c>
      <c r="R60" s="62" t="s">
        <v>160</v>
      </c>
    </row>
    <row r="61" spans="1:18" x14ac:dyDescent="0.35">
      <c r="A61" t="s">
        <v>102</v>
      </c>
      <c r="B61" t="s">
        <v>633</v>
      </c>
      <c r="C61" s="108">
        <v>110</v>
      </c>
      <c r="D61" s="108">
        <v>0</v>
      </c>
      <c r="E61" s="108">
        <v>110</v>
      </c>
      <c r="F61">
        <v>0</v>
      </c>
      <c r="G61" s="108">
        <v>800</v>
      </c>
      <c r="H61" s="108">
        <v>25</v>
      </c>
      <c r="I61" s="108">
        <v>24.081333333332999</v>
      </c>
      <c r="J61">
        <v>4.4000000000000004</v>
      </c>
      <c r="K61">
        <v>106.434</v>
      </c>
      <c r="L61">
        <v>102.896</v>
      </c>
      <c r="M61">
        <v>101.24</v>
      </c>
      <c r="N61">
        <v>103.523333333333</v>
      </c>
      <c r="O61">
        <v>1.06256238529156</v>
      </c>
      <c r="P61" s="62" t="str">
        <f>+RIGHT(Tabla2[[#This Row],[Item-Codigo]], LEN(Tabla2[[#This Row],[Item-Codigo]]) - FIND(" |", Tabla2[[#This Row],[Item-Codigo]]) - 1)</f>
        <v>68</v>
      </c>
      <c r="Q61" s="62">
        <v>68</v>
      </c>
      <c r="R61" s="62" t="s">
        <v>160</v>
      </c>
    </row>
    <row r="62" spans="1:18" x14ac:dyDescent="0.35">
      <c r="A62" t="s">
        <v>102</v>
      </c>
      <c r="B62" t="s">
        <v>634</v>
      </c>
      <c r="C62" s="108">
        <v>23.931999999999999</v>
      </c>
      <c r="D62" s="108">
        <v>0</v>
      </c>
      <c r="E62" s="108">
        <v>23.931999999999999</v>
      </c>
      <c r="F62">
        <v>0</v>
      </c>
      <c r="G62" s="108">
        <v>0</v>
      </c>
      <c r="H62" s="108">
        <v>1.0680000000000001</v>
      </c>
      <c r="I62" s="108">
        <v>1.5446666666660001</v>
      </c>
      <c r="J62">
        <v>15.4933103150693</v>
      </c>
      <c r="K62">
        <v>9.9659999999999993</v>
      </c>
      <c r="L62">
        <v>9.7560000000000002</v>
      </c>
      <c r="M62">
        <v>20.661999999999999</v>
      </c>
      <c r="N62">
        <v>13.4613333333333</v>
      </c>
      <c r="O62">
        <v>1.7778328050713199</v>
      </c>
      <c r="P62" s="62" t="str">
        <f>+RIGHT(Tabla2[[#This Row],[Item-Codigo]], LEN(Tabla2[[#This Row],[Item-Codigo]]) - FIND(" |", Tabla2[[#This Row],[Item-Codigo]]) - 1)</f>
        <v>68.1</v>
      </c>
      <c r="Q62" s="62" t="s">
        <v>551</v>
      </c>
      <c r="R62" s="62" t="s">
        <v>160</v>
      </c>
    </row>
    <row r="63" spans="1:18" x14ac:dyDescent="0.35">
      <c r="A63" t="s">
        <v>102</v>
      </c>
      <c r="B63" t="s">
        <v>635</v>
      </c>
      <c r="C63" s="108">
        <v>1700</v>
      </c>
      <c r="D63" s="108">
        <v>0</v>
      </c>
      <c r="E63" s="108">
        <v>1700</v>
      </c>
      <c r="F63">
        <v>0</v>
      </c>
      <c r="G63" s="108">
        <v>0</v>
      </c>
      <c r="H63" s="108">
        <v>25</v>
      </c>
      <c r="I63" s="108">
        <v>50</v>
      </c>
      <c r="J63">
        <v>34</v>
      </c>
      <c r="K63">
        <v>175</v>
      </c>
      <c r="L63">
        <v>500</v>
      </c>
      <c r="M63">
        <v>775</v>
      </c>
      <c r="N63">
        <v>483.33333333333297</v>
      </c>
      <c r="O63">
        <v>3.5172413793103399</v>
      </c>
      <c r="P63" s="62" t="str">
        <f>+RIGHT(Tabla2[[#This Row],[Item-Codigo]], LEN(Tabla2[[#This Row],[Item-Codigo]]) - FIND(" |", Tabla2[[#This Row],[Item-Codigo]]) - 1)</f>
        <v>1059</v>
      </c>
      <c r="Q63" s="62">
        <v>1059</v>
      </c>
      <c r="R63" s="62" t="s">
        <v>151</v>
      </c>
    </row>
    <row r="64" spans="1:18" x14ac:dyDescent="0.35">
      <c r="A64" t="s">
        <v>102</v>
      </c>
      <c r="B64" t="s">
        <v>1076</v>
      </c>
      <c r="C64" s="108">
        <v>40</v>
      </c>
      <c r="D64" s="108">
        <v>0</v>
      </c>
      <c r="E64" s="108">
        <v>40</v>
      </c>
      <c r="F64">
        <v>0</v>
      </c>
      <c r="G64" s="108">
        <v>180</v>
      </c>
      <c r="H64" s="108">
        <v>40</v>
      </c>
      <c r="I64" s="108">
        <v>33.866666666665999</v>
      </c>
      <c r="J64">
        <v>1</v>
      </c>
      <c r="K64">
        <v>176.4</v>
      </c>
      <c r="L64">
        <v>157.6</v>
      </c>
      <c r="M64">
        <v>179.6</v>
      </c>
      <c r="N64">
        <v>171.2</v>
      </c>
      <c r="O64">
        <v>0.233644859813084</v>
      </c>
      <c r="P64" s="62" t="str">
        <f>+RIGHT(Tabla2[[#This Row],[Item-Codigo]], LEN(Tabla2[[#This Row],[Item-Codigo]]) - FIND(" |", Tabla2[[#This Row],[Item-Codigo]]) - 1)</f>
        <v>527</v>
      </c>
      <c r="Q64" s="62">
        <v>527</v>
      </c>
      <c r="R64" s="62" t="s">
        <v>1078</v>
      </c>
    </row>
    <row r="65" spans="1:18" x14ac:dyDescent="0.35">
      <c r="A65" t="s">
        <v>102</v>
      </c>
      <c r="B65" t="s">
        <v>636</v>
      </c>
      <c r="C65" s="108">
        <v>1</v>
      </c>
      <c r="D65" s="108">
        <v>0</v>
      </c>
      <c r="E65" s="108">
        <v>1</v>
      </c>
      <c r="F65">
        <v>0</v>
      </c>
      <c r="G65" s="108">
        <v>0</v>
      </c>
      <c r="H65" s="108">
        <v>0</v>
      </c>
      <c r="I65" s="108">
        <v>0.33333333333300003</v>
      </c>
      <c r="J65">
        <v>3.0000000000029998</v>
      </c>
      <c r="K65">
        <v>1</v>
      </c>
      <c r="L65">
        <v>1</v>
      </c>
      <c r="M65">
        <v>0</v>
      </c>
      <c r="N65">
        <v>1</v>
      </c>
      <c r="O65">
        <v>1</v>
      </c>
      <c r="P65" s="62" t="str">
        <f>+RIGHT(Tabla2[[#This Row],[Item-Codigo]], LEN(Tabla2[[#This Row],[Item-Codigo]]) - FIND(" |", Tabla2[[#This Row],[Item-Codigo]]) - 1)</f>
        <v>527.1</v>
      </c>
      <c r="Q65" s="62" t="s">
        <v>547</v>
      </c>
      <c r="R65" s="62" t="s">
        <v>1078</v>
      </c>
    </row>
    <row r="66" spans="1:18" x14ac:dyDescent="0.35">
      <c r="A66" t="s">
        <v>102</v>
      </c>
      <c r="B66" t="s">
        <v>637</v>
      </c>
      <c r="C66" s="108">
        <v>3800</v>
      </c>
      <c r="D66" s="108">
        <v>0</v>
      </c>
      <c r="E66" s="108">
        <v>300</v>
      </c>
      <c r="F66">
        <v>3500</v>
      </c>
      <c r="G66" s="108">
        <v>3500</v>
      </c>
      <c r="H66" s="108">
        <v>1375</v>
      </c>
      <c r="I66" s="108">
        <v>683.33333333333303</v>
      </c>
      <c r="J66">
        <v>2.7636363636363601</v>
      </c>
      <c r="K66">
        <v>3045</v>
      </c>
      <c r="L66">
        <v>2380</v>
      </c>
      <c r="M66">
        <v>3680</v>
      </c>
      <c r="N66">
        <v>3035</v>
      </c>
      <c r="O66">
        <v>1.25205930807249</v>
      </c>
      <c r="P66" s="62" t="str">
        <f>+RIGHT(Tabla2[[#This Row],[Item-Codigo]], LEN(Tabla2[[#This Row],[Item-Codigo]]) - FIND(" |", Tabla2[[#This Row],[Item-Codigo]]) - 1)</f>
        <v>110.2</v>
      </c>
      <c r="Q66" s="62" t="s">
        <v>522</v>
      </c>
      <c r="R66" s="62" t="s">
        <v>170</v>
      </c>
    </row>
    <row r="67" spans="1:18" x14ac:dyDescent="0.35">
      <c r="A67" t="s">
        <v>102</v>
      </c>
      <c r="B67" t="s">
        <v>638</v>
      </c>
      <c r="C67" s="108">
        <v>2100</v>
      </c>
      <c r="D67" s="108">
        <v>0</v>
      </c>
      <c r="E67" s="108">
        <v>2100</v>
      </c>
      <c r="F67">
        <v>0</v>
      </c>
      <c r="G67" s="108">
        <v>0</v>
      </c>
      <c r="H67" s="108">
        <v>250</v>
      </c>
      <c r="I67" s="108">
        <v>233.333333333333</v>
      </c>
      <c r="J67">
        <v>8.4</v>
      </c>
      <c r="K67">
        <v>1177</v>
      </c>
      <c r="L67">
        <v>1500</v>
      </c>
      <c r="M67">
        <v>1488</v>
      </c>
      <c r="N67">
        <v>1388.3333333333301</v>
      </c>
      <c r="O67">
        <v>1.51260504201681</v>
      </c>
      <c r="P67" s="62" t="str">
        <f>+RIGHT(Tabla2[[#This Row],[Item-Codigo]], LEN(Tabla2[[#This Row],[Item-Codigo]]) - FIND(" |", Tabla2[[#This Row],[Item-Codigo]]) - 1)</f>
        <v>1068</v>
      </c>
      <c r="Q67" s="62">
        <v>1068</v>
      </c>
      <c r="R67" s="62" t="s">
        <v>145</v>
      </c>
    </row>
    <row r="68" spans="1:18" x14ac:dyDescent="0.35">
      <c r="A68" t="s">
        <v>102</v>
      </c>
      <c r="B68" t="s">
        <v>978</v>
      </c>
      <c r="C68" s="108">
        <v>28.5</v>
      </c>
      <c r="D68" s="108">
        <v>0</v>
      </c>
      <c r="E68" s="108">
        <v>28.5</v>
      </c>
      <c r="F68">
        <v>0</v>
      </c>
      <c r="G68" s="108">
        <v>0</v>
      </c>
      <c r="H68" s="108">
        <v>0</v>
      </c>
      <c r="I68" s="108">
        <v>0</v>
      </c>
      <c r="J68">
        <v>0</v>
      </c>
      <c r="K68">
        <v>0</v>
      </c>
      <c r="L68">
        <v>0</v>
      </c>
      <c r="M68">
        <v>95.5</v>
      </c>
      <c r="N68">
        <v>95.5</v>
      </c>
      <c r="O68">
        <v>0.29842931937172801</v>
      </c>
      <c r="P68" s="62" t="str">
        <f>+RIGHT(Tabla2[[#This Row],[Item-Codigo]], LEN(Tabla2[[#This Row],[Item-Codigo]]) - FIND(" |", Tabla2[[#This Row],[Item-Codigo]]) - 1)</f>
        <v>499.6</v>
      </c>
      <c r="Q68" s="62" t="s">
        <v>980</v>
      </c>
      <c r="R68" s="62" t="s">
        <v>1049</v>
      </c>
    </row>
    <row r="69" spans="1:18" x14ac:dyDescent="0.35">
      <c r="A69" t="s">
        <v>102</v>
      </c>
      <c r="B69" t="s">
        <v>639</v>
      </c>
      <c r="C69" s="108">
        <v>3700</v>
      </c>
      <c r="D69" s="108">
        <v>0</v>
      </c>
      <c r="E69" s="108">
        <v>3700</v>
      </c>
      <c r="F69">
        <v>0</v>
      </c>
      <c r="G69" s="108">
        <v>0</v>
      </c>
      <c r="H69" s="108">
        <v>320</v>
      </c>
      <c r="I69" s="108">
        <v>640</v>
      </c>
      <c r="J69">
        <v>5.78125</v>
      </c>
      <c r="K69">
        <v>3520</v>
      </c>
      <c r="L69">
        <v>3440</v>
      </c>
      <c r="M69">
        <v>2000</v>
      </c>
      <c r="N69">
        <v>2986.6666666666702</v>
      </c>
      <c r="O69">
        <v>1.23883928571429</v>
      </c>
      <c r="P69" s="62" t="str">
        <f>+RIGHT(Tabla2[[#This Row],[Item-Codigo]], LEN(Tabla2[[#This Row],[Item-Codigo]]) - FIND(" |", Tabla2[[#This Row],[Item-Codigo]]) - 1)</f>
        <v>806</v>
      </c>
      <c r="Q69" s="62">
        <v>806</v>
      </c>
      <c r="R69" s="62" t="s">
        <v>134</v>
      </c>
    </row>
    <row r="70" spans="1:18" x14ac:dyDescent="0.35">
      <c r="A70" t="s">
        <v>102</v>
      </c>
      <c r="B70" t="s">
        <v>640</v>
      </c>
      <c r="C70" s="108">
        <v>420</v>
      </c>
      <c r="D70" s="108">
        <v>0</v>
      </c>
      <c r="E70" s="108">
        <v>420</v>
      </c>
      <c r="F70">
        <v>0</v>
      </c>
      <c r="G70" s="108">
        <v>0</v>
      </c>
      <c r="H70" s="108">
        <v>220</v>
      </c>
      <c r="I70" s="108">
        <v>73.333333333333002</v>
      </c>
      <c r="J70">
        <v>1.9090909090909101</v>
      </c>
      <c r="K70">
        <v>220</v>
      </c>
      <c r="L70">
        <v>320</v>
      </c>
      <c r="M70">
        <v>380</v>
      </c>
      <c r="N70">
        <v>306.66666666666703</v>
      </c>
      <c r="O70">
        <v>1.3695652173913</v>
      </c>
      <c r="P70" s="62" t="str">
        <f>+RIGHT(Tabla2[[#This Row],[Item-Codigo]], LEN(Tabla2[[#This Row],[Item-Codigo]]) - FIND(" |", Tabla2[[#This Row],[Item-Codigo]]) - 1)</f>
        <v>810</v>
      </c>
      <c r="Q70" s="62">
        <v>810</v>
      </c>
      <c r="R70" s="62" t="s">
        <v>144</v>
      </c>
    </row>
    <row r="71" spans="1:18" x14ac:dyDescent="0.35">
      <c r="A71" t="s">
        <v>102</v>
      </c>
      <c r="B71" t="s">
        <v>979</v>
      </c>
      <c r="C71" s="108">
        <v>19</v>
      </c>
      <c r="D71" s="108">
        <v>0</v>
      </c>
      <c r="E71" s="108">
        <v>19</v>
      </c>
      <c r="F71">
        <v>0</v>
      </c>
      <c r="G71" s="108">
        <v>0</v>
      </c>
      <c r="H71" s="108">
        <v>0</v>
      </c>
      <c r="I71" s="108">
        <v>0</v>
      </c>
      <c r="J71">
        <v>0</v>
      </c>
      <c r="K71">
        <v>0</v>
      </c>
      <c r="L71">
        <v>19</v>
      </c>
      <c r="M71">
        <v>70</v>
      </c>
      <c r="N71">
        <v>44.5</v>
      </c>
      <c r="O71">
        <v>0.426966292134831</v>
      </c>
      <c r="P71" s="62" t="str">
        <f>+RIGHT(Tabla2[[#This Row],[Item-Codigo]], LEN(Tabla2[[#This Row],[Item-Codigo]]) - FIND(" |", Tabla2[[#This Row],[Item-Codigo]]) - 1)</f>
        <v>456.7</v>
      </c>
      <c r="Q71" s="62" t="s">
        <v>1213</v>
      </c>
      <c r="R71" s="62" t="s">
        <v>1050</v>
      </c>
    </row>
    <row r="72" spans="1:18" x14ac:dyDescent="0.35">
      <c r="A72" t="s">
        <v>102</v>
      </c>
      <c r="B72" t="s">
        <v>641</v>
      </c>
      <c r="C72" s="108">
        <v>800</v>
      </c>
      <c r="D72" s="108">
        <v>0</v>
      </c>
      <c r="E72" s="108">
        <v>0</v>
      </c>
      <c r="F72">
        <v>800</v>
      </c>
      <c r="G72" s="108">
        <v>800</v>
      </c>
      <c r="H72" s="108">
        <v>375</v>
      </c>
      <c r="I72" s="108">
        <v>133.333333333333</v>
      </c>
      <c r="J72">
        <v>2.1333333333333302</v>
      </c>
      <c r="K72">
        <v>600</v>
      </c>
      <c r="L72">
        <v>425</v>
      </c>
      <c r="M72">
        <v>750</v>
      </c>
      <c r="N72">
        <v>591.66666666666697</v>
      </c>
      <c r="O72">
        <v>1.35211267605634</v>
      </c>
      <c r="P72" s="62" t="str">
        <f>+RIGHT(Tabla2[[#This Row],[Item-Codigo]], LEN(Tabla2[[#This Row],[Item-Codigo]]) - FIND(" |", Tabla2[[#This Row],[Item-Codigo]]) - 1)</f>
        <v>170</v>
      </c>
      <c r="Q72" s="62">
        <v>170</v>
      </c>
      <c r="R72" s="62" t="s">
        <v>174</v>
      </c>
    </row>
    <row r="73" spans="1:18" x14ac:dyDescent="0.35">
      <c r="A73" t="s">
        <v>102</v>
      </c>
      <c r="B73" t="s">
        <v>642</v>
      </c>
      <c r="C73" s="108">
        <v>825</v>
      </c>
      <c r="D73" s="108">
        <v>0</v>
      </c>
      <c r="E73" s="108">
        <v>825</v>
      </c>
      <c r="F73">
        <v>0</v>
      </c>
      <c r="G73" s="108">
        <v>0</v>
      </c>
      <c r="H73" s="108">
        <v>0</v>
      </c>
      <c r="I73" s="108">
        <v>58.333333333333002</v>
      </c>
      <c r="J73">
        <v>14.142857142857199</v>
      </c>
      <c r="K73">
        <v>375</v>
      </c>
      <c r="L73">
        <v>350</v>
      </c>
      <c r="M73">
        <v>350</v>
      </c>
      <c r="N73">
        <v>358.33333333333297</v>
      </c>
      <c r="O73">
        <v>2.3023255813953498</v>
      </c>
      <c r="P73" s="62" t="str">
        <f>+RIGHT(Tabla2[[#This Row],[Item-Codigo]], LEN(Tabla2[[#This Row],[Item-Codigo]]) - FIND(" |", Tabla2[[#This Row],[Item-Codigo]]) - 1)</f>
        <v>70</v>
      </c>
      <c r="Q73" s="62">
        <v>70</v>
      </c>
      <c r="R73" s="62" t="s">
        <v>159</v>
      </c>
    </row>
    <row r="74" spans="1:18" x14ac:dyDescent="0.35">
      <c r="A74" t="s">
        <v>102</v>
      </c>
      <c r="B74" t="s">
        <v>643</v>
      </c>
      <c r="C74" s="108">
        <v>1300</v>
      </c>
      <c r="D74" s="108">
        <v>0</v>
      </c>
      <c r="E74" s="108">
        <v>1300</v>
      </c>
      <c r="F74">
        <v>0</v>
      </c>
      <c r="G74" s="108">
        <v>0</v>
      </c>
      <c r="H74" s="108">
        <v>150</v>
      </c>
      <c r="I74" s="108">
        <v>145.266666666666</v>
      </c>
      <c r="J74">
        <v>8.6666666666666696</v>
      </c>
      <c r="K74">
        <v>696.3</v>
      </c>
      <c r="L74">
        <v>550.55399999999997</v>
      </c>
      <c r="M74">
        <v>602</v>
      </c>
      <c r="N74">
        <v>616.28466666666702</v>
      </c>
      <c r="O74">
        <v>2.1094148050630301</v>
      </c>
      <c r="P74" s="62" t="str">
        <f>+RIGHT(Tabla2[[#This Row],[Item-Codigo]], LEN(Tabla2[[#This Row],[Item-Codigo]]) - FIND(" |", Tabla2[[#This Row],[Item-Codigo]]) - 1)</f>
        <v>58</v>
      </c>
      <c r="Q74" s="62">
        <v>58</v>
      </c>
      <c r="R74" s="62" t="s">
        <v>172</v>
      </c>
    </row>
    <row r="75" spans="1:18" x14ac:dyDescent="0.35">
      <c r="A75" t="s">
        <v>102</v>
      </c>
      <c r="B75" t="s">
        <v>645</v>
      </c>
      <c r="C75" s="108">
        <v>100</v>
      </c>
      <c r="D75" s="108">
        <v>0</v>
      </c>
      <c r="E75" s="108">
        <v>100</v>
      </c>
      <c r="F75">
        <v>0</v>
      </c>
      <c r="G75" s="108">
        <v>300</v>
      </c>
      <c r="H75" s="108">
        <v>25</v>
      </c>
      <c r="I75" s="108">
        <v>25</v>
      </c>
      <c r="J75">
        <v>4</v>
      </c>
      <c r="K75">
        <v>150</v>
      </c>
      <c r="L75">
        <v>175</v>
      </c>
      <c r="M75">
        <v>150</v>
      </c>
      <c r="N75">
        <v>158.333333333333</v>
      </c>
      <c r="O75">
        <v>0.63157894736842102</v>
      </c>
      <c r="P75" s="62" t="str">
        <f>+RIGHT(Tabla2[[#This Row],[Item-Codigo]], LEN(Tabla2[[#This Row],[Item-Codigo]]) - FIND(" |", Tabla2[[#This Row],[Item-Codigo]]) - 1)</f>
        <v>933</v>
      </c>
      <c r="Q75" s="62">
        <v>933</v>
      </c>
      <c r="R75" s="62" t="s">
        <v>163</v>
      </c>
    </row>
    <row r="76" spans="1:18" x14ac:dyDescent="0.35">
      <c r="A76" t="s">
        <v>102</v>
      </c>
      <c r="B76" t="s">
        <v>646</v>
      </c>
      <c r="C76" s="108">
        <v>21141.763999999999</v>
      </c>
      <c r="D76" s="108">
        <v>0</v>
      </c>
      <c r="E76" s="108">
        <v>21141.763999999999</v>
      </c>
      <c r="F76">
        <v>0</v>
      </c>
      <c r="G76" s="108">
        <v>0</v>
      </c>
      <c r="H76" s="108">
        <v>5123.0460000000003</v>
      </c>
      <c r="I76" s="108">
        <v>5158.4873333333298</v>
      </c>
      <c r="J76">
        <v>4.0984425537667297</v>
      </c>
      <c r="K76">
        <v>25484.418000000001</v>
      </c>
      <c r="L76">
        <v>27673.508000000002</v>
      </c>
      <c r="M76">
        <v>27719.954000000002</v>
      </c>
      <c r="N76">
        <v>26959.293333333299</v>
      </c>
      <c r="O76">
        <v>0.78421061481829102</v>
      </c>
      <c r="P76" s="62" t="str">
        <f>+RIGHT(Tabla2[[#This Row],[Item-Codigo]], LEN(Tabla2[[#This Row],[Item-Codigo]]) - FIND(" |", Tabla2[[#This Row],[Item-Codigo]]) - 1)</f>
        <v>704</v>
      </c>
      <c r="Q76" s="62">
        <v>704</v>
      </c>
      <c r="R76" s="62" t="s">
        <v>132</v>
      </c>
    </row>
    <row r="77" spans="1:18" x14ac:dyDescent="0.35">
      <c r="A77" t="s">
        <v>102</v>
      </c>
      <c r="B77" t="s">
        <v>647</v>
      </c>
      <c r="C77" s="108">
        <v>550</v>
      </c>
      <c r="D77" s="108">
        <v>0</v>
      </c>
      <c r="E77" s="108">
        <v>550</v>
      </c>
      <c r="F77">
        <v>0</v>
      </c>
      <c r="G77" s="108">
        <v>0</v>
      </c>
      <c r="H77" s="108">
        <v>0</v>
      </c>
      <c r="I77" s="108">
        <v>0</v>
      </c>
      <c r="J77">
        <v>0</v>
      </c>
      <c r="K77">
        <v>25</v>
      </c>
      <c r="L77">
        <v>25</v>
      </c>
      <c r="M77">
        <v>50</v>
      </c>
      <c r="N77">
        <v>33.3333333333333</v>
      </c>
      <c r="O77">
        <v>16.5</v>
      </c>
      <c r="P77" s="62" t="str">
        <f>+RIGHT(Tabla2[[#This Row],[Item-Codigo]], LEN(Tabla2[[#This Row],[Item-Codigo]]) - FIND(" |", Tabla2[[#This Row],[Item-Codigo]]) - 1)</f>
        <v>907</v>
      </c>
      <c r="Q77" s="62">
        <v>907</v>
      </c>
      <c r="R77" s="62" t="s">
        <v>155</v>
      </c>
    </row>
    <row r="78" spans="1:18" x14ac:dyDescent="0.35">
      <c r="A78" t="s">
        <v>102</v>
      </c>
      <c r="B78" t="s">
        <v>648</v>
      </c>
      <c r="C78" s="108">
        <v>20</v>
      </c>
      <c r="D78" s="108">
        <v>0</v>
      </c>
      <c r="E78" s="108">
        <v>20</v>
      </c>
      <c r="F78">
        <v>0</v>
      </c>
      <c r="G78" s="108">
        <v>0</v>
      </c>
      <c r="H78" s="108">
        <v>0</v>
      </c>
      <c r="I78" s="108">
        <v>0</v>
      </c>
      <c r="J78">
        <v>0</v>
      </c>
      <c r="K78">
        <v>19.37</v>
      </c>
      <c r="L78">
        <v>0</v>
      </c>
      <c r="M78">
        <v>0</v>
      </c>
      <c r="N78">
        <v>19.37</v>
      </c>
      <c r="O78">
        <v>1.03252452245741</v>
      </c>
      <c r="P78" s="62" t="str">
        <f>+RIGHT(Tabla2[[#This Row],[Item-Codigo]], LEN(Tabla2[[#This Row],[Item-Codigo]]) - FIND(" |", Tabla2[[#This Row],[Item-Codigo]]) - 1)</f>
        <v>601</v>
      </c>
      <c r="Q78" s="62">
        <v>601</v>
      </c>
      <c r="R78" s="62" t="s">
        <v>167</v>
      </c>
    </row>
    <row r="79" spans="1:18" x14ac:dyDescent="0.35">
      <c r="A79" t="s">
        <v>102</v>
      </c>
      <c r="B79" t="s">
        <v>964</v>
      </c>
      <c r="C79" s="108">
        <v>440</v>
      </c>
      <c r="D79" s="108">
        <v>0</v>
      </c>
      <c r="E79" s="108">
        <v>440</v>
      </c>
      <c r="F79">
        <v>0</v>
      </c>
      <c r="G79" s="108">
        <v>0</v>
      </c>
      <c r="H79" s="108">
        <v>0</v>
      </c>
      <c r="I79" s="108">
        <v>0</v>
      </c>
      <c r="J79">
        <v>0</v>
      </c>
      <c r="K79">
        <v>0</v>
      </c>
      <c r="L79">
        <v>0</v>
      </c>
      <c r="M79">
        <v>300</v>
      </c>
      <c r="N79">
        <v>300</v>
      </c>
      <c r="O79">
        <v>1.4666666666666699</v>
      </c>
      <c r="P79" s="62" t="str">
        <f>+RIGHT(Tabla2[[#This Row],[Item-Codigo]], LEN(Tabla2[[#This Row],[Item-Codigo]]) - FIND(" |", Tabla2[[#This Row],[Item-Codigo]]) - 1)</f>
        <v>921</v>
      </c>
      <c r="Q79" s="62">
        <v>921</v>
      </c>
      <c r="R79" s="62" t="s">
        <v>964</v>
      </c>
    </row>
    <row r="80" spans="1:18" x14ac:dyDescent="0.35">
      <c r="A80" t="s">
        <v>102</v>
      </c>
      <c r="B80" t="s">
        <v>649</v>
      </c>
      <c r="C80" s="108">
        <v>200</v>
      </c>
      <c r="D80" s="108">
        <v>0</v>
      </c>
      <c r="E80" s="108">
        <v>200</v>
      </c>
      <c r="F80">
        <v>0</v>
      </c>
      <c r="G80" s="108">
        <v>0</v>
      </c>
      <c r="H80" s="108">
        <v>75</v>
      </c>
      <c r="I80" s="108">
        <v>83.333333333333002</v>
      </c>
      <c r="J80">
        <v>2.4000000000000101</v>
      </c>
      <c r="K80">
        <v>375</v>
      </c>
      <c r="L80">
        <v>325</v>
      </c>
      <c r="M80">
        <v>475</v>
      </c>
      <c r="N80">
        <v>391.66666666666703</v>
      </c>
      <c r="O80">
        <v>0.51063829787234005</v>
      </c>
      <c r="P80" s="62" t="str">
        <f>+RIGHT(Tabla2[[#This Row],[Item-Codigo]], LEN(Tabla2[[#This Row],[Item-Codigo]]) - FIND(" |", Tabla2[[#This Row],[Item-Codigo]]) - 1)</f>
        <v>1050</v>
      </c>
      <c r="Q80" s="62">
        <v>1050</v>
      </c>
      <c r="R80" s="62" t="s">
        <v>973</v>
      </c>
    </row>
    <row r="81" spans="1:18" x14ac:dyDescent="0.35">
      <c r="A81" t="s">
        <v>102</v>
      </c>
      <c r="B81" t="s">
        <v>650</v>
      </c>
      <c r="C81" s="108">
        <v>375</v>
      </c>
      <c r="D81" s="108">
        <v>0</v>
      </c>
      <c r="E81" s="108">
        <v>375</v>
      </c>
      <c r="F81">
        <v>0</v>
      </c>
      <c r="G81" s="108">
        <v>0</v>
      </c>
      <c r="H81" s="108">
        <v>275</v>
      </c>
      <c r="I81" s="108">
        <v>279</v>
      </c>
      <c r="J81">
        <v>1.34408602150538</v>
      </c>
      <c r="K81">
        <v>1412</v>
      </c>
      <c r="L81">
        <v>1311</v>
      </c>
      <c r="M81">
        <v>1473.29</v>
      </c>
      <c r="N81">
        <v>1398.7633333333299</v>
      </c>
      <c r="O81">
        <v>0.26809395918775902</v>
      </c>
      <c r="P81" s="62" t="str">
        <f>+RIGHT(Tabla2[[#This Row],[Item-Codigo]], LEN(Tabla2[[#This Row],[Item-Codigo]]) - FIND(" |", Tabla2[[#This Row],[Item-Codigo]]) - 1)</f>
        <v>716</v>
      </c>
      <c r="Q81" s="62">
        <v>716</v>
      </c>
      <c r="R81" s="62" t="s">
        <v>162</v>
      </c>
    </row>
    <row r="82" spans="1:18" x14ac:dyDescent="0.35">
      <c r="A82" t="s">
        <v>102</v>
      </c>
      <c r="B82" t="s">
        <v>651</v>
      </c>
      <c r="C82" s="108">
        <v>10500</v>
      </c>
      <c r="D82" s="108">
        <v>0</v>
      </c>
      <c r="E82" s="108">
        <v>10500</v>
      </c>
      <c r="F82">
        <v>0</v>
      </c>
      <c r="G82" s="108">
        <v>79500</v>
      </c>
      <c r="H82" s="108">
        <v>7500</v>
      </c>
      <c r="I82" s="108">
        <v>7000</v>
      </c>
      <c r="J82">
        <v>1.4</v>
      </c>
      <c r="K82">
        <v>33750</v>
      </c>
      <c r="L82">
        <v>26302.22</v>
      </c>
      <c r="M82">
        <v>24750</v>
      </c>
      <c r="N82">
        <v>28267.406666666699</v>
      </c>
      <c r="O82">
        <v>0.371452539803793</v>
      </c>
      <c r="P82" s="62" t="str">
        <f>+RIGHT(Tabla2[[#This Row],[Item-Codigo]], LEN(Tabla2[[#This Row],[Item-Codigo]]) - FIND(" |", Tabla2[[#This Row],[Item-Codigo]]) - 1)</f>
        <v>497.5</v>
      </c>
      <c r="Q82" s="62" t="s">
        <v>540</v>
      </c>
      <c r="R82" s="62" t="s">
        <v>133</v>
      </c>
    </row>
    <row r="83" spans="1:18" x14ac:dyDescent="0.35">
      <c r="A83" t="s">
        <v>102</v>
      </c>
      <c r="B83" t="s">
        <v>1214</v>
      </c>
      <c r="C83" s="108">
        <v>50</v>
      </c>
      <c r="D83" s="108">
        <v>0</v>
      </c>
      <c r="E83" s="108">
        <v>50</v>
      </c>
      <c r="F83">
        <v>0</v>
      </c>
      <c r="G83" s="108">
        <v>0</v>
      </c>
      <c r="H83" s="108">
        <v>29.8</v>
      </c>
      <c r="I83" s="108">
        <v>18.266666666666001</v>
      </c>
      <c r="J83">
        <v>1.6778523489932899</v>
      </c>
      <c r="K83">
        <v>25</v>
      </c>
      <c r="L83">
        <v>0</v>
      </c>
      <c r="M83">
        <v>0</v>
      </c>
      <c r="N83">
        <v>25</v>
      </c>
      <c r="O83">
        <v>2</v>
      </c>
      <c r="P83" s="62" t="str">
        <f>+RIGHT(Tabla2[[#This Row],[Item-Codigo]], LEN(Tabla2[[#This Row],[Item-Codigo]]) - FIND(" |", Tabla2[[#This Row],[Item-Codigo]]) - 1)</f>
        <v>951</v>
      </c>
      <c r="Q83" s="62">
        <v>951</v>
      </c>
      <c r="R83" s="62" t="s">
        <v>459</v>
      </c>
    </row>
    <row r="84" spans="1:18" x14ac:dyDescent="0.35">
      <c r="A84" t="s">
        <v>102</v>
      </c>
      <c r="B84" t="s">
        <v>652</v>
      </c>
      <c r="C84" s="108">
        <v>15</v>
      </c>
      <c r="D84" s="108">
        <v>0</v>
      </c>
      <c r="E84" s="108">
        <v>15</v>
      </c>
      <c r="F84">
        <v>0</v>
      </c>
      <c r="G84" s="108">
        <v>15</v>
      </c>
      <c r="H84" s="108">
        <v>0</v>
      </c>
      <c r="I84" s="108">
        <v>0.20200000000000001</v>
      </c>
      <c r="J84">
        <v>74.257425742574299</v>
      </c>
      <c r="K84">
        <v>10.71</v>
      </c>
      <c r="L84">
        <v>41.014000000000003</v>
      </c>
      <c r="M84">
        <v>14.544</v>
      </c>
      <c r="N84">
        <v>22.0893333333333</v>
      </c>
      <c r="O84">
        <v>0.67906078348524201</v>
      </c>
      <c r="P84" s="62" t="str">
        <f>+RIGHT(Tabla2[[#This Row],[Item-Codigo]], LEN(Tabla2[[#This Row],[Item-Codigo]]) - FIND(" |", Tabla2[[#This Row],[Item-Codigo]]) - 1)</f>
        <v>685</v>
      </c>
      <c r="Q84" s="62">
        <v>685</v>
      </c>
      <c r="R84" s="62" t="s">
        <v>169</v>
      </c>
    </row>
    <row r="85" spans="1:18" x14ac:dyDescent="0.35">
      <c r="A85" t="s">
        <v>102</v>
      </c>
      <c r="B85" t="s">
        <v>653</v>
      </c>
      <c r="C85" s="108">
        <v>475</v>
      </c>
      <c r="D85" s="108">
        <v>0</v>
      </c>
      <c r="E85" s="108">
        <v>475</v>
      </c>
      <c r="F85">
        <v>0</v>
      </c>
      <c r="G85" s="108">
        <v>0</v>
      </c>
      <c r="H85" s="108">
        <v>100</v>
      </c>
      <c r="I85" s="108">
        <v>83.333333333333002</v>
      </c>
      <c r="J85">
        <v>4.75</v>
      </c>
      <c r="K85">
        <v>425</v>
      </c>
      <c r="L85">
        <v>400</v>
      </c>
      <c r="M85">
        <v>350</v>
      </c>
      <c r="N85">
        <v>391.66666666666703</v>
      </c>
      <c r="O85">
        <v>1.2127659574468099</v>
      </c>
      <c r="P85" s="62" t="str">
        <f>+RIGHT(Tabla2[[#This Row],[Item-Codigo]], LEN(Tabla2[[#This Row],[Item-Codigo]]) - FIND(" |", Tabla2[[#This Row],[Item-Codigo]]) - 1)</f>
        <v>46.5</v>
      </c>
      <c r="Q85" s="62" t="s">
        <v>535</v>
      </c>
      <c r="R85" s="62" t="s">
        <v>161</v>
      </c>
    </row>
    <row r="86" spans="1:18" x14ac:dyDescent="0.35">
      <c r="A86" t="s">
        <v>102</v>
      </c>
      <c r="B86" t="s">
        <v>654</v>
      </c>
      <c r="C86" s="108">
        <v>4949.9989999999998</v>
      </c>
      <c r="D86" s="108">
        <v>0</v>
      </c>
      <c r="E86" s="108">
        <v>4949.9989999999998</v>
      </c>
      <c r="F86">
        <v>0</v>
      </c>
      <c r="G86" s="108">
        <v>20000</v>
      </c>
      <c r="H86" s="108">
        <v>1647.537</v>
      </c>
      <c r="I86" s="108">
        <v>1474.1790000000001</v>
      </c>
      <c r="J86">
        <v>3.0044842695490299</v>
      </c>
      <c r="K86">
        <v>8072.268</v>
      </c>
      <c r="L86">
        <v>8616.4380000000001</v>
      </c>
      <c r="M86">
        <v>9202.9959999999992</v>
      </c>
      <c r="N86">
        <v>8630.5673333333307</v>
      </c>
      <c r="O86">
        <v>0.57354271264206602</v>
      </c>
      <c r="P86" s="62" t="str">
        <f>+RIGHT(Tabla2[[#This Row],[Item-Codigo]], LEN(Tabla2[[#This Row],[Item-Codigo]]) - FIND(" |", Tabla2[[#This Row],[Item-Codigo]]) - 1)</f>
        <v>379</v>
      </c>
      <c r="Q86" s="62">
        <v>379</v>
      </c>
      <c r="R86" s="62" t="s">
        <v>139</v>
      </c>
    </row>
    <row r="87" spans="1:18" x14ac:dyDescent="0.35">
      <c r="A87" t="s">
        <v>102</v>
      </c>
      <c r="B87" t="s">
        <v>655</v>
      </c>
      <c r="C87" s="108">
        <v>160</v>
      </c>
      <c r="D87" s="108">
        <v>0</v>
      </c>
      <c r="E87" s="108">
        <v>160</v>
      </c>
      <c r="F87">
        <v>0</v>
      </c>
      <c r="G87" s="108">
        <v>2000</v>
      </c>
      <c r="H87" s="108">
        <v>120</v>
      </c>
      <c r="I87" s="108">
        <v>122.350666666666</v>
      </c>
      <c r="J87">
        <v>1.3077166178089299</v>
      </c>
      <c r="K87">
        <v>636.62800000000004</v>
      </c>
      <c r="L87">
        <v>586.87800000000004</v>
      </c>
      <c r="M87">
        <v>719.46</v>
      </c>
      <c r="N87">
        <v>647.65533333333303</v>
      </c>
      <c r="O87">
        <v>0.24704498174440501</v>
      </c>
      <c r="P87" s="62" t="str">
        <f>+RIGHT(Tabla2[[#This Row],[Item-Codigo]], LEN(Tabla2[[#This Row],[Item-Codigo]]) - FIND(" |", Tabla2[[#This Row],[Item-Codigo]]) - 1)</f>
        <v>442.4</v>
      </c>
      <c r="Q87" s="62" t="s">
        <v>531</v>
      </c>
      <c r="R87" s="62" t="s">
        <v>164</v>
      </c>
    </row>
    <row r="88" spans="1:18" x14ac:dyDescent="0.35">
      <c r="A88" t="s">
        <v>102</v>
      </c>
      <c r="B88" t="s">
        <v>656</v>
      </c>
      <c r="C88" s="108">
        <v>4375</v>
      </c>
      <c r="D88" s="108">
        <v>0</v>
      </c>
      <c r="E88" s="108">
        <v>4375</v>
      </c>
      <c r="F88">
        <v>0</v>
      </c>
      <c r="G88" s="108">
        <v>4000</v>
      </c>
      <c r="H88" s="108">
        <v>411.61</v>
      </c>
      <c r="I88" s="108">
        <v>320.53666666666601</v>
      </c>
      <c r="J88">
        <v>10.628993464687399</v>
      </c>
      <c r="K88">
        <v>1818.758</v>
      </c>
      <c r="L88">
        <v>1710.566</v>
      </c>
      <c r="M88">
        <v>1634.63</v>
      </c>
      <c r="N88">
        <v>1721.318</v>
      </c>
      <c r="O88">
        <v>2.5416570325761998</v>
      </c>
      <c r="P88" s="62" t="str">
        <f>+RIGHT(Tabla2[[#This Row],[Item-Codigo]], LEN(Tabla2[[#This Row],[Item-Codigo]]) - FIND(" |", Tabla2[[#This Row],[Item-Codigo]]) - 1)</f>
        <v>508</v>
      </c>
      <c r="Q88" s="62">
        <v>508</v>
      </c>
      <c r="R88" s="62" t="s">
        <v>154</v>
      </c>
    </row>
    <row r="89" spans="1:18" x14ac:dyDescent="0.35">
      <c r="A89" t="s">
        <v>102</v>
      </c>
      <c r="B89" t="s">
        <v>657</v>
      </c>
      <c r="C89" s="108">
        <v>580</v>
      </c>
      <c r="D89" s="108">
        <v>0</v>
      </c>
      <c r="E89" s="108">
        <v>580</v>
      </c>
      <c r="F89">
        <v>0</v>
      </c>
      <c r="G89" s="108">
        <v>0</v>
      </c>
      <c r="H89" s="108">
        <v>80</v>
      </c>
      <c r="I89" s="108">
        <v>106.666666666666</v>
      </c>
      <c r="J89">
        <v>5.4375000000000302</v>
      </c>
      <c r="K89">
        <v>540</v>
      </c>
      <c r="L89">
        <v>547.4896</v>
      </c>
      <c r="M89">
        <v>603.20960000000002</v>
      </c>
      <c r="N89">
        <v>563.56640000000004</v>
      </c>
      <c r="O89">
        <v>1.02916000670019</v>
      </c>
      <c r="P89" s="62" t="str">
        <f>+RIGHT(Tabla2[[#This Row],[Item-Codigo]], LEN(Tabla2[[#This Row],[Item-Codigo]]) - FIND(" |", Tabla2[[#This Row],[Item-Codigo]]) - 1)</f>
        <v>981.2</v>
      </c>
      <c r="Q89" s="62" t="s">
        <v>556</v>
      </c>
      <c r="R89" s="62" t="s">
        <v>171</v>
      </c>
    </row>
    <row r="90" spans="1:18" x14ac:dyDescent="0.35">
      <c r="A90" t="s">
        <v>102</v>
      </c>
      <c r="B90" t="s">
        <v>658</v>
      </c>
      <c r="C90" s="108">
        <v>2940</v>
      </c>
      <c r="D90" s="108">
        <v>0</v>
      </c>
      <c r="E90" s="108">
        <v>2940</v>
      </c>
      <c r="F90">
        <v>0</v>
      </c>
      <c r="G90" s="108">
        <v>2880</v>
      </c>
      <c r="H90" s="108">
        <v>554</v>
      </c>
      <c r="I90" s="108">
        <v>464.666666666666</v>
      </c>
      <c r="J90">
        <v>5.3068592057761697</v>
      </c>
      <c r="K90">
        <v>2280</v>
      </c>
      <c r="L90">
        <v>2125.6</v>
      </c>
      <c r="M90">
        <v>2385</v>
      </c>
      <c r="N90">
        <v>2263.5333333333301</v>
      </c>
      <c r="O90">
        <v>1.29885429858923</v>
      </c>
      <c r="P90" s="62" t="str">
        <f>+RIGHT(Tabla2[[#This Row],[Item-Codigo]], LEN(Tabla2[[#This Row],[Item-Codigo]]) - FIND(" |", Tabla2[[#This Row],[Item-Codigo]]) - 1)</f>
        <v>456.12</v>
      </c>
      <c r="Q90" s="62" t="s">
        <v>533</v>
      </c>
      <c r="R90" s="62" t="s">
        <v>153</v>
      </c>
    </row>
    <row r="91" spans="1:18" x14ac:dyDescent="0.35">
      <c r="A91" t="s">
        <v>102</v>
      </c>
      <c r="B91" t="s">
        <v>659</v>
      </c>
      <c r="C91" s="108">
        <v>780</v>
      </c>
      <c r="D91" s="108">
        <v>0</v>
      </c>
      <c r="E91" s="108">
        <v>780</v>
      </c>
      <c r="F91">
        <v>0</v>
      </c>
      <c r="G91" s="108">
        <v>0</v>
      </c>
      <c r="H91" s="108">
        <v>143</v>
      </c>
      <c r="I91" s="108">
        <v>127.666666666666</v>
      </c>
      <c r="J91">
        <v>5.4545454545454497</v>
      </c>
      <c r="K91">
        <v>720</v>
      </c>
      <c r="L91">
        <v>645</v>
      </c>
      <c r="M91">
        <v>570</v>
      </c>
      <c r="N91">
        <v>645</v>
      </c>
      <c r="O91">
        <v>1.2093023255813999</v>
      </c>
      <c r="P91" s="62" t="str">
        <f>+RIGHT(Tabla2[[#This Row],[Item-Codigo]], LEN(Tabla2[[#This Row],[Item-Codigo]]) - FIND(" |", Tabla2[[#This Row],[Item-Codigo]]) - 1)</f>
        <v>456.9</v>
      </c>
      <c r="Q91" s="62" t="s">
        <v>534</v>
      </c>
      <c r="R91" s="62" t="s">
        <v>158</v>
      </c>
    </row>
    <row r="92" spans="1:18" x14ac:dyDescent="0.35">
      <c r="A92" t="s">
        <v>102</v>
      </c>
      <c r="B92" t="s">
        <v>660</v>
      </c>
      <c r="C92" s="108">
        <v>2175</v>
      </c>
      <c r="D92" s="108">
        <v>0</v>
      </c>
      <c r="E92" s="108">
        <v>2175</v>
      </c>
      <c r="F92">
        <v>0</v>
      </c>
      <c r="G92" s="108">
        <v>1975</v>
      </c>
      <c r="H92" s="108">
        <v>393</v>
      </c>
      <c r="I92" s="108">
        <v>341.2</v>
      </c>
      <c r="J92">
        <v>5.5343511450381699</v>
      </c>
      <c r="K92">
        <v>1888.6</v>
      </c>
      <c r="L92">
        <v>2155</v>
      </c>
      <c r="M92">
        <v>1950.8</v>
      </c>
      <c r="N92">
        <v>1998.13333333333</v>
      </c>
      <c r="O92">
        <v>1.08851594821834</v>
      </c>
      <c r="P92" s="62" t="str">
        <f>+RIGHT(Tabla2[[#This Row],[Item-Codigo]], LEN(Tabla2[[#This Row],[Item-Codigo]]) - FIND(" |", Tabla2[[#This Row],[Item-Codigo]]) - 1)</f>
        <v>455.3</v>
      </c>
      <c r="Q92" s="62" t="s">
        <v>532</v>
      </c>
      <c r="R92" s="62" t="s">
        <v>150</v>
      </c>
    </row>
    <row r="93" spans="1:18" x14ac:dyDescent="0.35">
      <c r="A93" t="s">
        <v>102</v>
      </c>
      <c r="B93" t="s">
        <v>661</v>
      </c>
      <c r="C93" s="108">
        <v>1800</v>
      </c>
      <c r="D93" s="108">
        <v>0</v>
      </c>
      <c r="E93" s="108">
        <v>1800</v>
      </c>
      <c r="F93">
        <v>0</v>
      </c>
      <c r="G93" s="108">
        <v>0</v>
      </c>
      <c r="H93" s="108">
        <v>0</v>
      </c>
      <c r="I93" s="108">
        <v>116.666666666666</v>
      </c>
      <c r="J93">
        <v>15.4285714285715</v>
      </c>
      <c r="K93">
        <v>725</v>
      </c>
      <c r="L93">
        <v>725</v>
      </c>
      <c r="M93">
        <v>750</v>
      </c>
      <c r="N93">
        <v>733.33333333333303</v>
      </c>
      <c r="O93">
        <v>2.4545454545454501</v>
      </c>
      <c r="P93" s="62" t="str">
        <f>+RIGHT(Tabla2[[#This Row],[Item-Codigo]], LEN(Tabla2[[#This Row],[Item-Codigo]]) - FIND(" |", Tabla2[[#This Row],[Item-Codigo]]) - 1)</f>
        <v>1007.5</v>
      </c>
      <c r="Q93" s="62" t="s">
        <v>495</v>
      </c>
      <c r="R93" s="62" t="s">
        <v>141</v>
      </c>
    </row>
    <row r="94" spans="1:18" x14ac:dyDescent="0.35">
      <c r="A94" t="s">
        <v>102</v>
      </c>
      <c r="B94" t="s">
        <v>662</v>
      </c>
      <c r="C94" s="108">
        <v>700</v>
      </c>
      <c r="D94" s="108">
        <v>0</v>
      </c>
      <c r="E94" s="108">
        <v>700</v>
      </c>
      <c r="F94">
        <v>0</v>
      </c>
      <c r="G94" s="108">
        <v>0</v>
      </c>
      <c r="H94" s="108">
        <v>150</v>
      </c>
      <c r="I94" s="108">
        <v>158.333333333333</v>
      </c>
      <c r="J94">
        <v>4.4210526315789602</v>
      </c>
      <c r="K94">
        <v>775</v>
      </c>
      <c r="L94">
        <v>1037</v>
      </c>
      <c r="M94">
        <v>982</v>
      </c>
      <c r="N94">
        <v>931.33333333333303</v>
      </c>
      <c r="O94">
        <v>0.75161059413027898</v>
      </c>
      <c r="P94" s="62" t="str">
        <f>+RIGHT(Tabla2[[#This Row],[Item-Codigo]], LEN(Tabla2[[#This Row],[Item-Codigo]]) - FIND(" |", Tabla2[[#This Row],[Item-Codigo]]) - 1)</f>
        <v>461</v>
      </c>
      <c r="Q94" s="62">
        <v>461</v>
      </c>
      <c r="R94" s="62" t="s">
        <v>176</v>
      </c>
    </row>
    <row r="95" spans="1:18" x14ac:dyDescent="0.35">
      <c r="A95" t="s">
        <v>103</v>
      </c>
      <c r="B95" t="s">
        <v>663</v>
      </c>
      <c r="C95" s="108">
        <v>264269</v>
      </c>
      <c r="D95" s="108">
        <v>1170</v>
      </c>
      <c r="E95" s="108">
        <v>263099</v>
      </c>
      <c r="F95">
        <v>0</v>
      </c>
      <c r="G95" s="108">
        <v>400000</v>
      </c>
      <c r="H95" s="108">
        <v>29204</v>
      </c>
      <c r="I95" s="108">
        <v>34153.333333333299</v>
      </c>
      <c r="J95">
        <v>7.7377220378684397</v>
      </c>
      <c r="K95">
        <v>180406</v>
      </c>
      <c r="L95">
        <v>182179</v>
      </c>
      <c r="M95">
        <v>126786</v>
      </c>
      <c r="N95">
        <v>163123.66666666701</v>
      </c>
      <c r="O95">
        <v>1.6200530885565301</v>
      </c>
      <c r="P95" s="62" t="str">
        <f>+RIGHT(Tabla2[[#This Row],[Item-Codigo]], LEN(Tabla2[[#This Row],[Item-Codigo]]) - FIND(" |", Tabla2[[#This Row],[Item-Codigo]]) - 1)</f>
        <v>223</v>
      </c>
      <c r="Q95" s="62">
        <v>223</v>
      </c>
      <c r="R95" s="62" t="s">
        <v>93</v>
      </c>
    </row>
    <row r="96" spans="1:18" x14ac:dyDescent="0.35">
      <c r="A96" t="s">
        <v>103</v>
      </c>
      <c r="B96" t="s">
        <v>945</v>
      </c>
      <c r="C96" s="108">
        <v>132357</v>
      </c>
      <c r="D96" s="108">
        <v>0</v>
      </c>
      <c r="E96" s="108">
        <v>132357</v>
      </c>
      <c r="F96">
        <v>0</v>
      </c>
      <c r="G96" s="108">
        <v>69576</v>
      </c>
      <c r="H96" s="108">
        <v>20688.990000000002</v>
      </c>
      <c r="I96" s="108">
        <v>23790.66</v>
      </c>
      <c r="J96">
        <v>5.5634017719558804</v>
      </c>
      <c r="K96">
        <v>100889</v>
      </c>
      <c r="L96">
        <v>66661</v>
      </c>
      <c r="M96">
        <v>50903.3</v>
      </c>
      <c r="N96">
        <v>72817.766666666706</v>
      </c>
      <c r="O96">
        <v>1.81764706690171</v>
      </c>
      <c r="P96" s="62" t="str">
        <f>+RIGHT(Tabla2[[#This Row],[Item-Codigo]], LEN(Tabla2[[#This Row],[Item-Codigo]]) - FIND(" |", Tabla2[[#This Row],[Item-Codigo]]) - 1)</f>
        <v>116</v>
      </c>
      <c r="Q96" s="62">
        <v>116</v>
      </c>
      <c r="R96" s="62" t="s">
        <v>99</v>
      </c>
    </row>
    <row r="97" spans="1:18" x14ac:dyDescent="0.35">
      <c r="A97" t="s">
        <v>103</v>
      </c>
      <c r="B97" t="s">
        <v>584</v>
      </c>
      <c r="C97" s="108">
        <v>30500</v>
      </c>
      <c r="D97" s="108">
        <v>0</v>
      </c>
      <c r="E97" s="108">
        <v>30500</v>
      </c>
      <c r="F97">
        <v>0</v>
      </c>
      <c r="G97" s="108">
        <v>0</v>
      </c>
      <c r="H97" s="108">
        <v>0</v>
      </c>
      <c r="I97" s="108">
        <v>166.666666666666</v>
      </c>
      <c r="J97">
        <v>183.00000000000099</v>
      </c>
      <c r="K97">
        <v>4000</v>
      </c>
      <c r="L97">
        <v>1000</v>
      </c>
      <c r="M97">
        <v>1500</v>
      </c>
      <c r="N97">
        <v>2166.6666666666702</v>
      </c>
      <c r="O97">
        <v>14.0769230769231</v>
      </c>
      <c r="P97" s="62" t="str">
        <f>+RIGHT(Tabla2[[#This Row],[Item-Codigo]], LEN(Tabla2[[#This Row],[Item-Codigo]]) - FIND(" |", Tabla2[[#This Row],[Item-Codigo]]) - 1)</f>
        <v>167.16</v>
      </c>
      <c r="Q97" s="62" t="s">
        <v>526</v>
      </c>
      <c r="R97" s="62" t="s">
        <v>458</v>
      </c>
    </row>
    <row r="98" spans="1:18" x14ac:dyDescent="0.35">
      <c r="A98" t="s">
        <v>103</v>
      </c>
      <c r="B98" t="s">
        <v>986</v>
      </c>
      <c r="C98" s="108">
        <v>1994381</v>
      </c>
      <c r="D98" s="108">
        <v>1470</v>
      </c>
      <c r="E98" s="108">
        <v>1992911</v>
      </c>
      <c r="F98">
        <v>0</v>
      </c>
      <c r="G98" s="108"/>
      <c r="H98" s="108">
        <v>146411</v>
      </c>
      <c r="I98" s="108">
        <v>177807.33333333299</v>
      </c>
      <c r="J98">
        <v>11.216528377157299</v>
      </c>
      <c r="K98">
        <v>572786</v>
      </c>
      <c r="L98">
        <v>1372461</v>
      </c>
      <c r="M98">
        <v>809391</v>
      </c>
      <c r="N98">
        <v>918212.66666666698</v>
      </c>
      <c r="O98">
        <v>2.1720251445017502</v>
      </c>
      <c r="P98" s="62" t="str">
        <f>+RIGHT(Tabla2[[#This Row],[Item-Codigo]], LEN(Tabla2[[#This Row],[Item-Codigo]]) - FIND(" |", Tabla2[[#This Row],[Item-Codigo]]) - 1)</f>
        <v>121</v>
      </c>
      <c r="Q98" s="62">
        <v>121</v>
      </c>
      <c r="R98" s="62" t="s">
        <v>180</v>
      </c>
    </row>
    <row r="99" spans="1:18" x14ac:dyDescent="0.35">
      <c r="A99" t="s">
        <v>103</v>
      </c>
      <c r="B99" t="s">
        <v>664</v>
      </c>
      <c r="C99" s="108">
        <v>1651914</v>
      </c>
      <c r="D99" s="108">
        <v>1649710</v>
      </c>
      <c r="E99" s="108">
        <v>2204</v>
      </c>
      <c r="F99">
        <v>0</v>
      </c>
      <c r="G99" s="108">
        <v>290</v>
      </c>
      <c r="H99" s="108">
        <v>256804</v>
      </c>
      <c r="I99" s="108">
        <v>176254.66666666701</v>
      </c>
      <c r="J99">
        <v>6.4325867198330204</v>
      </c>
      <c r="K99">
        <v>1118464</v>
      </c>
      <c r="L99">
        <v>483973</v>
      </c>
      <c r="M99">
        <v>419509</v>
      </c>
      <c r="N99">
        <v>673982</v>
      </c>
      <c r="O99">
        <v>2.4509764355724601</v>
      </c>
      <c r="P99" s="62" t="str">
        <f>+RIGHT(Tabla2[[#This Row],[Item-Codigo]], LEN(Tabla2[[#This Row],[Item-Codigo]]) - FIND(" |", Tabla2[[#This Row],[Item-Codigo]]) - 1)</f>
        <v>122</v>
      </c>
      <c r="Q99" s="62">
        <v>122</v>
      </c>
      <c r="R99" s="62" t="s">
        <v>180</v>
      </c>
    </row>
    <row r="100" spans="1:18" x14ac:dyDescent="0.35">
      <c r="A100" t="s">
        <v>103</v>
      </c>
      <c r="B100" t="s">
        <v>1080</v>
      </c>
      <c r="C100" s="108">
        <v>169026</v>
      </c>
      <c r="D100" s="108">
        <v>0</v>
      </c>
      <c r="E100" s="108">
        <v>169026</v>
      </c>
      <c r="F100">
        <v>0</v>
      </c>
      <c r="G100" s="108">
        <v>4900</v>
      </c>
      <c r="H100" s="108">
        <v>121578</v>
      </c>
      <c r="I100" s="108">
        <v>109986.66666666701</v>
      </c>
      <c r="J100">
        <v>1.3902679761140999</v>
      </c>
      <c r="K100">
        <v>455037</v>
      </c>
      <c r="L100">
        <v>372904</v>
      </c>
      <c r="M100">
        <v>17586</v>
      </c>
      <c r="N100">
        <v>281842.33333333302</v>
      </c>
      <c r="O100">
        <v>0.59971828220742796</v>
      </c>
      <c r="P100" s="62" t="str">
        <f>+RIGHT(Tabla2[[#This Row],[Item-Codigo]], LEN(Tabla2[[#This Row],[Item-Codigo]]) - FIND(" |", Tabla2[[#This Row],[Item-Codigo]]) - 1)</f>
        <v>17</v>
      </c>
      <c r="Q100" s="62">
        <v>17</v>
      </c>
      <c r="R100" s="62" t="s">
        <v>1194</v>
      </c>
    </row>
    <row r="101" spans="1:18" x14ac:dyDescent="0.35">
      <c r="A101" t="s">
        <v>103</v>
      </c>
      <c r="B101" t="s">
        <v>665</v>
      </c>
      <c r="C101" s="108">
        <v>6393014</v>
      </c>
      <c r="D101" s="108">
        <v>2332140</v>
      </c>
      <c r="E101" s="108">
        <v>3646554</v>
      </c>
      <c r="F101">
        <v>414320</v>
      </c>
      <c r="G101" s="108">
        <v>12700</v>
      </c>
      <c r="H101" s="108">
        <v>488220</v>
      </c>
      <c r="I101" s="108">
        <v>445669.46666666702</v>
      </c>
      <c r="J101">
        <v>13.094535250501799</v>
      </c>
      <c r="K101">
        <v>2213047.4</v>
      </c>
      <c r="L101">
        <v>1839938</v>
      </c>
      <c r="M101">
        <v>2540197</v>
      </c>
      <c r="N101">
        <v>2197727.4666666701</v>
      </c>
      <c r="O101">
        <v>2.9089202810466799</v>
      </c>
      <c r="P101" s="62" t="str">
        <f>+RIGHT(Tabla2[[#This Row],[Item-Codigo]], LEN(Tabla2[[#This Row],[Item-Codigo]]) - FIND(" |", Tabla2[[#This Row],[Item-Codigo]]) - 1)</f>
        <v>871</v>
      </c>
      <c r="Q101" s="62">
        <v>871</v>
      </c>
      <c r="R101" s="62" t="s">
        <v>1193</v>
      </c>
    </row>
    <row r="102" spans="1:18" x14ac:dyDescent="0.35">
      <c r="A102" t="s">
        <v>104</v>
      </c>
      <c r="B102" t="s">
        <v>666</v>
      </c>
      <c r="C102" s="108">
        <v>62072.800000000003</v>
      </c>
      <c r="D102" s="108">
        <v>0</v>
      </c>
      <c r="E102" s="108">
        <v>62072.800000000003</v>
      </c>
      <c r="F102">
        <v>0</v>
      </c>
      <c r="G102" s="108">
        <v>22250</v>
      </c>
      <c r="H102" s="108">
        <v>39657.269999999997</v>
      </c>
      <c r="I102" s="108">
        <v>34995.323333333297</v>
      </c>
      <c r="J102">
        <v>1.56523129302647</v>
      </c>
      <c r="K102">
        <v>183133.2</v>
      </c>
      <c r="L102">
        <v>178054.8</v>
      </c>
      <c r="M102">
        <v>160263.12</v>
      </c>
      <c r="N102">
        <v>173817.04</v>
      </c>
      <c r="O102">
        <v>0.35711573502805</v>
      </c>
      <c r="P102" s="62" t="str">
        <f>+RIGHT(Tabla2[[#This Row],[Item-Codigo]], LEN(Tabla2[[#This Row],[Item-Codigo]]) - FIND(" |", Tabla2[[#This Row],[Item-Codigo]]) - 1)</f>
        <v>42</v>
      </c>
      <c r="Q102" s="62">
        <v>42</v>
      </c>
      <c r="R102" s="62" t="s">
        <v>94</v>
      </c>
    </row>
    <row r="103" spans="1:18" x14ac:dyDescent="0.35">
      <c r="A103" t="s">
        <v>104</v>
      </c>
      <c r="B103" t="s">
        <v>1073</v>
      </c>
      <c r="C103" s="108">
        <v>24880</v>
      </c>
      <c r="D103" s="108">
        <v>0</v>
      </c>
      <c r="E103" s="108">
        <v>24880</v>
      </c>
      <c r="F103">
        <v>0</v>
      </c>
      <c r="G103" s="108">
        <v>30770</v>
      </c>
      <c r="H103" s="108">
        <v>3480.2</v>
      </c>
      <c r="I103" s="108">
        <v>4320.0666666666702</v>
      </c>
      <c r="J103">
        <v>5.7591703831730996</v>
      </c>
      <c r="K103">
        <v>20125.2</v>
      </c>
      <c r="L103">
        <v>22480</v>
      </c>
      <c r="M103">
        <v>22960.2088</v>
      </c>
      <c r="N103">
        <v>21855.136266666701</v>
      </c>
      <c r="O103">
        <v>1.13840516464529</v>
      </c>
      <c r="P103" s="62" t="str">
        <f>+RIGHT(Tabla2[[#This Row],[Item-Codigo]], LEN(Tabla2[[#This Row],[Item-Codigo]]) - FIND(" |", Tabla2[[#This Row],[Item-Codigo]]) - 1)</f>
        <v>40.1</v>
      </c>
      <c r="Q103" s="62" t="s">
        <v>812</v>
      </c>
      <c r="R103" s="62" t="s">
        <v>95</v>
      </c>
    </row>
    <row r="104" spans="1:18" x14ac:dyDescent="0.35">
      <c r="A104" t="s">
        <v>104</v>
      </c>
      <c r="B104" t="s">
        <v>668</v>
      </c>
      <c r="C104" s="108">
        <v>6602</v>
      </c>
      <c r="D104" s="108">
        <v>0</v>
      </c>
      <c r="E104" s="108">
        <v>6602</v>
      </c>
      <c r="F104">
        <v>0</v>
      </c>
      <c r="G104" s="108">
        <v>832</v>
      </c>
      <c r="H104" s="108">
        <v>3766</v>
      </c>
      <c r="I104" s="108">
        <v>2955.8333333333298</v>
      </c>
      <c r="J104">
        <v>1.7530536378120001</v>
      </c>
      <c r="K104">
        <v>10026.5</v>
      </c>
      <c r="L104">
        <v>8624</v>
      </c>
      <c r="M104">
        <v>5000</v>
      </c>
      <c r="N104">
        <v>7883.5</v>
      </c>
      <c r="O104">
        <v>0.83744529713959504</v>
      </c>
      <c r="P104" s="62" t="str">
        <f>+RIGHT(Tabla2[[#This Row],[Item-Codigo]], LEN(Tabla2[[#This Row],[Item-Codigo]]) - FIND(" |", Tabla2[[#This Row],[Item-Codigo]]) - 1)</f>
        <v>301</v>
      </c>
      <c r="Q104" s="62">
        <v>301</v>
      </c>
      <c r="R104" s="62" t="s">
        <v>96</v>
      </c>
    </row>
    <row r="105" spans="1:18" x14ac:dyDescent="0.35">
      <c r="A105" t="s">
        <v>104</v>
      </c>
      <c r="B105" t="s">
        <v>669</v>
      </c>
      <c r="C105" s="108">
        <v>79366.8</v>
      </c>
      <c r="D105" s="108">
        <v>0</v>
      </c>
      <c r="E105" s="108">
        <v>79366.8</v>
      </c>
      <c r="F105">
        <v>0</v>
      </c>
      <c r="G105" s="108">
        <v>343227.2</v>
      </c>
      <c r="H105" s="108">
        <v>33603.154000000002</v>
      </c>
      <c r="I105" s="108">
        <v>32913.384666666701</v>
      </c>
      <c r="J105">
        <v>2.3618854349207798</v>
      </c>
      <c r="K105">
        <v>157459</v>
      </c>
      <c r="L105">
        <v>184122.95600000001</v>
      </c>
      <c r="M105">
        <v>153919</v>
      </c>
      <c r="N105">
        <v>165166.985333333</v>
      </c>
      <c r="O105">
        <v>0.48052460266090802</v>
      </c>
      <c r="P105" s="62" t="str">
        <f>+RIGHT(Tabla2[[#This Row],[Item-Codigo]], LEN(Tabla2[[#This Row],[Item-Codigo]]) - FIND(" |", Tabla2[[#This Row],[Item-Codigo]]) - 1)</f>
        <v>200</v>
      </c>
      <c r="Q105" s="62">
        <v>200</v>
      </c>
      <c r="R105" s="62" t="s">
        <v>97</v>
      </c>
    </row>
    <row r="106" spans="1:18" x14ac:dyDescent="0.35">
      <c r="A106" t="s">
        <v>104</v>
      </c>
      <c r="B106" t="s">
        <v>965</v>
      </c>
      <c r="C106" s="108">
        <v>506636.39993999997</v>
      </c>
      <c r="D106" s="108">
        <v>0</v>
      </c>
      <c r="E106" s="108">
        <v>506636.39993999997</v>
      </c>
      <c r="F106">
        <v>0</v>
      </c>
      <c r="G106" s="108">
        <v>547607.21715000004</v>
      </c>
      <c r="H106" s="108">
        <v>43314.999989999997</v>
      </c>
      <c r="I106" s="108">
        <v>35973.233326666697</v>
      </c>
      <c r="J106">
        <v>11.696557775758199</v>
      </c>
      <c r="K106">
        <v>138174.69998999999</v>
      </c>
      <c r="L106">
        <v>117342.19688</v>
      </c>
      <c r="M106">
        <v>298130.00004000001</v>
      </c>
      <c r="N106">
        <v>184548.96563666701</v>
      </c>
      <c r="O106">
        <v>2.7452681633417999</v>
      </c>
      <c r="P106" s="62" t="str">
        <f>+RIGHT(Tabla2[[#This Row],[Item-Codigo]], LEN(Tabla2[[#This Row],[Item-Codigo]]) - FIND(" |", Tabla2[[#This Row],[Item-Codigo]]) - 1)</f>
        <v>27</v>
      </c>
      <c r="Q106" s="62">
        <v>27</v>
      </c>
      <c r="R106" s="62" t="s">
        <v>967</v>
      </c>
    </row>
    <row r="107" spans="1:18" x14ac:dyDescent="0.35">
      <c r="A107" t="s">
        <v>104</v>
      </c>
      <c r="B107" t="s">
        <v>670</v>
      </c>
      <c r="C107" s="108">
        <v>28962</v>
      </c>
      <c r="D107" s="108">
        <v>0</v>
      </c>
      <c r="E107" s="108">
        <v>28962</v>
      </c>
      <c r="F107">
        <v>0</v>
      </c>
      <c r="G107" s="108">
        <v>178950</v>
      </c>
      <c r="H107" s="108">
        <v>20627.344000000001</v>
      </c>
      <c r="I107" s="108">
        <v>18687.274000000001</v>
      </c>
      <c r="J107">
        <v>1.4040586126842101</v>
      </c>
      <c r="K107">
        <v>86148.491999999998</v>
      </c>
      <c r="L107">
        <v>82895.061000000002</v>
      </c>
      <c r="M107">
        <v>87858.644</v>
      </c>
      <c r="N107">
        <v>85634.065666666706</v>
      </c>
      <c r="O107">
        <v>0.33820652767714598</v>
      </c>
      <c r="P107" s="62" t="str">
        <f>+RIGHT(Tabla2[[#This Row],[Item-Codigo]], LEN(Tabla2[[#This Row],[Item-Codigo]]) - FIND(" |", Tabla2[[#This Row],[Item-Codigo]]) - 1)</f>
        <v>701</v>
      </c>
      <c r="Q107" s="62">
        <v>701</v>
      </c>
      <c r="R107" s="62" t="s">
        <v>98</v>
      </c>
    </row>
    <row r="108" spans="1:18" x14ac:dyDescent="0.35">
      <c r="A108" t="s">
        <v>104</v>
      </c>
      <c r="B108" t="s">
        <v>671</v>
      </c>
      <c r="C108" s="108">
        <v>112782</v>
      </c>
      <c r="D108" s="108">
        <v>0</v>
      </c>
      <c r="E108" s="108">
        <v>112782</v>
      </c>
      <c r="F108">
        <v>0</v>
      </c>
      <c r="G108" s="108">
        <v>200</v>
      </c>
      <c r="H108" s="108">
        <v>18160</v>
      </c>
      <c r="I108" s="108">
        <v>20899.333333333299</v>
      </c>
      <c r="J108">
        <v>5.3964400778334198</v>
      </c>
      <c r="K108">
        <v>90228</v>
      </c>
      <c r="L108">
        <v>99508.2</v>
      </c>
      <c r="M108">
        <v>120044</v>
      </c>
      <c r="N108">
        <v>103260.066666667</v>
      </c>
      <c r="O108">
        <v>1.0922131240150299</v>
      </c>
      <c r="P108" s="62" t="str">
        <f>+RIGHT(Tabla2[[#This Row],[Item-Codigo]], LEN(Tabla2[[#This Row],[Item-Codigo]]) - FIND(" |", Tabla2[[#This Row],[Item-Codigo]]) - 1)</f>
        <v>156.4</v>
      </c>
      <c r="Q108" s="62" t="s">
        <v>524</v>
      </c>
      <c r="R108" s="62" t="s">
        <v>977</v>
      </c>
    </row>
    <row r="109" spans="1:18" x14ac:dyDescent="0.35">
      <c r="A109" t="s">
        <v>104</v>
      </c>
      <c r="B109" t="s">
        <v>1182</v>
      </c>
      <c r="C109" s="108">
        <v>263</v>
      </c>
      <c r="D109" s="108">
        <v>0</v>
      </c>
      <c r="E109" s="108">
        <v>263</v>
      </c>
      <c r="F109">
        <v>0</v>
      </c>
      <c r="G109" s="108">
        <v>0</v>
      </c>
      <c r="H109" s="108">
        <v>0</v>
      </c>
      <c r="I109" s="108">
        <v>0</v>
      </c>
      <c r="J109">
        <v>0</v>
      </c>
      <c r="K109">
        <v>2260</v>
      </c>
      <c r="L109">
        <v>150.5</v>
      </c>
      <c r="M109">
        <v>1600</v>
      </c>
      <c r="N109">
        <v>1336.8333333333301</v>
      </c>
      <c r="O109">
        <v>0.196733574367286</v>
      </c>
      <c r="P109" s="62" t="str">
        <f>+RIGHT(Tabla2[[#This Row],[Item-Codigo]], LEN(Tabla2[[#This Row],[Item-Codigo]]) - FIND(" |", Tabla2[[#This Row],[Item-Codigo]]) - 1)</f>
        <v>116.1</v>
      </c>
      <c r="Q109" s="62" t="s">
        <v>1171</v>
      </c>
      <c r="R109" s="62" t="s">
        <v>99</v>
      </c>
    </row>
    <row r="110" spans="1:18" x14ac:dyDescent="0.35">
      <c r="A110" t="s">
        <v>104</v>
      </c>
      <c r="B110" t="s">
        <v>672</v>
      </c>
      <c r="C110" s="108">
        <v>45281</v>
      </c>
      <c r="D110" s="108">
        <v>0</v>
      </c>
      <c r="E110" s="108">
        <v>45281</v>
      </c>
      <c r="F110">
        <v>0</v>
      </c>
      <c r="G110" s="108">
        <v>301057</v>
      </c>
      <c r="H110" s="108">
        <v>15790</v>
      </c>
      <c r="I110" s="108">
        <v>18997</v>
      </c>
      <c r="J110">
        <v>2.38358688213928</v>
      </c>
      <c r="K110">
        <v>102881</v>
      </c>
      <c r="L110">
        <v>77603</v>
      </c>
      <c r="M110">
        <v>104219</v>
      </c>
      <c r="N110">
        <v>94901</v>
      </c>
      <c r="O110">
        <v>0.47713933467508202</v>
      </c>
      <c r="P110" s="62" t="str">
        <f>+RIGHT(Tabla2[[#This Row],[Item-Codigo]], LEN(Tabla2[[#This Row],[Item-Codigo]]) - FIND(" |", Tabla2[[#This Row],[Item-Codigo]]) - 1)</f>
        <v>111</v>
      </c>
      <c r="Q110" s="62">
        <v>111</v>
      </c>
      <c r="R110" s="62" t="s">
        <v>184</v>
      </c>
    </row>
    <row r="111" spans="1:18" x14ac:dyDescent="0.35">
      <c r="A111" t="s">
        <v>104</v>
      </c>
      <c r="B111" t="s">
        <v>673</v>
      </c>
      <c r="C111" s="108">
        <v>16278</v>
      </c>
      <c r="D111" s="108">
        <v>0</v>
      </c>
      <c r="E111" s="108">
        <v>16278</v>
      </c>
      <c r="F111">
        <v>0</v>
      </c>
      <c r="G111" s="108">
        <v>0</v>
      </c>
      <c r="H111" s="108">
        <v>0</v>
      </c>
      <c r="I111" s="108">
        <v>2048</v>
      </c>
      <c r="J111">
        <v>7.9482421875</v>
      </c>
      <c r="K111">
        <v>13024.18</v>
      </c>
      <c r="L111">
        <v>18493</v>
      </c>
      <c r="M111">
        <v>30535.538</v>
      </c>
      <c r="N111">
        <v>20684.239333333298</v>
      </c>
      <c r="O111">
        <v>0.78697600321068895</v>
      </c>
      <c r="P111" s="62" t="str">
        <f>+RIGHT(Tabla2[[#This Row],[Item-Codigo]], LEN(Tabla2[[#This Row],[Item-Codigo]]) - FIND(" |", Tabla2[[#This Row],[Item-Codigo]]) - 1)</f>
        <v>211</v>
      </c>
      <c r="Q111" s="62">
        <v>211</v>
      </c>
      <c r="R111" s="62" t="s">
        <v>188</v>
      </c>
    </row>
    <row r="112" spans="1:18" x14ac:dyDescent="0.35">
      <c r="A112" t="s">
        <v>104</v>
      </c>
      <c r="B112" t="s">
        <v>1075</v>
      </c>
      <c r="C112" s="108">
        <v>5417</v>
      </c>
      <c r="D112" s="108">
        <v>0</v>
      </c>
      <c r="E112" s="108">
        <v>5417</v>
      </c>
      <c r="F112">
        <v>0</v>
      </c>
      <c r="G112" s="108">
        <v>0</v>
      </c>
      <c r="H112" s="108">
        <v>0</v>
      </c>
      <c r="I112" s="108">
        <v>4953.6666666666697</v>
      </c>
      <c r="J112">
        <v>1.09353340959559</v>
      </c>
      <c r="K112">
        <v>20230.95</v>
      </c>
      <c r="L112">
        <v>19464.95</v>
      </c>
      <c r="M112">
        <v>16669.98</v>
      </c>
      <c r="N112">
        <v>18788.6266666667</v>
      </c>
      <c r="O112">
        <v>0.28831271684217502</v>
      </c>
      <c r="P112" s="62" t="str">
        <f>+RIGHT(Tabla2[[#This Row],[Item-Codigo]], LEN(Tabla2[[#This Row],[Item-Codigo]]) - FIND(" |", Tabla2[[#This Row],[Item-Codigo]]) - 1)</f>
        <v>1041</v>
      </c>
      <c r="Q112" s="62">
        <v>1041</v>
      </c>
      <c r="R112" s="62" t="s">
        <v>189</v>
      </c>
    </row>
    <row r="113" spans="1:18" x14ac:dyDescent="0.35">
      <c r="A113" t="s">
        <v>104</v>
      </c>
      <c r="B113" t="s">
        <v>618</v>
      </c>
      <c r="C113" s="108">
        <v>32410</v>
      </c>
      <c r="D113" s="108">
        <v>0</v>
      </c>
      <c r="E113" s="108">
        <v>32410</v>
      </c>
      <c r="F113">
        <v>0</v>
      </c>
      <c r="G113" s="108">
        <v>55000</v>
      </c>
      <c r="H113" s="108">
        <v>7700</v>
      </c>
      <c r="I113" s="108">
        <v>7251.6666666666697</v>
      </c>
      <c r="J113">
        <v>4.2090909090909099</v>
      </c>
      <c r="K113">
        <v>37246</v>
      </c>
      <c r="L113">
        <v>60308</v>
      </c>
      <c r="M113">
        <v>53700</v>
      </c>
      <c r="N113">
        <v>50418</v>
      </c>
      <c r="O113">
        <v>0.64282597485025195</v>
      </c>
      <c r="P113" s="62" t="str">
        <f>+RIGHT(Tabla2[[#This Row],[Item-Codigo]], LEN(Tabla2[[#This Row],[Item-Codigo]]) - FIND(" |", Tabla2[[#This Row],[Item-Codigo]]) - 1)</f>
        <v>45</v>
      </c>
      <c r="Q113" s="62">
        <v>45</v>
      </c>
      <c r="R113" s="62" t="s">
        <v>131</v>
      </c>
    </row>
    <row r="114" spans="1:18" x14ac:dyDescent="0.35">
      <c r="A114" t="s">
        <v>104</v>
      </c>
      <c r="B114" t="s">
        <v>674</v>
      </c>
      <c r="C114" s="108">
        <v>0</v>
      </c>
      <c r="D114" s="108">
        <v>0</v>
      </c>
      <c r="E114" s="108">
        <v>0</v>
      </c>
      <c r="F114">
        <v>0</v>
      </c>
      <c r="G114" s="108"/>
      <c r="H114" s="108">
        <v>0</v>
      </c>
      <c r="I114" s="108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 s="62" t="str">
        <f>+RIGHT(Tabla2[[#This Row],[Item-Codigo]], LEN(Tabla2[[#This Row],[Item-Codigo]]) - FIND(" |", Tabla2[[#This Row],[Item-Codigo]]) - 1)</f>
        <v>1.1</v>
      </c>
      <c r="Q114" s="62" t="s">
        <v>494</v>
      </c>
      <c r="R114" s="62" t="s">
        <v>182</v>
      </c>
    </row>
    <row r="115" spans="1:18" x14ac:dyDescent="0.35">
      <c r="A115" t="s">
        <v>104</v>
      </c>
      <c r="B115" t="s">
        <v>675</v>
      </c>
      <c r="C115" s="108">
        <v>1000362.4301699999</v>
      </c>
      <c r="D115" s="108">
        <v>0</v>
      </c>
      <c r="E115" s="108">
        <v>1000362.4301699999</v>
      </c>
      <c r="F115">
        <v>0</v>
      </c>
      <c r="G115" s="108">
        <v>3686522.4709999999</v>
      </c>
      <c r="H115" s="108">
        <v>127685</v>
      </c>
      <c r="I115" s="108">
        <v>115452.66666666701</v>
      </c>
      <c r="J115">
        <v>7.8346119761130897</v>
      </c>
      <c r="K115">
        <v>716869</v>
      </c>
      <c r="L115">
        <v>926918.84004000004</v>
      </c>
      <c r="M115">
        <v>799841</v>
      </c>
      <c r="N115">
        <v>814542.94668000005</v>
      </c>
      <c r="O115">
        <v>1.22812730040495</v>
      </c>
      <c r="P115" s="62" t="str">
        <f>+RIGHT(Tabla2[[#This Row],[Item-Codigo]], LEN(Tabla2[[#This Row],[Item-Codigo]]) - FIND(" |", Tabla2[[#This Row],[Item-Codigo]]) - 1)</f>
        <v>1</v>
      </c>
      <c r="Q115" s="62">
        <v>1</v>
      </c>
      <c r="R115" s="62" t="s">
        <v>182</v>
      </c>
    </row>
    <row r="116" spans="1:18" x14ac:dyDescent="0.35">
      <c r="A116" t="s">
        <v>104</v>
      </c>
      <c r="B116" t="s">
        <v>676</v>
      </c>
      <c r="C116" s="108">
        <v>36219</v>
      </c>
      <c r="D116" s="108">
        <v>0</v>
      </c>
      <c r="E116" s="108">
        <v>36219</v>
      </c>
      <c r="F116">
        <v>0</v>
      </c>
      <c r="G116" s="108">
        <v>240990</v>
      </c>
      <c r="H116" s="108">
        <v>5912</v>
      </c>
      <c r="I116" s="108">
        <v>7547.3333333333303</v>
      </c>
      <c r="J116">
        <v>4.7989135235403202</v>
      </c>
      <c r="K116">
        <v>31322.9</v>
      </c>
      <c r="L116">
        <v>35760</v>
      </c>
      <c r="M116">
        <v>26420</v>
      </c>
      <c r="N116">
        <v>31167.633333333299</v>
      </c>
      <c r="O116">
        <v>1.16207090903063</v>
      </c>
      <c r="P116" s="62" t="str">
        <f>+RIGHT(Tabla2[[#This Row],[Item-Codigo]], LEN(Tabla2[[#This Row],[Item-Codigo]]) - FIND(" |", Tabla2[[#This Row],[Item-Codigo]]) - 1)</f>
        <v>14</v>
      </c>
      <c r="Q116" s="62">
        <v>14</v>
      </c>
      <c r="R116" s="62" t="s">
        <v>187</v>
      </c>
    </row>
    <row r="117" spans="1:18" x14ac:dyDescent="0.35">
      <c r="A117" t="s">
        <v>104</v>
      </c>
      <c r="B117" t="s">
        <v>677</v>
      </c>
      <c r="C117" s="108">
        <v>62522.5</v>
      </c>
      <c r="D117" s="108">
        <v>0</v>
      </c>
      <c r="E117" s="108">
        <v>62522.5</v>
      </c>
      <c r="F117">
        <v>0</v>
      </c>
      <c r="G117" s="108">
        <v>0</v>
      </c>
      <c r="H117" s="108">
        <v>9750.6</v>
      </c>
      <c r="I117" s="108">
        <v>12128.8666666667</v>
      </c>
      <c r="J117">
        <v>5.1548509616177398</v>
      </c>
      <c r="K117">
        <v>58040</v>
      </c>
      <c r="L117">
        <v>80342.47</v>
      </c>
      <c r="M117">
        <v>62226</v>
      </c>
      <c r="N117">
        <v>66869.490000000005</v>
      </c>
      <c r="O117">
        <v>0.93499292427682601</v>
      </c>
      <c r="P117" s="62" t="str">
        <f>+RIGHT(Tabla2[[#This Row],[Item-Codigo]], LEN(Tabla2[[#This Row],[Item-Codigo]]) - FIND(" |", Tabla2[[#This Row],[Item-Codigo]]) - 1)</f>
        <v>214</v>
      </c>
      <c r="Q117" s="62">
        <v>214</v>
      </c>
      <c r="R117" s="62" t="s">
        <v>186</v>
      </c>
    </row>
    <row r="118" spans="1:18" x14ac:dyDescent="0.35">
      <c r="A118" t="s">
        <v>104</v>
      </c>
      <c r="B118" t="s">
        <v>678</v>
      </c>
      <c r="C118" s="108">
        <v>65586.599990000002</v>
      </c>
      <c r="D118" s="108">
        <v>0</v>
      </c>
      <c r="E118" s="108">
        <v>65586.599990000002</v>
      </c>
      <c r="F118">
        <v>0</v>
      </c>
      <c r="G118" s="108">
        <v>0</v>
      </c>
      <c r="H118" s="108">
        <v>86480.291960000002</v>
      </c>
      <c r="I118" s="108">
        <v>78166.099966666705</v>
      </c>
      <c r="J118">
        <v>0.75839938214288105</v>
      </c>
      <c r="K118">
        <v>383351.70786000002</v>
      </c>
      <c r="L118">
        <v>62988</v>
      </c>
      <c r="M118">
        <v>0</v>
      </c>
      <c r="N118">
        <v>223169.85393000001</v>
      </c>
      <c r="O118">
        <v>0.29388646734774498</v>
      </c>
      <c r="P118" s="62" t="str">
        <f>+RIGHT(Tabla2[[#This Row],[Item-Codigo]], LEN(Tabla2[[#This Row],[Item-Codigo]]) - FIND(" |", Tabla2[[#This Row],[Item-Codigo]]) - 1)</f>
        <v>410.1</v>
      </c>
      <c r="Q118" s="62" t="s">
        <v>1183</v>
      </c>
      <c r="R118" s="62" t="s">
        <v>183</v>
      </c>
    </row>
    <row r="119" spans="1:18" x14ac:dyDescent="0.35">
      <c r="A119" t="s">
        <v>104</v>
      </c>
      <c r="B119" t="s">
        <v>679</v>
      </c>
      <c r="C119" s="108">
        <v>488577.29995999997</v>
      </c>
      <c r="D119" s="108">
        <v>0</v>
      </c>
      <c r="E119" s="108">
        <v>488577.29994</v>
      </c>
      <c r="F119">
        <v>2.0000000000000002E-5</v>
      </c>
      <c r="G119" s="108">
        <v>834025.72738000005</v>
      </c>
      <c r="H119" s="108">
        <v>77295.099969999996</v>
      </c>
      <c r="I119" s="108">
        <v>82741.297269999995</v>
      </c>
      <c r="J119">
        <v>5.9048784111479797</v>
      </c>
      <c r="K119">
        <v>396534.79184000002</v>
      </c>
      <c r="L119">
        <v>861733.49785000004</v>
      </c>
      <c r="M119">
        <v>927158.37991000002</v>
      </c>
      <c r="N119">
        <v>728475.55653333303</v>
      </c>
      <c r="O119">
        <v>0.67068454882005901</v>
      </c>
      <c r="P119" s="62" t="str">
        <f>+RIGHT(Tabla2[[#This Row],[Item-Codigo]], LEN(Tabla2[[#This Row],[Item-Codigo]]) - FIND(" |", Tabla2[[#This Row],[Item-Codigo]]) - 1)</f>
        <v>410</v>
      </c>
      <c r="Q119" s="62">
        <v>410</v>
      </c>
      <c r="R119" s="62" t="s">
        <v>183</v>
      </c>
    </row>
    <row r="120" spans="1:18" x14ac:dyDescent="0.35">
      <c r="A120" t="s">
        <v>104</v>
      </c>
      <c r="B120" t="s">
        <v>1085</v>
      </c>
      <c r="C120" s="108">
        <v>647</v>
      </c>
      <c r="D120" s="108">
        <v>0</v>
      </c>
      <c r="E120" s="108">
        <v>647</v>
      </c>
      <c r="F120">
        <v>0</v>
      </c>
      <c r="G120" s="108">
        <v>0</v>
      </c>
      <c r="H120" s="108">
        <v>2240</v>
      </c>
      <c r="I120" s="108">
        <v>3415.6666666666702</v>
      </c>
      <c r="J120">
        <v>0.189421294037279</v>
      </c>
      <c r="K120">
        <v>14985</v>
      </c>
      <c r="L120">
        <v>14375</v>
      </c>
      <c r="M120">
        <v>0</v>
      </c>
      <c r="N120">
        <v>14680</v>
      </c>
      <c r="O120">
        <v>4.4073569482288799E-2</v>
      </c>
      <c r="P120" s="62" t="str">
        <f>+RIGHT(Tabla2[[#This Row],[Item-Codigo]], LEN(Tabla2[[#This Row],[Item-Codigo]]) - FIND(" |", Tabla2[[#This Row],[Item-Codigo]]) - 1)</f>
        <v>801</v>
      </c>
      <c r="Q120" s="62">
        <v>801</v>
      </c>
      <c r="R120" s="62" t="s">
        <v>1085</v>
      </c>
    </row>
    <row r="121" spans="1:18" x14ac:dyDescent="0.35">
      <c r="A121" t="s">
        <v>104</v>
      </c>
      <c r="B121" t="s">
        <v>1084</v>
      </c>
      <c r="C121" s="108">
        <v>110</v>
      </c>
      <c r="D121" s="108">
        <v>0</v>
      </c>
      <c r="E121" s="108">
        <v>110</v>
      </c>
      <c r="F121">
        <v>0</v>
      </c>
      <c r="G121" s="108">
        <v>0</v>
      </c>
      <c r="H121" s="108">
        <v>1240</v>
      </c>
      <c r="I121" s="108">
        <v>5626.6666666666697</v>
      </c>
      <c r="J121">
        <v>1.9549763033175401E-2</v>
      </c>
      <c r="K121">
        <v>32830</v>
      </c>
      <c r="L121">
        <v>15560</v>
      </c>
      <c r="M121">
        <v>0</v>
      </c>
      <c r="N121">
        <v>24195</v>
      </c>
      <c r="O121">
        <v>4.5463938830336802E-3</v>
      </c>
      <c r="P121" s="62" t="str">
        <f>+RIGHT(Tabla2[[#This Row],[Item-Codigo]], LEN(Tabla2[[#This Row],[Item-Codigo]]) - FIND(" |", Tabla2[[#This Row],[Item-Codigo]]) - 1)</f>
        <v>800</v>
      </c>
      <c r="Q121" s="62">
        <v>800</v>
      </c>
      <c r="R121" s="62" t="s">
        <v>1084</v>
      </c>
    </row>
    <row r="122" spans="1:18" x14ac:dyDescent="0.35">
      <c r="A122" t="s">
        <v>104</v>
      </c>
      <c r="B122" t="s">
        <v>987</v>
      </c>
      <c r="C122" s="108">
        <v>232825</v>
      </c>
      <c r="D122" s="108">
        <v>0</v>
      </c>
      <c r="E122" s="108">
        <v>232825</v>
      </c>
      <c r="F122">
        <v>0</v>
      </c>
      <c r="G122" s="108"/>
      <c r="H122" s="108">
        <v>14970</v>
      </c>
      <c r="I122" s="108">
        <v>8888.3333333333303</v>
      </c>
      <c r="J122">
        <v>15.552772211088801</v>
      </c>
      <c r="K122">
        <v>35170</v>
      </c>
      <c r="L122">
        <v>0</v>
      </c>
      <c r="M122">
        <v>0</v>
      </c>
      <c r="N122">
        <v>35170</v>
      </c>
      <c r="O122">
        <v>6.6199886266704597</v>
      </c>
      <c r="P122" s="62" t="str">
        <f>+RIGHT(Tabla2[[#This Row],[Item-Codigo]], LEN(Tabla2[[#This Row],[Item-Codigo]]) - FIND(" |", Tabla2[[#This Row],[Item-Codigo]]) - 1)</f>
        <v>100.2</v>
      </c>
      <c r="Q122" s="62" t="s">
        <v>1184</v>
      </c>
      <c r="R122" s="62" t="s">
        <v>185</v>
      </c>
    </row>
    <row r="123" spans="1:18" x14ac:dyDescent="0.35">
      <c r="A123" t="s">
        <v>104</v>
      </c>
      <c r="B123" t="s">
        <v>988</v>
      </c>
      <c r="C123" s="108">
        <v>79320</v>
      </c>
      <c r="D123" s="108">
        <v>31330</v>
      </c>
      <c r="E123" s="108">
        <v>47990</v>
      </c>
      <c r="F123">
        <v>0</v>
      </c>
      <c r="G123" s="108">
        <v>203230</v>
      </c>
      <c r="H123" s="108">
        <v>0</v>
      </c>
      <c r="I123" s="108">
        <v>2819.3333333333298</v>
      </c>
      <c r="J123">
        <v>28.1343107117522</v>
      </c>
      <c r="K123">
        <v>8458</v>
      </c>
      <c r="L123">
        <v>0</v>
      </c>
      <c r="M123">
        <v>0</v>
      </c>
      <c r="N123">
        <v>8458</v>
      </c>
      <c r="O123">
        <v>9.3781035705840594</v>
      </c>
      <c r="P123" s="62" t="str">
        <f>+RIGHT(Tabla2[[#This Row],[Item-Codigo]], LEN(Tabla2[[#This Row],[Item-Codigo]]) - FIND(" |", Tabla2[[#This Row],[Item-Codigo]]) - 1)</f>
        <v>100</v>
      </c>
      <c r="Q123" s="62">
        <v>100</v>
      </c>
      <c r="R123" s="62" t="s">
        <v>988</v>
      </c>
    </row>
    <row r="124" spans="1:18" x14ac:dyDescent="0.35">
      <c r="A124" t="s">
        <v>100</v>
      </c>
      <c r="B124" t="s">
        <v>714</v>
      </c>
      <c r="C124" s="108">
        <v>54900</v>
      </c>
      <c r="D124" s="108">
        <v>0</v>
      </c>
      <c r="E124" s="108">
        <v>54900</v>
      </c>
      <c r="F124" s="108"/>
      <c r="G124" s="108">
        <v>0</v>
      </c>
      <c r="H124" s="108">
        <v>0</v>
      </c>
      <c r="I124" s="108">
        <v>416.666666666666</v>
      </c>
      <c r="J124">
        <v>131.76</v>
      </c>
      <c r="K124">
        <v>1150</v>
      </c>
      <c r="L124">
        <v>1750</v>
      </c>
      <c r="M124">
        <v>1590</v>
      </c>
      <c r="N124">
        <v>1496.6666666666699</v>
      </c>
      <c r="O124">
        <v>36.681514476614701</v>
      </c>
      <c r="P124" s="62" t="str">
        <f>+RIGHT(Tabla2[[#This Row],[Item-Codigo]], LEN(Tabla2[[#This Row],[Item-Codigo]]) - FIND(" |", Tabla2[[#This Row],[Item-Codigo]]) - 1)</f>
        <v>1027-ME</v>
      </c>
      <c r="Q124" s="62" t="s">
        <v>504</v>
      </c>
      <c r="R124" s="62" t="s">
        <v>47</v>
      </c>
    </row>
    <row r="125" spans="1:18" x14ac:dyDescent="0.35">
      <c r="A125" t="s">
        <v>680</v>
      </c>
      <c r="B125" t="s">
        <v>713</v>
      </c>
      <c r="C125" s="108">
        <v>7000</v>
      </c>
      <c r="D125" s="108">
        <v>0</v>
      </c>
      <c r="E125" s="108">
        <v>7000</v>
      </c>
      <c r="F125" s="108"/>
      <c r="G125" s="108">
        <v>0</v>
      </c>
      <c r="H125" s="108">
        <v>0</v>
      </c>
      <c r="I125" s="108">
        <v>83.333333333333002</v>
      </c>
      <c r="J125">
        <v>84.000000000000298</v>
      </c>
      <c r="K125">
        <v>600</v>
      </c>
      <c r="L125">
        <v>500</v>
      </c>
      <c r="M125">
        <v>600</v>
      </c>
      <c r="N125">
        <v>566.66666666666697</v>
      </c>
      <c r="O125">
        <v>12.352941176470599</v>
      </c>
      <c r="P125" s="62" t="str">
        <f>+RIGHT(Tabla2[[#This Row],[Item-Codigo]], LEN(Tabla2[[#This Row],[Item-Codigo]]) - FIND(" |", Tabla2[[#This Row],[Item-Codigo]]) - 1)</f>
        <v>2423</v>
      </c>
      <c r="Q125" s="62">
        <v>2423</v>
      </c>
      <c r="R125" s="62" t="s">
        <v>779</v>
      </c>
    </row>
    <row r="126" spans="1:18" x14ac:dyDescent="0.35">
      <c r="A126" t="s">
        <v>680</v>
      </c>
      <c r="B126" t="s">
        <v>769</v>
      </c>
      <c r="C126" s="108">
        <v>37100</v>
      </c>
      <c r="D126" s="108">
        <v>0</v>
      </c>
      <c r="E126" s="108">
        <v>37100</v>
      </c>
      <c r="F126" s="108"/>
      <c r="G126" s="108">
        <v>0</v>
      </c>
      <c r="H126" s="108">
        <v>0</v>
      </c>
      <c r="I126" s="108">
        <v>500</v>
      </c>
      <c r="J126">
        <v>74.2</v>
      </c>
      <c r="K126">
        <v>1500</v>
      </c>
      <c r="L126">
        <v>0</v>
      </c>
      <c r="M126">
        <v>100</v>
      </c>
      <c r="N126">
        <v>800</v>
      </c>
      <c r="O126">
        <v>46.375</v>
      </c>
      <c r="P126" s="62" t="str">
        <f>+RIGHT(Tabla2[[#This Row],[Item-Codigo]], LEN(Tabla2[[#This Row],[Item-Codigo]]) - FIND(" |", Tabla2[[#This Row],[Item-Codigo]]) - 1)</f>
        <v>4101</v>
      </c>
      <c r="Q126" s="62">
        <v>4101</v>
      </c>
      <c r="R126" s="62" t="s">
        <v>811</v>
      </c>
    </row>
    <row r="127" spans="1:18" x14ac:dyDescent="0.35">
      <c r="A127" t="s">
        <v>680</v>
      </c>
      <c r="B127" t="s">
        <v>683</v>
      </c>
      <c r="C127" s="108">
        <v>81400</v>
      </c>
      <c r="D127" s="108">
        <v>0</v>
      </c>
      <c r="E127" s="108">
        <v>81400</v>
      </c>
      <c r="F127" s="108"/>
      <c r="G127" s="108">
        <v>0</v>
      </c>
      <c r="H127" s="108">
        <v>0</v>
      </c>
      <c r="I127" s="108">
        <v>1216.6666666666699</v>
      </c>
      <c r="J127">
        <v>66.904109589041099</v>
      </c>
      <c r="K127">
        <v>3850</v>
      </c>
      <c r="L127">
        <v>1700</v>
      </c>
      <c r="M127">
        <v>1300</v>
      </c>
      <c r="N127">
        <v>2283.3333333333298</v>
      </c>
      <c r="O127">
        <v>35.649635036496299</v>
      </c>
      <c r="P127" s="62" t="str">
        <f>+RIGHT(Tabla2[[#This Row],[Item-Codigo]], LEN(Tabla2[[#This Row],[Item-Codigo]]) - FIND(" |", Tabla2[[#This Row],[Item-Codigo]]) - 1)</f>
        <v>6202-FER</v>
      </c>
      <c r="Q127" s="62" t="s">
        <v>549</v>
      </c>
      <c r="R127" s="62" t="s">
        <v>792</v>
      </c>
    </row>
    <row r="128" spans="1:18" x14ac:dyDescent="0.35">
      <c r="A128" t="s">
        <v>680</v>
      </c>
      <c r="B128" t="s">
        <v>681</v>
      </c>
      <c r="C128" s="108">
        <v>68100</v>
      </c>
      <c r="D128" s="108">
        <v>0</v>
      </c>
      <c r="E128" s="108">
        <v>68100</v>
      </c>
      <c r="F128" s="108"/>
      <c r="G128" s="108">
        <v>0</v>
      </c>
      <c r="H128" s="108">
        <v>0</v>
      </c>
      <c r="I128" s="108">
        <v>1033.3333333333301</v>
      </c>
      <c r="J128">
        <v>65.903225806451601</v>
      </c>
      <c r="K128">
        <v>3050</v>
      </c>
      <c r="L128">
        <v>150</v>
      </c>
      <c r="M128">
        <v>250</v>
      </c>
      <c r="N128">
        <v>1150</v>
      </c>
      <c r="O128">
        <v>59.2173913043478</v>
      </c>
      <c r="P128" s="62" t="str">
        <f>+RIGHT(Tabla2[[#This Row],[Item-Codigo]], LEN(Tabla2[[#This Row],[Item-Codigo]]) - FIND(" |", Tabla2[[#This Row],[Item-Codigo]]) - 1)</f>
        <v>6102-FER</v>
      </c>
      <c r="Q128" s="62" t="s">
        <v>548</v>
      </c>
      <c r="R128" s="62" t="s">
        <v>802</v>
      </c>
    </row>
    <row r="129" spans="1:18" x14ac:dyDescent="0.35">
      <c r="A129" t="s">
        <v>100</v>
      </c>
      <c r="B129" t="s">
        <v>699</v>
      </c>
      <c r="C129" s="108">
        <v>500</v>
      </c>
      <c r="D129" s="108">
        <v>0</v>
      </c>
      <c r="E129" s="108">
        <v>500</v>
      </c>
      <c r="F129" s="108"/>
      <c r="G129" s="108">
        <v>0</v>
      </c>
      <c r="H129" s="108">
        <v>0</v>
      </c>
      <c r="I129" s="108">
        <v>8.333333333333</v>
      </c>
      <c r="J129">
        <v>60.000000000002402</v>
      </c>
      <c r="K129">
        <v>75</v>
      </c>
      <c r="L129">
        <v>25</v>
      </c>
      <c r="M129">
        <v>175</v>
      </c>
      <c r="N129">
        <v>91.6666666666667</v>
      </c>
      <c r="O129">
        <v>5.4545454545454497</v>
      </c>
      <c r="P129" s="62" t="str">
        <f>+RIGHT(Tabla2[[#This Row],[Item-Codigo]], LEN(Tabla2[[#This Row],[Item-Codigo]]) - FIND(" |", Tabla2[[#This Row],[Item-Codigo]]) - 1)</f>
        <v>0118-ME</v>
      </c>
      <c r="Q129" s="62" t="s">
        <v>475</v>
      </c>
      <c r="R129" s="62" t="s">
        <v>61</v>
      </c>
    </row>
    <row r="130" spans="1:18" x14ac:dyDescent="0.35">
      <c r="A130" t="s">
        <v>100</v>
      </c>
      <c r="B130" t="s">
        <v>686</v>
      </c>
      <c r="C130" s="108">
        <v>4464</v>
      </c>
      <c r="D130" s="108">
        <v>0</v>
      </c>
      <c r="E130" s="108">
        <v>4464</v>
      </c>
      <c r="F130" s="108"/>
      <c r="G130" s="108">
        <v>0</v>
      </c>
      <c r="H130" s="108">
        <v>100</v>
      </c>
      <c r="I130" s="108">
        <v>33.333333333333002</v>
      </c>
      <c r="J130">
        <v>44.64</v>
      </c>
      <c r="K130">
        <v>200</v>
      </c>
      <c r="L130">
        <v>200</v>
      </c>
      <c r="M130">
        <v>200</v>
      </c>
      <c r="N130">
        <v>200</v>
      </c>
      <c r="O130">
        <v>22.32</v>
      </c>
      <c r="P130" s="62" t="str">
        <f>+RIGHT(Tabla2[[#This Row],[Item-Codigo]], LEN(Tabla2[[#This Row],[Item-Codigo]]) - FIND(" |", Tabla2[[#This Row],[Item-Codigo]]) - 1)</f>
        <v>0084-ME</v>
      </c>
      <c r="Q130" s="62" t="s">
        <v>471</v>
      </c>
      <c r="R130" s="62" t="s">
        <v>65</v>
      </c>
    </row>
    <row r="131" spans="1:18" x14ac:dyDescent="0.35">
      <c r="A131" t="s">
        <v>100</v>
      </c>
      <c r="B131" t="s">
        <v>688</v>
      </c>
      <c r="C131" s="108">
        <v>4536</v>
      </c>
      <c r="D131" s="108">
        <v>0</v>
      </c>
      <c r="E131" s="108">
        <v>4536</v>
      </c>
      <c r="F131" s="108"/>
      <c r="G131" s="108">
        <v>0</v>
      </c>
      <c r="H131" s="108">
        <v>120</v>
      </c>
      <c r="I131" s="108">
        <v>40</v>
      </c>
      <c r="J131">
        <v>37.799999999999997</v>
      </c>
      <c r="K131">
        <v>180</v>
      </c>
      <c r="L131">
        <v>0</v>
      </c>
      <c r="M131">
        <v>240</v>
      </c>
      <c r="N131">
        <v>210</v>
      </c>
      <c r="O131">
        <v>21.6</v>
      </c>
      <c r="P131" s="62" t="str">
        <f>+RIGHT(Tabla2[[#This Row],[Item-Codigo]], LEN(Tabla2[[#This Row],[Item-Codigo]]) - FIND(" |", Tabla2[[#This Row],[Item-Codigo]]) - 1)</f>
        <v>9511</v>
      </c>
      <c r="Q131" s="62">
        <v>9511</v>
      </c>
      <c r="R131" s="62" t="s">
        <v>56</v>
      </c>
    </row>
    <row r="132" spans="1:18" x14ac:dyDescent="0.35">
      <c r="A132" t="s">
        <v>100</v>
      </c>
      <c r="B132" t="s">
        <v>758</v>
      </c>
      <c r="C132" s="108">
        <v>12954</v>
      </c>
      <c r="D132" s="108">
        <v>0</v>
      </c>
      <c r="E132" s="108">
        <v>12954</v>
      </c>
      <c r="F132" s="108"/>
      <c r="G132" s="108">
        <v>0</v>
      </c>
      <c r="H132" s="108">
        <v>400</v>
      </c>
      <c r="I132" s="108">
        <v>133.333333333333</v>
      </c>
      <c r="J132">
        <v>32.384999999999998</v>
      </c>
      <c r="K132">
        <v>400</v>
      </c>
      <c r="L132">
        <v>600</v>
      </c>
      <c r="M132">
        <v>200</v>
      </c>
      <c r="N132">
        <v>400</v>
      </c>
      <c r="O132">
        <v>32.384999999999998</v>
      </c>
      <c r="P132" s="62" t="str">
        <f>+RIGHT(Tabla2[[#This Row],[Item-Codigo]], LEN(Tabla2[[#This Row],[Item-Codigo]]) - FIND(" |", Tabla2[[#This Row],[Item-Codigo]]) - 1)</f>
        <v>9517</v>
      </c>
      <c r="Q132" s="62">
        <v>9517</v>
      </c>
      <c r="R132" s="62" t="s">
        <v>129</v>
      </c>
    </row>
    <row r="133" spans="1:18" x14ac:dyDescent="0.35">
      <c r="A133" t="s">
        <v>100</v>
      </c>
      <c r="B133" t="s">
        <v>734</v>
      </c>
      <c r="C133" s="108">
        <v>2900</v>
      </c>
      <c r="D133" s="108">
        <v>0</v>
      </c>
      <c r="E133" s="108">
        <v>2900</v>
      </c>
      <c r="F133" s="108"/>
      <c r="G133" s="108">
        <v>0</v>
      </c>
      <c r="H133" s="108">
        <v>100</v>
      </c>
      <c r="I133" s="108">
        <v>66.666666666666003</v>
      </c>
      <c r="J133">
        <v>29</v>
      </c>
      <c r="K133">
        <v>200</v>
      </c>
      <c r="L133">
        <v>100</v>
      </c>
      <c r="M133">
        <v>200</v>
      </c>
      <c r="N133">
        <v>166.666666666667</v>
      </c>
      <c r="O133">
        <v>17.399999999999999</v>
      </c>
      <c r="P133" s="62" t="str">
        <f>+RIGHT(Tabla2[[#This Row],[Item-Codigo]], LEN(Tabla2[[#This Row],[Item-Codigo]]) - FIND(" |", Tabla2[[#This Row],[Item-Codigo]]) - 1)</f>
        <v>0083-ME</v>
      </c>
      <c r="Q133" s="62" t="s">
        <v>470</v>
      </c>
      <c r="R133" s="62" t="s">
        <v>62</v>
      </c>
    </row>
    <row r="134" spans="1:18" x14ac:dyDescent="0.35">
      <c r="A134" t="s">
        <v>680</v>
      </c>
      <c r="B134" t="s">
        <v>723</v>
      </c>
      <c r="C134" s="108">
        <v>4050</v>
      </c>
      <c r="D134" s="108">
        <v>0</v>
      </c>
      <c r="E134" s="108">
        <v>4050</v>
      </c>
      <c r="F134" s="108"/>
      <c r="G134" s="108">
        <v>0</v>
      </c>
      <c r="H134" s="108">
        <v>150</v>
      </c>
      <c r="I134" s="108">
        <v>133.333333333333</v>
      </c>
      <c r="J134">
        <v>27</v>
      </c>
      <c r="K134">
        <v>900</v>
      </c>
      <c r="L134">
        <v>2550</v>
      </c>
      <c r="M134">
        <v>1800</v>
      </c>
      <c r="N134">
        <v>1750</v>
      </c>
      <c r="O134">
        <v>2.3142857142857101</v>
      </c>
      <c r="P134" s="62" t="str">
        <f>+RIGHT(Tabla2[[#This Row],[Item-Codigo]], LEN(Tabla2[[#This Row],[Item-Codigo]]) - FIND(" |", Tabla2[[#This Row],[Item-Codigo]]) - 1)</f>
        <v>4200</v>
      </c>
      <c r="Q134" s="62">
        <v>4200</v>
      </c>
      <c r="R134" s="62" t="s">
        <v>790</v>
      </c>
    </row>
    <row r="135" spans="1:18" x14ac:dyDescent="0.35">
      <c r="A135" t="s">
        <v>100</v>
      </c>
      <c r="B135" t="s">
        <v>720</v>
      </c>
      <c r="C135" s="108">
        <v>2720</v>
      </c>
      <c r="D135" s="108">
        <v>0</v>
      </c>
      <c r="E135" s="108">
        <v>2720</v>
      </c>
      <c r="F135" s="108"/>
      <c r="G135" s="108">
        <v>0</v>
      </c>
      <c r="H135" s="108">
        <v>120</v>
      </c>
      <c r="I135" s="108">
        <v>40</v>
      </c>
      <c r="J135">
        <v>22.6666666666667</v>
      </c>
      <c r="K135">
        <v>180</v>
      </c>
      <c r="L135">
        <v>60</v>
      </c>
      <c r="M135">
        <v>0</v>
      </c>
      <c r="N135">
        <v>120</v>
      </c>
      <c r="O135">
        <v>22.6666666666667</v>
      </c>
      <c r="P135" s="62" t="str">
        <f>+RIGHT(Tabla2[[#This Row],[Item-Codigo]], LEN(Tabla2[[#This Row],[Item-Codigo]]) - FIND(" |", Tabla2[[#This Row],[Item-Codigo]]) - 1)</f>
        <v>9513</v>
      </c>
      <c r="Q135" s="62">
        <v>9513</v>
      </c>
      <c r="R135" s="62" t="s">
        <v>60</v>
      </c>
    </row>
    <row r="136" spans="1:18" x14ac:dyDescent="0.35">
      <c r="A136" t="s">
        <v>680</v>
      </c>
      <c r="B136" t="s">
        <v>682</v>
      </c>
      <c r="C136" s="108">
        <v>28350</v>
      </c>
      <c r="D136" s="108">
        <v>0</v>
      </c>
      <c r="E136" s="108">
        <v>28350</v>
      </c>
      <c r="F136" s="108"/>
      <c r="G136" s="108">
        <v>0</v>
      </c>
      <c r="H136" s="108">
        <v>0</v>
      </c>
      <c r="I136" s="108">
        <v>1366.6666666666699</v>
      </c>
      <c r="J136">
        <v>20.743902439024399</v>
      </c>
      <c r="K136">
        <v>3900</v>
      </c>
      <c r="L136">
        <v>1350</v>
      </c>
      <c r="M136">
        <v>1400</v>
      </c>
      <c r="N136">
        <v>2216.6666666666702</v>
      </c>
      <c r="O136">
        <v>12.789473684210501</v>
      </c>
      <c r="P136" s="62" t="str">
        <f>+RIGHT(Tabla2[[#This Row],[Item-Codigo]], LEN(Tabla2[[#This Row],[Item-Codigo]]) - FIND(" |", Tabla2[[#This Row],[Item-Codigo]]) - 1)</f>
        <v>6410-FER</v>
      </c>
      <c r="Q136" s="62" t="s">
        <v>550</v>
      </c>
      <c r="R136" s="62" t="s">
        <v>783</v>
      </c>
    </row>
    <row r="137" spans="1:18" x14ac:dyDescent="0.35">
      <c r="A137" t="s">
        <v>100</v>
      </c>
      <c r="B137" t="s">
        <v>709</v>
      </c>
      <c r="C137" s="108">
        <v>24534</v>
      </c>
      <c r="D137" s="108">
        <v>0</v>
      </c>
      <c r="E137" s="108">
        <v>24534</v>
      </c>
      <c r="F137" s="108"/>
      <c r="G137" s="108">
        <v>0</v>
      </c>
      <c r="H137" s="108">
        <v>1200</v>
      </c>
      <c r="I137" s="108">
        <v>950</v>
      </c>
      <c r="J137">
        <v>20.445</v>
      </c>
      <c r="K137">
        <v>3400</v>
      </c>
      <c r="L137">
        <v>9000</v>
      </c>
      <c r="M137">
        <v>11704</v>
      </c>
      <c r="N137">
        <v>8034.6666666666697</v>
      </c>
      <c r="O137">
        <v>3.0535180882841</v>
      </c>
      <c r="P137" s="62" t="str">
        <f>+RIGHT(Tabla2[[#This Row],[Item-Codigo]], LEN(Tabla2[[#This Row],[Item-Codigo]]) - FIND(" |", Tabla2[[#This Row],[Item-Codigo]]) - 1)</f>
        <v>1030-ME</v>
      </c>
      <c r="Q137" s="62" t="s">
        <v>507</v>
      </c>
      <c r="R137" s="62" t="s">
        <v>52</v>
      </c>
    </row>
    <row r="138" spans="1:18" x14ac:dyDescent="0.35">
      <c r="A138" t="s">
        <v>100</v>
      </c>
      <c r="B138" t="s">
        <v>759</v>
      </c>
      <c r="C138" s="108">
        <v>3400</v>
      </c>
      <c r="D138" s="108">
        <v>0</v>
      </c>
      <c r="E138" s="108">
        <v>3400</v>
      </c>
      <c r="F138" s="108"/>
      <c r="G138" s="108">
        <v>5000</v>
      </c>
      <c r="H138" s="108">
        <v>50</v>
      </c>
      <c r="I138" s="108">
        <v>166.666666666666</v>
      </c>
      <c r="J138">
        <v>20.400000000000102</v>
      </c>
      <c r="K138">
        <v>1450</v>
      </c>
      <c r="L138">
        <v>800</v>
      </c>
      <c r="M138">
        <v>1350</v>
      </c>
      <c r="N138">
        <v>1200</v>
      </c>
      <c r="O138">
        <v>2.8333333333333299</v>
      </c>
      <c r="P138" s="62" t="str">
        <f>+RIGHT(Tabla2[[#This Row],[Item-Codigo]], LEN(Tabla2[[#This Row],[Item-Codigo]]) - FIND(" |", Tabla2[[#This Row],[Item-Codigo]]) - 1)</f>
        <v>0112-ME</v>
      </c>
      <c r="Q138" s="62" t="s">
        <v>473</v>
      </c>
      <c r="R138" s="62" t="s">
        <v>124</v>
      </c>
    </row>
    <row r="139" spans="1:18" x14ac:dyDescent="0.35">
      <c r="A139" t="s">
        <v>100</v>
      </c>
      <c r="B139" t="s">
        <v>731</v>
      </c>
      <c r="C139" s="108">
        <v>20074</v>
      </c>
      <c r="D139" s="108">
        <v>0</v>
      </c>
      <c r="E139" s="108">
        <v>20074</v>
      </c>
      <c r="F139" s="108"/>
      <c r="G139" s="108">
        <v>0</v>
      </c>
      <c r="H139" s="108">
        <v>750</v>
      </c>
      <c r="I139" s="108">
        <v>1033.3333333333301</v>
      </c>
      <c r="J139">
        <v>19.4264516129032</v>
      </c>
      <c r="K139">
        <v>2350</v>
      </c>
      <c r="L139">
        <v>6400</v>
      </c>
      <c r="M139">
        <v>11600</v>
      </c>
      <c r="N139">
        <v>6783.3333333333303</v>
      </c>
      <c r="O139">
        <v>2.95931203931204</v>
      </c>
      <c r="P139" s="62" t="str">
        <f>+RIGHT(Tabla2[[#This Row],[Item-Codigo]], LEN(Tabla2[[#This Row],[Item-Codigo]]) - FIND(" |", Tabla2[[#This Row],[Item-Codigo]]) - 1)</f>
        <v>1031-ME</v>
      </c>
      <c r="Q139" s="62" t="s">
        <v>508</v>
      </c>
      <c r="R139" s="62" t="s">
        <v>53</v>
      </c>
    </row>
    <row r="140" spans="1:18" x14ac:dyDescent="0.35">
      <c r="A140" t="s">
        <v>100</v>
      </c>
      <c r="B140" t="s">
        <v>717</v>
      </c>
      <c r="C140" s="108">
        <v>14233</v>
      </c>
      <c r="D140" s="108">
        <v>0</v>
      </c>
      <c r="E140" s="108">
        <v>14233</v>
      </c>
      <c r="F140" s="108"/>
      <c r="G140" s="108">
        <v>0</v>
      </c>
      <c r="H140" s="108">
        <v>0</v>
      </c>
      <c r="I140" s="108">
        <v>766.66666666666595</v>
      </c>
      <c r="J140">
        <v>18.564782608695701</v>
      </c>
      <c r="K140">
        <v>2200</v>
      </c>
      <c r="L140">
        <v>5300</v>
      </c>
      <c r="M140">
        <v>2250</v>
      </c>
      <c r="N140">
        <v>3250</v>
      </c>
      <c r="O140">
        <v>4.3793846153846197</v>
      </c>
      <c r="P140" s="62" t="str">
        <f>+RIGHT(Tabla2[[#This Row],[Item-Codigo]], LEN(Tabla2[[#This Row],[Item-Codigo]]) - FIND(" |", Tabla2[[#This Row],[Item-Codigo]]) - 1)</f>
        <v>1024-ME</v>
      </c>
      <c r="Q140" s="62" t="s">
        <v>501</v>
      </c>
      <c r="R140" s="62" t="s">
        <v>44</v>
      </c>
    </row>
    <row r="141" spans="1:18" x14ac:dyDescent="0.35">
      <c r="A141" t="s">
        <v>100</v>
      </c>
      <c r="B141" t="s">
        <v>715</v>
      </c>
      <c r="C141" s="108">
        <v>17042</v>
      </c>
      <c r="D141" s="108">
        <v>0</v>
      </c>
      <c r="E141" s="108">
        <v>17042</v>
      </c>
      <c r="F141" s="108"/>
      <c r="G141" s="108">
        <v>3000</v>
      </c>
      <c r="H141" s="108">
        <v>0</v>
      </c>
      <c r="I141" s="108">
        <v>966.66666666666595</v>
      </c>
      <c r="J141">
        <v>17.629655172413798</v>
      </c>
      <c r="K141">
        <v>2550</v>
      </c>
      <c r="L141">
        <v>6100</v>
      </c>
      <c r="M141">
        <v>5581</v>
      </c>
      <c r="N141">
        <v>4743.6666666666697</v>
      </c>
      <c r="O141">
        <v>3.5925795797906002</v>
      </c>
      <c r="P141" s="62" t="str">
        <f>+RIGHT(Tabla2[[#This Row],[Item-Codigo]], LEN(Tabla2[[#This Row],[Item-Codigo]]) - FIND(" |", Tabla2[[#This Row],[Item-Codigo]]) - 1)</f>
        <v>1029-ME</v>
      </c>
      <c r="Q141" s="62" t="s">
        <v>506</v>
      </c>
      <c r="R141" s="62" t="s">
        <v>51</v>
      </c>
    </row>
    <row r="142" spans="1:18" x14ac:dyDescent="0.35">
      <c r="A142" t="s">
        <v>100</v>
      </c>
      <c r="B142" t="s">
        <v>695</v>
      </c>
      <c r="C142" s="108">
        <v>3091</v>
      </c>
      <c r="D142" s="108">
        <v>0</v>
      </c>
      <c r="E142" s="108">
        <v>3091</v>
      </c>
      <c r="F142" s="108"/>
      <c r="G142" s="108">
        <v>0</v>
      </c>
      <c r="H142" s="108">
        <v>200</v>
      </c>
      <c r="I142" s="108">
        <v>200</v>
      </c>
      <c r="J142">
        <v>15.455</v>
      </c>
      <c r="K142">
        <v>950</v>
      </c>
      <c r="L142">
        <v>600</v>
      </c>
      <c r="M142">
        <v>750</v>
      </c>
      <c r="N142">
        <v>766.66666666666697</v>
      </c>
      <c r="O142">
        <v>4.0317391304347803</v>
      </c>
      <c r="P142" s="62" t="str">
        <f>+RIGHT(Tabla2[[#This Row],[Item-Codigo]], LEN(Tabla2[[#This Row],[Item-Codigo]]) - FIND(" |", Tabla2[[#This Row],[Item-Codigo]]) - 1)</f>
        <v>0984-ME</v>
      </c>
      <c r="Q142" s="62" t="s">
        <v>485</v>
      </c>
      <c r="R142" s="62" t="s">
        <v>123</v>
      </c>
    </row>
    <row r="143" spans="1:18" x14ac:dyDescent="0.35">
      <c r="A143" t="s">
        <v>680</v>
      </c>
      <c r="B143" t="s">
        <v>690</v>
      </c>
      <c r="C143" s="108">
        <v>4450</v>
      </c>
      <c r="D143" s="108">
        <v>0</v>
      </c>
      <c r="E143" s="108">
        <v>4450</v>
      </c>
      <c r="F143" s="108"/>
      <c r="G143" s="108">
        <v>0</v>
      </c>
      <c r="H143" s="108">
        <v>300</v>
      </c>
      <c r="I143" s="108">
        <v>233.333333333333</v>
      </c>
      <c r="J143">
        <v>14.8333333333333</v>
      </c>
      <c r="K143">
        <v>5000</v>
      </c>
      <c r="L143">
        <v>600</v>
      </c>
      <c r="M143">
        <v>700</v>
      </c>
      <c r="N143">
        <v>2100</v>
      </c>
      <c r="O143">
        <v>2.11904761904762</v>
      </c>
      <c r="P143" s="62" t="str">
        <f>+RIGHT(Tabla2[[#This Row],[Item-Codigo]], LEN(Tabla2[[#This Row],[Item-Codigo]]) - FIND(" |", Tabla2[[#This Row],[Item-Codigo]]) - 1)</f>
        <v>2408</v>
      </c>
      <c r="Q143" s="62">
        <v>2408</v>
      </c>
      <c r="R143" s="62" t="s">
        <v>789</v>
      </c>
    </row>
    <row r="144" spans="1:18" x14ac:dyDescent="0.35">
      <c r="A144" t="s">
        <v>100</v>
      </c>
      <c r="B144" t="s">
        <v>693</v>
      </c>
      <c r="C144" s="108">
        <v>7384</v>
      </c>
      <c r="D144" s="108">
        <v>84</v>
      </c>
      <c r="E144" s="108">
        <v>7300</v>
      </c>
      <c r="F144" s="108"/>
      <c r="G144" s="108">
        <v>0</v>
      </c>
      <c r="H144" s="108">
        <v>500</v>
      </c>
      <c r="I144" s="108">
        <v>457.666666666666</v>
      </c>
      <c r="J144">
        <v>14.768000000000001</v>
      </c>
      <c r="K144">
        <v>2173</v>
      </c>
      <c r="L144">
        <v>2000</v>
      </c>
      <c r="M144">
        <v>2000</v>
      </c>
      <c r="N144">
        <v>2057.6666666666702</v>
      </c>
      <c r="O144">
        <v>3.5885306982018501</v>
      </c>
      <c r="P144" s="62" t="str">
        <f>+RIGHT(Tabla2[[#This Row],[Item-Codigo]], LEN(Tabla2[[#This Row],[Item-Codigo]]) - FIND(" |", Tabla2[[#This Row],[Item-Codigo]]) - 1)</f>
        <v>0111-ME</v>
      </c>
      <c r="Q144" s="62" t="s">
        <v>472</v>
      </c>
      <c r="R144" s="62" t="s">
        <v>125</v>
      </c>
    </row>
    <row r="145" spans="1:18" x14ac:dyDescent="0.35">
      <c r="A145" t="s">
        <v>100</v>
      </c>
      <c r="B145" t="s">
        <v>727</v>
      </c>
      <c r="C145" s="108">
        <v>4116</v>
      </c>
      <c r="D145" s="108">
        <v>0</v>
      </c>
      <c r="E145" s="108">
        <v>4116</v>
      </c>
      <c r="F145" s="108"/>
      <c r="G145" s="108">
        <v>0</v>
      </c>
      <c r="H145" s="108">
        <v>300</v>
      </c>
      <c r="I145" s="108">
        <v>100</v>
      </c>
      <c r="J145">
        <v>13.72</v>
      </c>
      <c r="K145">
        <v>1250</v>
      </c>
      <c r="L145">
        <v>1200</v>
      </c>
      <c r="M145">
        <v>1000</v>
      </c>
      <c r="N145">
        <v>1150</v>
      </c>
      <c r="O145">
        <v>3.5791304347826101</v>
      </c>
      <c r="P145" s="62" t="str">
        <f>+RIGHT(Tabla2[[#This Row],[Item-Codigo]], LEN(Tabla2[[#This Row],[Item-Codigo]]) - FIND(" |", Tabla2[[#This Row],[Item-Codigo]]) - 1)</f>
        <v>0994-ME</v>
      </c>
      <c r="Q145" s="62" t="s">
        <v>491</v>
      </c>
      <c r="R145" s="62" t="s">
        <v>118</v>
      </c>
    </row>
    <row r="146" spans="1:18" x14ac:dyDescent="0.35">
      <c r="A146" t="s">
        <v>100</v>
      </c>
      <c r="B146" t="s">
        <v>689</v>
      </c>
      <c r="C146" s="108">
        <v>12650</v>
      </c>
      <c r="D146" s="108">
        <v>0</v>
      </c>
      <c r="E146" s="108">
        <v>12650</v>
      </c>
      <c r="F146" s="108"/>
      <c r="G146" s="108">
        <v>0</v>
      </c>
      <c r="H146" s="108">
        <v>950</v>
      </c>
      <c r="I146" s="108">
        <v>883.33333333333303</v>
      </c>
      <c r="J146">
        <v>13.3157894736842</v>
      </c>
      <c r="K146">
        <v>5250</v>
      </c>
      <c r="L146">
        <v>5500</v>
      </c>
      <c r="M146">
        <v>6001</v>
      </c>
      <c r="N146">
        <v>5583.6666666666697</v>
      </c>
      <c r="O146">
        <v>2.26553638588741</v>
      </c>
      <c r="P146" s="62" t="str">
        <f>+RIGHT(Tabla2[[#This Row],[Item-Codigo]], LEN(Tabla2[[#This Row],[Item-Codigo]]) - FIND(" |", Tabla2[[#This Row],[Item-Codigo]]) - 1)</f>
        <v>1019-ME</v>
      </c>
      <c r="Q146" s="62" t="s">
        <v>497</v>
      </c>
      <c r="R146" s="62" t="s">
        <v>111</v>
      </c>
    </row>
    <row r="147" spans="1:18" x14ac:dyDescent="0.35">
      <c r="A147" t="s">
        <v>100</v>
      </c>
      <c r="B147" t="s">
        <v>721</v>
      </c>
      <c r="C147" s="108">
        <v>6274</v>
      </c>
      <c r="D147" s="108">
        <v>0</v>
      </c>
      <c r="E147" s="108">
        <v>6274</v>
      </c>
      <c r="F147" s="108"/>
      <c r="G147" s="108">
        <v>0</v>
      </c>
      <c r="H147" s="108">
        <v>400</v>
      </c>
      <c r="I147" s="108">
        <v>583.33333333333303</v>
      </c>
      <c r="J147">
        <v>10.755428571428601</v>
      </c>
      <c r="K147">
        <v>1950</v>
      </c>
      <c r="L147">
        <v>2050</v>
      </c>
      <c r="M147">
        <v>2604</v>
      </c>
      <c r="N147">
        <v>2201.3333333333298</v>
      </c>
      <c r="O147">
        <v>2.8500908540278602</v>
      </c>
      <c r="P147" s="62" t="str">
        <f>+RIGHT(Tabla2[[#This Row],[Item-Codigo]], LEN(Tabla2[[#This Row],[Item-Codigo]]) - FIND(" |", Tabla2[[#This Row],[Item-Codigo]]) - 1)</f>
        <v>0995-ME</v>
      </c>
      <c r="Q147" s="62" t="s">
        <v>492</v>
      </c>
      <c r="R147" s="62" t="s">
        <v>108</v>
      </c>
    </row>
    <row r="148" spans="1:18" x14ac:dyDescent="0.35">
      <c r="A148" t="s">
        <v>100</v>
      </c>
      <c r="B148" t="s">
        <v>703</v>
      </c>
      <c r="C148" s="108">
        <v>6826</v>
      </c>
      <c r="D148" s="108">
        <v>0</v>
      </c>
      <c r="E148" s="108">
        <v>6826</v>
      </c>
      <c r="F148" s="108"/>
      <c r="G148" s="108">
        <v>0</v>
      </c>
      <c r="H148" s="108">
        <v>0</v>
      </c>
      <c r="I148" s="108">
        <v>650</v>
      </c>
      <c r="J148">
        <v>10.5015384615385</v>
      </c>
      <c r="K148">
        <v>3950</v>
      </c>
      <c r="L148">
        <v>3550</v>
      </c>
      <c r="M148">
        <v>2151</v>
      </c>
      <c r="N148">
        <v>3217</v>
      </c>
      <c r="O148">
        <v>2.12185265775567</v>
      </c>
      <c r="P148" s="62" t="str">
        <f>+RIGHT(Tabla2[[#This Row],[Item-Codigo]], LEN(Tabla2[[#This Row],[Item-Codigo]]) - FIND(" |", Tabla2[[#This Row],[Item-Codigo]]) - 1)</f>
        <v>0754-ME</v>
      </c>
      <c r="Q148" s="62" t="s">
        <v>482</v>
      </c>
      <c r="R148" s="62" t="s">
        <v>112</v>
      </c>
    </row>
    <row r="149" spans="1:18" x14ac:dyDescent="0.35">
      <c r="A149" t="s">
        <v>100</v>
      </c>
      <c r="B149" t="s">
        <v>719</v>
      </c>
      <c r="C149" s="108">
        <v>4190</v>
      </c>
      <c r="D149" s="108">
        <v>0</v>
      </c>
      <c r="E149" s="108">
        <v>4190</v>
      </c>
      <c r="F149" s="108"/>
      <c r="G149" s="108">
        <v>0</v>
      </c>
      <c r="H149" s="108">
        <v>400</v>
      </c>
      <c r="I149" s="108">
        <v>433.33333333333297</v>
      </c>
      <c r="J149">
        <v>9.6692307692307793</v>
      </c>
      <c r="K149">
        <v>2000</v>
      </c>
      <c r="L149">
        <v>1150</v>
      </c>
      <c r="M149">
        <v>2001</v>
      </c>
      <c r="N149">
        <v>1717</v>
      </c>
      <c r="O149">
        <v>2.44030285381479</v>
      </c>
      <c r="P149" s="62" t="str">
        <f>+RIGHT(Tabla2[[#This Row],[Item-Codigo]], LEN(Tabla2[[#This Row],[Item-Codigo]]) - FIND(" |", Tabla2[[#This Row],[Item-Codigo]]) - 1)</f>
        <v>0988-ME</v>
      </c>
      <c r="Q149" s="62" t="s">
        <v>489</v>
      </c>
      <c r="R149" s="62" t="s">
        <v>119</v>
      </c>
    </row>
    <row r="150" spans="1:18" x14ac:dyDescent="0.35">
      <c r="A150" t="s">
        <v>100</v>
      </c>
      <c r="B150" t="s">
        <v>705</v>
      </c>
      <c r="C150" s="108">
        <v>3661</v>
      </c>
      <c r="D150" s="108">
        <v>0</v>
      </c>
      <c r="E150" s="108">
        <v>3661</v>
      </c>
      <c r="F150" s="108"/>
      <c r="G150" s="108">
        <v>0</v>
      </c>
      <c r="H150" s="108">
        <v>200</v>
      </c>
      <c r="I150" s="108">
        <v>450</v>
      </c>
      <c r="J150">
        <v>8.1355555555555608</v>
      </c>
      <c r="K150">
        <v>2000</v>
      </c>
      <c r="L150">
        <v>1950</v>
      </c>
      <c r="M150">
        <v>1825</v>
      </c>
      <c r="N150">
        <v>1925</v>
      </c>
      <c r="O150">
        <v>1.9018181818181801</v>
      </c>
      <c r="P150" s="62" t="str">
        <f>+RIGHT(Tabla2[[#This Row],[Item-Codigo]], LEN(Tabla2[[#This Row],[Item-Codigo]]) - FIND(" |", Tabla2[[#This Row],[Item-Codigo]]) - 1)</f>
        <v>0986-ME</v>
      </c>
      <c r="Q150" s="62" t="s">
        <v>487</v>
      </c>
      <c r="R150" s="62" t="s">
        <v>120</v>
      </c>
    </row>
    <row r="151" spans="1:18" x14ac:dyDescent="0.35">
      <c r="A151" t="s">
        <v>680</v>
      </c>
      <c r="B151" t="s">
        <v>966</v>
      </c>
      <c r="C151" s="108">
        <v>8000</v>
      </c>
      <c r="D151" s="108">
        <v>0</v>
      </c>
      <c r="E151" s="108">
        <v>8000</v>
      </c>
      <c r="F151" s="108"/>
      <c r="G151" s="108">
        <v>0</v>
      </c>
      <c r="H151" s="108">
        <v>1000</v>
      </c>
      <c r="I151" s="108">
        <v>983.33333333333303</v>
      </c>
      <c r="J151">
        <v>8</v>
      </c>
      <c r="K151">
        <v>5900</v>
      </c>
      <c r="L151">
        <v>4000</v>
      </c>
      <c r="M151">
        <v>2600</v>
      </c>
      <c r="N151">
        <v>4166.6666666666697</v>
      </c>
      <c r="O151">
        <v>1.92</v>
      </c>
      <c r="P151" s="62" t="str">
        <f>+RIGHT(Tabla2[[#This Row],[Item-Codigo]], LEN(Tabla2[[#This Row],[Item-Codigo]]) - FIND(" |", Tabla2[[#This Row],[Item-Codigo]]) - 1)</f>
        <v>9504</v>
      </c>
      <c r="Q151" s="62">
        <v>9504</v>
      </c>
      <c r="R151" s="62" t="s">
        <v>1040</v>
      </c>
    </row>
    <row r="152" spans="1:18" x14ac:dyDescent="0.35">
      <c r="A152" t="s">
        <v>100</v>
      </c>
      <c r="B152" t="s">
        <v>710</v>
      </c>
      <c r="C152" s="108">
        <v>1941</v>
      </c>
      <c r="D152" s="108">
        <v>0</v>
      </c>
      <c r="E152" s="108">
        <v>1941</v>
      </c>
      <c r="F152" s="108"/>
      <c r="G152" s="108">
        <v>5000</v>
      </c>
      <c r="H152" s="108">
        <v>250</v>
      </c>
      <c r="I152" s="108">
        <v>200</v>
      </c>
      <c r="J152">
        <v>7.7640000000000002</v>
      </c>
      <c r="K152">
        <v>1450</v>
      </c>
      <c r="L152">
        <v>1050</v>
      </c>
      <c r="M152">
        <v>1650</v>
      </c>
      <c r="N152">
        <v>1383.3333333333301</v>
      </c>
      <c r="O152">
        <v>1.40313253012048</v>
      </c>
      <c r="P152" s="62" t="str">
        <f>+RIGHT(Tabla2[[#This Row],[Item-Codigo]], LEN(Tabla2[[#This Row],[Item-Codigo]]) - FIND(" |", Tabla2[[#This Row],[Item-Codigo]]) - 1)</f>
        <v>0983-ME</v>
      </c>
      <c r="Q152" s="62" t="s">
        <v>484</v>
      </c>
      <c r="R152" s="62" t="s">
        <v>113</v>
      </c>
    </row>
    <row r="153" spans="1:18" x14ac:dyDescent="0.35">
      <c r="A153" t="s">
        <v>100</v>
      </c>
      <c r="B153" t="s">
        <v>712</v>
      </c>
      <c r="C153" s="108">
        <v>3600</v>
      </c>
      <c r="D153" s="108">
        <v>0</v>
      </c>
      <c r="E153" s="108">
        <v>3600</v>
      </c>
      <c r="F153" s="108"/>
      <c r="G153" s="108">
        <v>3150</v>
      </c>
      <c r="H153" s="108">
        <v>500</v>
      </c>
      <c r="I153" s="108">
        <v>350</v>
      </c>
      <c r="J153">
        <v>7.2</v>
      </c>
      <c r="K153">
        <v>1750</v>
      </c>
      <c r="L153">
        <v>1200</v>
      </c>
      <c r="M153">
        <v>2205</v>
      </c>
      <c r="N153">
        <v>1718.3333333333301</v>
      </c>
      <c r="O153">
        <v>2.0950533462657601</v>
      </c>
      <c r="P153" s="62" t="str">
        <f>+RIGHT(Tabla2[[#This Row],[Item-Codigo]], LEN(Tabla2[[#This Row],[Item-Codigo]]) - FIND(" |", Tabla2[[#This Row],[Item-Codigo]]) - 1)</f>
        <v>0993-ME</v>
      </c>
      <c r="Q153" s="62" t="s">
        <v>490</v>
      </c>
      <c r="R153" s="62" t="s">
        <v>106</v>
      </c>
    </row>
    <row r="154" spans="1:18" x14ac:dyDescent="0.35">
      <c r="A154" t="s">
        <v>100</v>
      </c>
      <c r="B154" t="s">
        <v>728</v>
      </c>
      <c r="C154" s="108">
        <v>1976</v>
      </c>
      <c r="D154" s="108">
        <v>0</v>
      </c>
      <c r="E154" s="108">
        <v>1976</v>
      </c>
      <c r="F154" s="108"/>
      <c r="G154" s="108">
        <v>0</v>
      </c>
      <c r="H154" s="108">
        <v>300</v>
      </c>
      <c r="I154" s="108">
        <v>200</v>
      </c>
      <c r="J154">
        <v>6.5866666666666696</v>
      </c>
      <c r="K154">
        <v>900</v>
      </c>
      <c r="L154">
        <v>600</v>
      </c>
      <c r="M154">
        <v>700</v>
      </c>
      <c r="N154">
        <v>733.33333333333303</v>
      </c>
      <c r="O154">
        <v>2.6945454545454499</v>
      </c>
      <c r="P154" s="62" t="str">
        <f>+RIGHT(Tabla2[[#This Row],[Item-Codigo]], LEN(Tabla2[[#This Row],[Item-Codigo]]) - FIND(" |", Tabla2[[#This Row],[Item-Codigo]]) - 1)</f>
        <v>0174-ME</v>
      </c>
      <c r="Q154" s="62" t="s">
        <v>477</v>
      </c>
      <c r="R154" s="62" t="s">
        <v>122</v>
      </c>
    </row>
    <row r="155" spans="1:18" x14ac:dyDescent="0.35">
      <c r="A155" t="s">
        <v>100</v>
      </c>
      <c r="B155" t="s">
        <v>722</v>
      </c>
      <c r="C155" s="108">
        <v>2620</v>
      </c>
      <c r="D155" s="108">
        <v>0</v>
      </c>
      <c r="E155" s="108">
        <v>2620</v>
      </c>
      <c r="F155" s="108"/>
      <c r="G155" s="108">
        <v>0</v>
      </c>
      <c r="H155" s="108">
        <v>0</v>
      </c>
      <c r="I155" s="108">
        <v>400</v>
      </c>
      <c r="J155">
        <v>6.55</v>
      </c>
      <c r="K155">
        <v>3400</v>
      </c>
      <c r="L155">
        <v>2950</v>
      </c>
      <c r="M155">
        <v>2333</v>
      </c>
      <c r="N155">
        <v>2894.3333333333298</v>
      </c>
      <c r="O155">
        <v>0.90521709086721203</v>
      </c>
      <c r="P155" s="62" t="str">
        <f>+RIGHT(Tabla2[[#This Row],[Item-Codigo]], LEN(Tabla2[[#This Row],[Item-Codigo]]) - FIND(" |", Tabla2[[#This Row],[Item-Codigo]]) - 1)</f>
        <v>0987-ME</v>
      </c>
      <c r="Q155" s="62" t="s">
        <v>488</v>
      </c>
      <c r="R155" s="62" t="s">
        <v>117</v>
      </c>
    </row>
    <row r="156" spans="1:18" x14ac:dyDescent="0.35">
      <c r="A156" t="s">
        <v>100</v>
      </c>
      <c r="B156" t="s">
        <v>702</v>
      </c>
      <c r="C156" s="108">
        <v>3772</v>
      </c>
      <c r="D156" s="108">
        <v>0</v>
      </c>
      <c r="E156" s="108">
        <v>3772</v>
      </c>
      <c r="F156" s="108"/>
      <c r="G156" s="108">
        <v>5000</v>
      </c>
      <c r="H156" s="108">
        <v>0</v>
      </c>
      <c r="I156" s="108">
        <v>616.66666666666595</v>
      </c>
      <c r="J156">
        <v>6.11675675675676</v>
      </c>
      <c r="K156">
        <v>1450</v>
      </c>
      <c r="L156">
        <v>3400</v>
      </c>
      <c r="M156">
        <v>2931</v>
      </c>
      <c r="N156">
        <v>2593.6666666666702</v>
      </c>
      <c r="O156">
        <v>1.45431178511759</v>
      </c>
      <c r="P156" s="62" t="str">
        <f>+RIGHT(Tabla2[[#This Row],[Item-Codigo]], LEN(Tabla2[[#This Row],[Item-Codigo]]) - FIND(" |", Tabla2[[#This Row],[Item-Codigo]]) - 1)</f>
        <v>0115-ME</v>
      </c>
      <c r="Q156" s="62" t="s">
        <v>474</v>
      </c>
      <c r="R156" s="62" t="s">
        <v>115</v>
      </c>
    </row>
    <row r="157" spans="1:18" x14ac:dyDescent="0.35">
      <c r="A157" t="s">
        <v>100</v>
      </c>
      <c r="B157" t="s">
        <v>736</v>
      </c>
      <c r="C157" s="108">
        <v>44577</v>
      </c>
      <c r="D157" s="108">
        <v>0</v>
      </c>
      <c r="E157" s="108">
        <v>44577</v>
      </c>
      <c r="F157" s="108"/>
      <c r="G157" s="108">
        <v>9835</v>
      </c>
      <c r="H157" s="108">
        <v>8000</v>
      </c>
      <c r="I157" s="108">
        <v>9933.3333333333303</v>
      </c>
      <c r="J157">
        <v>4.4876174496644303</v>
      </c>
      <c r="K157">
        <v>43200</v>
      </c>
      <c r="L157">
        <v>33450</v>
      </c>
      <c r="M157">
        <v>26211</v>
      </c>
      <c r="N157">
        <v>34287</v>
      </c>
      <c r="O157">
        <v>1.30011374573453</v>
      </c>
      <c r="P157" s="62" t="str">
        <f>+RIGHT(Tabla2[[#This Row],[Item-Codigo]], LEN(Tabla2[[#This Row],[Item-Codigo]]) - FIND(" |", Tabla2[[#This Row],[Item-Codigo]]) - 1)</f>
        <v>1025-ME</v>
      </c>
      <c r="Q157" s="62" t="s">
        <v>502</v>
      </c>
      <c r="R157" s="62" t="s">
        <v>45</v>
      </c>
    </row>
    <row r="158" spans="1:18" x14ac:dyDescent="0.35">
      <c r="A158" t="s">
        <v>680</v>
      </c>
      <c r="B158" t="s">
        <v>733</v>
      </c>
      <c r="C158" s="108">
        <v>6800</v>
      </c>
      <c r="D158" s="108">
        <v>0</v>
      </c>
      <c r="E158" s="108">
        <v>6800</v>
      </c>
      <c r="F158" s="108"/>
      <c r="G158" s="108">
        <v>0</v>
      </c>
      <c r="H158" s="108">
        <v>1700</v>
      </c>
      <c r="I158" s="108">
        <v>1066.6666666666699</v>
      </c>
      <c r="J158">
        <v>4</v>
      </c>
      <c r="K158">
        <v>5350</v>
      </c>
      <c r="L158">
        <v>2950</v>
      </c>
      <c r="M158">
        <v>3000</v>
      </c>
      <c r="N158">
        <v>3766.6666666666702</v>
      </c>
      <c r="O158">
        <v>1.80530973451327</v>
      </c>
      <c r="P158" s="62" t="str">
        <f>+RIGHT(Tabla2[[#This Row],[Item-Codigo]], LEN(Tabla2[[#This Row],[Item-Codigo]]) - FIND(" |", Tabla2[[#This Row],[Item-Codigo]]) - 1)</f>
        <v>4300</v>
      </c>
      <c r="Q158" s="62">
        <v>4300</v>
      </c>
      <c r="R158" s="62" t="s">
        <v>787</v>
      </c>
    </row>
    <row r="159" spans="1:18" x14ac:dyDescent="0.35">
      <c r="A159" t="s">
        <v>100</v>
      </c>
      <c r="B159" t="s">
        <v>696</v>
      </c>
      <c r="C159" s="108">
        <v>1222</v>
      </c>
      <c r="D159" s="108">
        <v>0</v>
      </c>
      <c r="E159" s="108">
        <v>1222</v>
      </c>
      <c r="F159" s="108"/>
      <c r="G159" s="108">
        <v>5000</v>
      </c>
      <c r="H159" s="108">
        <v>200</v>
      </c>
      <c r="I159" s="108">
        <v>333.33333333333297</v>
      </c>
      <c r="J159">
        <v>3.6659999999999999</v>
      </c>
      <c r="K159">
        <v>1900</v>
      </c>
      <c r="L159">
        <v>1250</v>
      </c>
      <c r="M159">
        <v>1202</v>
      </c>
      <c r="N159">
        <v>1450.6666666666699</v>
      </c>
      <c r="O159">
        <v>0.84237132352941202</v>
      </c>
      <c r="P159" s="62" t="str">
        <f>+RIGHT(Tabla2[[#This Row],[Item-Codigo]], LEN(Tabla2[[#This Row],[Item-Codigo]]) - FIND(" |", Tabla2[[#This Row],[Item-Codigo]]) - 1)</f>
        <v>0752-ME</v>
      </c>
      <c r="Q159" s="62" t="s">
        <v>481</v>
      </c>
      <c r="R159" s="62" t="s">
        <v>116</v>
      </c>
    </row>
    <row r="160" spans="1:18" x14ac:dyDescent="0.35">
      <c r="A160" t="s">
        <v>100</v>
      </c>
      <c r="B160" t="s">
        <v>732</v>
      </c>
      <c r="C160" s="108">
        <v>16247</v>
      </c>
      <c r="D160" s="108">
        <v>0</v>
      </c>
      <c r="E160" s="108">
        <v>16247</v>
      </c>
      <c r="F160" s="108"/>
      <c r="G160" s="108">
        <v>428</v>
      </c>
      <c r="H160" s="108">
        <v>6350</v>
      </c>
      <c r="I160" s="108">
        <v>4916.6666666666697</v>
      </c>
      <c r="J160">
        <v>2.5585826771653499</v>
      </c>
      <c r="K160">
        <v>20400</v>
      </c>
      <c r="L160">
        <v>15050</v>
      </c>
      <c r="M160">
        <v>21728</v>
      </c>
      <c r="N160">
        <v>19059.333333333299</v>
      </c>
      <c r="O160">
        <v>0.85244324740284705</v>
      </c>
      <c r="P160" s="62" t="str">
        <f>+RIGHT(Tabla2[[#This Row],[Item-Codigo]], LEN(Tabla2[[#This Row],[Item-Codigo]]) - FIND(" |", Tabla2[[#This Row],[Item-Codigo]]) - 1)</f>
        <v>0201-ME</v>
      </c>
      <c r="Q160" s="62" t="s">
        <v>478</v>
      </c>
      <c r="R160" s="62" t="s">
        <v>105</v>
      </c>
    </row>
    <row r="161" spans="1:18" x14ac:dyDescent="0.35">
      <c r="A161" t="s">
        <v>680</v>
      </c>
      <c r="B161" t="s">
        <v>773</v>
      </c>
      <c r="C161" s="108">
        <v>1350</v>
      </c>
      <c r="D161" s="108">
        <v>0</v>
      </c>
      <c r="E161" s="108">
        <v>1350</v>
      </c>
      <c r="F161" s="108"/>
      <c r="G161" s="108">
        <v>0</v>
      </c>
      <c r="H161" s="108">
        <v>550</v>
      </c>
      <c r="I161" s="108">
        <v>300</v>
      </c>
      <c r="J161">
        <v>2.4545454545454501</v>
      </c>
      <c r="K161">
        <v>700</v>
      </c>
      <c r="L161">
        <v>350</v>
      </c>
      <c r="M161">
        <v>500</v>
      </c>
      <c r="N161">
        <v>516.66666666666697</v>
      </c>
      <c r="O161">
        <v>2.6129032258064502</v>
      </c>
      <c r="P161" s="62" t="str">
        <f>+RIGHT(Tabla2[[#This Row],[Item-Codigo]], LEN(Tabla2[[#This Row],[Item-Codigo]]) - FIND(" |", Tabla2[[#This Row],[Item-Codigo]]) - 1)</f>
        <v>1102</v>
      </c>
      <c r="Q161" s="62">
        <v>1102</v>
      </c>
      <c r="R161" s="62" t="s">
        <v>804</v>
      </c>
    </row>
    <row r="162" spans="1:18" x14ac:dyDescent="0.35">
      <c r="A162" t="s">
        <v>100</v>
      </c>
      <c r="B162" t="s">
        <v>726</v>
      </c>
      <c r="C162" s="108">
        <v>941</v>
      </c>
      <c r="D162" s="108">
        <v>0</v>
      </c>
      <c r="E162" s="108">
        <v>941</v>
      </c>
      <c r="F162" s="108"/>
      <c r="G162" s="108">
        <v>10000</v>
      </c>
      <c r="H162" s="108">
        <v>400</v>
      </c>
      <c r="I162" s="108">
        <v>466.666666666666</v>
      </c>
      <c r="J162">
        <v>2.0164285714285701</v>
      </c>
      <c r="K162">
        <v>2650</v>
      </c>
      <c r="L162">
        <v>3200</v>
      </c>
      <c r="M162">
        <v>2300</v>
      </c>
      <c r="N162">
        <v>2716.6666666666702</v>
      </c>
      <c r="O162">
        <v>0.34638036809815997</v>
      </c>
      <c r="P162" s="62" t="str">
        <f>+RIGHT(Tabla2[[#This Row],[Item-Codigo]], LEN(Tabla2[[#This Row],[Item-Codigo]]) - FIND(" |", Tabla2[[#This Row],[Item-Codigo]]) - 1)</f>
        <v>0751-ME</v>
      </c>
      <c r="Q162" s="62" t="s">
        <v>480</v>
      </c>
      <c r="R162" s="62" t="s">
        <v>110</v>
      </c>
    </row>
    <row r="163" spans="1:18" x14ac:dyDescent="0.35">
      <c r="A163" t="s">
        <v>680</v>
      </c>
      <c r="B163" t="s">
        <v>697</v>
      </c>
      <c r="C163" s="108">
        <v>3650</v>
      </c>
      <c r="D163" s="108">
        <v>0</v>
      </c>
      <c r="E163" s="108">
        <v>3650</v>
      </c>
      <c r="F163" s="108"/>
      <c r="G163" s="108">
        <v>0</v>
      </c>
      <c r="H163" s="108">
        <v>2000</v>
      </c>
      <c r="I163" s="108">
        <v>1083.3333333333301</v>
      </c>
      <c r="J163">
        <v>1.825</v>
      </c>
      <c r="K163">
        <v>2900</v>
      </c>
      <c r="L163">
        <v>3150</v>
      </c>
      <c r="M163">
        <v>1650</v>
      </c>
      <c r="N163">
        <v>2566.6666666666702</v>
      </c>
      <c r="O163">
        <v>1.4220779220779201</v>
      </c>
      <c r="P163" s="62" t="str">
        <f>+RIGHT(Tabla2[[#This Row],[Item-Codigo]], LEN(Tabla2[[#This Row],[Item-Codigo]]) - FIND(" |", Tabla2[[#This Row],[Item-Codigo]]) - 1)</f>
        <v>2435</v>
      </c>
      <c r="Q163" s="62">
        <v>2435</v>
      </c>
      <c r="R163" s="62" t="s">
        <v>801</v>
      </c>
    </row>
    <row r="164" spans="1:18" x14ac:dyDescent="0.35">
      <c r="A164" t="s">
        <v>100</v>
      </c>
      <c r="B164" t="s">
        <v>729</v>
      </c>
      <c r="C164" s="108">
        <v>11301</v>
      </c>
      <c r="D164" s="108">
        <v>0</v>
      </c>
      <c r="E164" s="108">
        <v>11301</v>
      </c>
      <c r="F164" s="108"/>
      <c r="G164" s="108">
        <v>44500</v>
      </c>
      <c r="H164" s="108">
        <v>6350</v>
      </c>
      <c r="I164" s="108">
        <v>4516.6666666666697</v>
      </c>
      <c r="J164">
        <v>1.77968503937008</v>
      </c>
      <c r="K164">
        <v>29150</v>
      </c>
      <c r="L164">
        <v>28050</v>
      </c>
      <c r="M164">
        <v>26850</v>
      </c>
      <c r="N164">
        <v>28016.666666666701</v>
      </c>
      <c r="O164">
        <v>0.40336704342653201</v>
      </c>
      <c r="P164" s="62" t="str">
        <f>+RIGHT(Tabla2[[#This Row],[Item-Codigo]], LEN(Tabla2[[#This Row],[Item-Codigo]]) - FIND(" |", Tabla2[[#This Row],[Item-Codigo]]) - 1)</f>
        <v>1023-ME</v>
      </c>
      <c r="Q164" s="62" t="s">
        <v>500</v>
      </c>
      <c r="R164" s="62" t="s">
        <v>43</v>
      </c>
    </row>
    <row r="165" spans="1:18" x14ac:dyDescent="0.35">
      <c r="A165" t="s">
        <v>680</v>
      </c>
      <c r="B165" t="s">
        <v>716</v>
      </c>
      <c r="C165" s="108">
        <v>1600</v>
      </c>
      <c r="D165" s="108">
        <v>0</v>
      </c>
      <c r="E165" s="108">
        <v>1600</v>
      </c>
      <c r="F165" s="108"/>
      <c r="G165" s="108">
        <v>0</v>
      </c>
      <c r="H165" s="108">
        <v>1000</v>
      </c>
      <c r="I165" s="108">
        <v>700</v>
      </c>
      <c r="J165">
        <v>1.6</v>
      </c>
      <c r="K165">
        <v>1300</v>
      </c>
      <c r="L165">
        <v>1450</v>
      </c>
      <c r="M165">
        <v>4100</v>
      </c>
      <c r="N165">
        <v>2283.3333333333298</v>
      </c>
      <c r="O165">
        <v>0.70072992700729897</v>
      </c>
      <c r="P165" s="62" t="str">
        <f>+RIGHT(Tabla2[[#This Row],[Item-Codigo]], LEN(Tabla2[[#This Row],[Item-Codigo]]) - FIND(" |", Tabla2[[#This Row],[Item-Codigo]]) - 1)</f>
        <v>2434</v>
      </c>
      <c r="Q165" s="62">
        <v>2434</v>
      </c>
      <c r="R165" s="62" t="s">
        <v>777</v>
      </c>
    </row>
    <row r="166" spans="1:18" x14ac:dyDescent="0.35">
      <c r="A166" t="s">
        <v>680</v>
      </c>
      <c r="B166" t="s">
        <v>685</v>
      </c>
      <c r="C166" s="108">
        <v>800</v>
      </c>
      <c r="D166" s="108">
        <v>0</v>
      </c>
      <c r="E166" s="108">
        <v>800</v>
      </c>
      <c r="F166" s="108"/>
      <c r="G166" s="108">
        <v>0</v>
      </c>
      <c r="H166" s="108">
        <v>900</v>
      </c>
      <c r="I166" s="108">
        <v>550</v>
      </c>
      <c r="J166">
        <v>0.88888888888888895</v>
      </c>
      <c r="K166">
        <v>900</v>
      </c>
      <c r="L166">
        <v>1000</v>
      </c>
      <c r="M166">
        <v>500</v>
      </c>
      <c r="N166">
        <v>800</v>
      </c>
      <c r="O166">
        <v>1</v>
      </c>
      <c r="P166" s="62" t="str">
        <f>+RIGHT(Tabla2[[#This Row],[Item-Codigo]], LEN(Tabla2[[#This Row],[Item-Codigo]]) - FIND(" |", Tabla2[[#This Row],[Item-Codigo]]) - 1)</f>
        <v>1202</v>
      </c>
      <c r="Q166" s="62">
        <v>1202</v>
      </c>
      <c r="R166" s="62" t="s">
        <v>785</v>
      </c>
    </row>
    <row r="167" spans="1:18" x14ac:dyDescent="0.35">
      <c r="A167" t="s">
        <v>100</v>
      </c>
      <c r="B167" t="s">
        <v>725</v>
      </c>
      <c r="C167" s="108">
        <v>30</v>
      </c>
      <c r="D167" s="108">
        <v>0</v>
      </c>
      <c r="E167" s="108">
        <v>30</v>
      </c>
      <c r="F167" s="108"/>
      <c r="G167" s="108">
        <v>0</v>
      </c>
      <c r="H167" s="108">
        <v>36</v>
      </c>
      <c r="I167" s="108">
        <v>24</v>
      </c>
      <c r="J167">
        <v>0.83333333333333304</v>
      </c>
      <c r="K167">
        <v>96</v>
      </c>
      <c r="L167">
        <v>80</v>
      </c>
      <c r="M167">
        <v>90</v>
      </c>
      <c r="N167">
        <v>88.6666666666667</v>
      </c>
      <c r="O167">
        <v>0.33834586466165401</v>
      </c>
      <c r="P167" s="62" t="str">
        <f>+RIGHT(Tabla2[[#This Row],[Item-Codigo]], LEN(Tabla2[[#This Row],[Item-Codigo]]) - FIND(" |", Tabla2[[#This Row],[Item-Codigo]]) - 1)</f>
        <v>PIOLA (UNID)</v>
      </c>
      <c r="Q167" s="62" t="s">
        <v>558</v>
      </c>
      <c r="R167" s="62" t="s">
        <v>127</v>
      </c>
    </row>
    <row r="168" spans="1:18" x14ac:dyDescent="0.35">
      <c r="A168" t="s">
        <v>680</v>
      </c>
      <c r="B168" t="s">
        <v>718</v>
      </c>
      <c r="C168" s="108">
        <v>300</v>
      </c>
      <c r="D168" s="108">
        <v>0</v>
      </c>
      <c r="E168" s="108">
        <v>300</v>
      </c>
      <c r="F168" s="108"/>
      <c r="G168" s="108">
        <v>0</v>
      </c>
      <c r="H168" s="108">
        <v>500</v>
      </c>
      <c r="I168" s="108">
        <v>266.666666666666</v>
      </c>
      <c r="J168">
        <v>0.6</v>
      </c>
      <c r="K168">
        <v>400</v>
      </c>
      <c r="L168">
        <v>600</v>
      </c>
      <c r="M168">
        <v>400</v>
      </c>
      <c r="N168">
        <v>466.66666666666703</v>
      </c>
      <c r="O168">
        <v>0.64285714285714302</v>
      </c>
      <c r="P168" s="62" t="str">
        <f>+RIGHT(Tabla2[[#This Row],[Item-Codigo]], LEN(Tabla2[[#This Row],[Item-Codigo]]) - FIND(" |", Tabla2[[#This Row],[Item-Codigo]]) - 1)</f>
        <v>2451</v>
      </c>
      <c r="Q168" s="62">
        <v>2451</v>
      </c>
      <c r="R168" s="62" t="s">
        <v>796</v>
      </c>
    </row>
    <row r="169" spans="1:18" x14ac:dyDescent="0.35">
      <c r="A169" t="s">
        <v>100</v>
      </c>
      <c r="B169" t="s">
        <v>704</v>
      </c>
      <c r="C169" s="108">
        <v>105</v>
      </c>
      <c r="D169" s="108">
        <v>0</v>
      </c>
      <c r="E169" s="108">
        <v>105</v>
      </c>
      <c r="F169" s="108"/>
      <c r="G169" s="108">
        <v>5000</v>
      </c>
      <c r="H169" s="108">
        <v>300</v>
      </c>
      <c r="I169" s="108">
        <v>200</v>
      </c>
      <c r="J169">
        <v>0.35</v>
      </c>
      <c r="K169">
        <v>900</v>
      </c>
      <c r="L169">
        <v>900</v>
      </c>
      <c r="M169">
        <v>751</v>
      </c>
      <c r="N169">
        <v>850.33333333333303</v>
      </c>
      <c r="O169">
        <v>0.123480987847903</v>
      </c>
      <c r="P169" s="62" t="str">
        <f>+RIGHT(Tabla2[[#This Row],[Item-Codigo]], LEN(Tabla2[[#This Row],[Item-Codigo]]) - FIND(" |", Tabla2[[#This Row],[Item-Codigo]]) - 1)</f>
        <v>0996-ME</v>
      </c>
      <c r="Q169" s="62" t="s">
        <v>493</v>
      </c>
      <c r="R169" s="62" t="s">
        <v>121</v>
      </c>
    </row>
    <row r="170" spans="1:18" x14ac:dyDescent="0.35">
      <c r="A170" t="s">
        <v>100</v>
      </c>
      <c r="B170" t="s">
        <v>730</v>
      </c>
      <c r="C170" s="108">
        <v>811</v>
      </c>
      <c r="D170" s="108">
        <v>0</v>
      </c>
      <c r="E170" s="108">
        <v>811</v>
      </c>
      <c r="F170" s="108"/>
      <c r="G170" s="108">
        <v>15000</v>
      </c>
      <c r="H170" s="108">
        <v>4950</v>
      </c>
      <c r="I170" s="108">
        <v>3300</v>
      </c>
      <c r="J170">
        <v>0.16383838383838401</v>
      </c>
      <c r="K170">
        <v>12850</v>
      </c>
      <c r="L170">
        <v>14350</v>
      </c>
      <c r="M170">
        <v>13162</v>
      </c>
      <c r="N170">
        <v>13454</v>
      </c>
      <c r="O170">
        <v>6.0279470789356297E-2</v>
      </c>
      <c r="P170" s="62" t="str">
        <f>+RIGHT(Tabla2[[#This Row],[Item-Codigo]], LEN(Tabla2[[#This Row],[Item-Codigo]]) - FIND(" |", Tabla2[[#This Row],[Item-Codigo]]) - 1)</f>
        <v>0171-ME</v>
      </c>
      <c r="Q170" s="62" t="s">
        <v>476</v>
      </c>
      <c r="R170" s="62" t="s">
        <v>107</v>
      </c>
    </row>
    <row r="171" spans="1:18" x14ac:dyDescent="0.35">
      <c r="A171" t="s">
        <v>100</v>
      </c>
      <c r="B171" t="s">
        <v>701</v>
      </c>
      <c r="C171" s="108">
        <v>60</v>
      </c>
      <c r="D171" s="108">
        <v>0</v>
      </c>
      <c r="E171" s="108">
        <v>60</v>
      </c>
      <c r="F171" s="108"/>
      <c r="G171" s="108">
        <v>5000</v>
      </c>
      <c r="H171" s="108">
        <v>550</v>
      </c>
      <c r="I171" s="108">
        <v>300</v>
      </c>
      <c r="J171">
        <v>0.109090909090909</v>
      </c>
      <c r="K171">
        <v>1650</v>
      </c>
      <c r="L171">
        <v>1550</v>
      </c>
      <c r="M171">
        <v>1800</v>
      </c>
      <c r="N171">
        <v>1666.6666666666699</v>
      </c>
      <c r="O171">
        <v>3.5999999999999997E-2</v>
      </c>
      <c r="P171" s="62" t="str">
        <f>+RIGHT(Tabla2[[#This Row],[Item-Codigo]], LEN(Tabla2[[#This Row],[Item-Codigo]]) - FIND(" |", Tabla2[[#This Row],[Item-Codigo]]) - 1)</f>
        <v>0982-ME</v>
      </c>
      <c r="Q171" s="62" t="s">
        <v>483</v>
      </c>
      <c r="R171" s="62" t="s">
        <v>114</v>
      </c>
    </row>
    <row r="172" spans="1:18" x14ac:dyDescent="0.35">
      <c r="A172" t="s">
        <v>100</v>
      </c>
      <c r="B172" t="s">
        <v>711</v>
      </c>
      <c r="C172" s="108">
        <v>50</v>
      </c>
      <c r="D172" s="108">
        <v>0</v>
      </c>
      <c r="E172" s="108">
        <v>50</v>
      </c>
      <c r="F172" s="108"/>
      <c r="G172" s="108">
        <v>40000</v>
      </c>
      <c r="H172" s="108">
        <v>3250</v>
      </c>
      <c r="I172" s="108">
        <v>2250</v>
      </c>
      <c r="J172">
        <v>1.5384615384615399E-2</v>
      </c>
      <c r="K172">
        <v>12050</v>
      </c>
      <c r="L172">
        <v>14700</v>
      </c>
      <c r="M172">
        <v>12500</v>
      </c>
      <c r="N172">
        <v>13083.333333333299</v>
      </c>
      <c r="O172">
        <v>3.8216560509554101E-3</v>
      </c>
      <c r="P172" s="62" t="str">
        <f>+RIGHT(Tabla2[[#This Row],[Item-Codigo]], LEN(Tabla2[[#This Row],[Item-Codigo]]) - FIND(" |", Tabla2[[#This Row],[Item-Codigo]]) - 1)</f>
        <v>1018-ME</v>
      </c>
      <c r="Q172" s="62" t="s">
        <v>496</v>
      </c>
      <c r="R172" s="62" t="s">
        <v>109</v>
      </c>
    </row>
    <row r="173" spans="1:18" x14ac:dyDescent="0.35">
      <c r="A173" t="s">
        <v>100</v>
      </c>
      <c r="B173" t="s">
        <v>737</v>
      </c>
      <c r="C173" s="108">
        <v>1000</v>
      </c>
      <c r="D173" s="108">
        <v>0</v>
      </c>
      <c r="E173" s="108">
        <v>1000</v>
      </c>
      <c r="F173" s="108"/>
      <c r="G173" s="108">
        <v>0</v>
      </c>
      <c r="H173" s="108">
        <v>0</v>
      </c>
      <c r="I173" s="108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 s="62" t="str">
        <f>+RIGHT(Tabla2[[#This Row],[Item-Codigo]], LEN(Tabla2[[#This Row],[Item-Codigo]]) - FIND(" |", Tabla2[[#This Row],[Item-Codigo]]) - 1)</f>
        <v>9536</v>
      </c>
      <c r="Q173" s="62">
        <v>9536</v>
      </c>
      <c r="R173" s="62" t="s">
        <v>968</v>
      </c>
    </row>
    <row r="174" spans="1:18" x14ac:dyDescent="0.35">
      <c r="A174" t="s">
        <v>100</v>
      </c>
      <c r="B174" t="s">
        <v>738</v>
      </c>
      <c r="C174" s="108">
        <v>2400</v>
      </c>
      <c r="D174" s="108">
        <v>0</v>
      </c>
      <c r="E174" s="108">
        <v>2400</v>
      </c>
      <c r="F174" s="108"/>
      <c r="G174" s="108">
        <v>0</v>
      </c>
      <c r="H174" s="108">
        <v>0</v>
      </c>
      <c r="I174" s="108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 s="62" t="str">
        <f>+RIGHT(Tabla2[[#This Row],[Item-Codigo]], LEN(Tabla2[[#This Row],[Item-Codigo]]) - FIND(" |", Tabla2[[#This Row],[Item-Codigo]]) - 1)</f>
        <v>9537</v>
      </c>
      <c r="Q174" s="62">
        <v>9537</v>
      </c>
      <c r="R174" s="62" t="s">
        <v>738</v>
      </c>
    </row>
    <row r="175" spans="1:18" x14ac:dyDescent="0.35">
      <c r="A175" t="s">
        <v>100</v>
      </c>
      <c r="B175" t="s">
        <v>739</v>
      </c>
      <c r="C175" s="108">
        <v>1200</v>
      </c>
      <c r="D175" s="108">
        <v>0</v>
      </c>
      <c r="E175" s="108">
        <v>1200</v>
      </c>
      <c r="F175" s="108"/>
      <c r="G175" s="108">
        <v>0</v>
      </c>
      <c r="H175" s="108">
        <v>0</v>
      </c>
      <c r="I175" s="108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 s="62" t="str">
        <f>+RIGHT(Tabla2[[#This Row],[Item-Codigo]], LEN(Tabla2[[#This Row],[Item-Codigo]]) - FIND(" |", Tabla2[[#This Row],[Item-Codigo]]) - 1)</f>
        <v>9538</v>
      </c>
      <c r="Q175" s="62">
        <v>9538</v>
      </c>
      <c r="R175" s="62" t="s">
        <v>739</v>
      </c>
    </row>
    <row r="176" spans="1:18" x14ac:dyDescent="0.35">
      <c r="A176" t="s">
        <v>100</v>
      </c>
      <c r="B176" t="s">
        <v>694</v>
      </c>
      <c r="C176" s="108">
        <v>8559</v>
      </c>
      <c r="D176" s="108">
        <v>0</v>
      </c>
      <c r="E176" s="108">
        <v>8559</v>
      </c>
      <c r="F176" s="108"/>
      <c r="G176" s="108">
        <v>0</v>
      </c>
      <c r="H176" s="108">
        <v>0</v>
      </c>
      <c r="I176" s="108">
        <v>0</v>
      </c>
      <c r="J176">
        <v>0</v>
      </c>
      <c r="K176">
        <v>400</v>
      </c>
      <c r="L176">
        <v>200</v>
      </c>
      <c r="M176">
        <v>200</v>
      </c>
      <c r="N176">
        <v>266.66666666666703</v>
      </c>
      <c r="O176">
        <v>32.096249999999998</v>
      </c>
      <c r="P176" s="62" t="str">
        <f>+RIGHT(Tabla2[[#This Row],[Item-Codigo]], LEN(Tabla2[[#This Row],[Item-Codigo]]) - FIND(" |", Tabla2[[#This Row],[Item-Codigo]]) - 1)</f>
        <v>9534</v>
      </c>
      <c r="Q176" s="62">
        <v>9534</v>
      </c>
      <c r="R176" s="62" t="s">
        <v>41</v>
      </c>
    </row>
    <row r="177" spans="1:18" x14ac:dyDescent="0.35">
      <c r="A177" t="s">
        <v>100</v>
      </c>
      <c r="B177" t="s">
        <v>740</v>
      </c>
      <c r="C177" s="108">
        <v>6044</v>
      </c>
      <c r="D177" s="108">
        <v>0</v>
      </c>
      <c r="E177" s="108">
        <v>6020</v>
      </c>
      <c r="F177" s="108"/>
      <c r="G177" s="108">
        <v>0</v>
      </c>
      <c r="H177" s="108">
        <v>0</v>
      </c>
      <c r="I177" s="108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s="62" t="str">
        <f>+RIGHT(Tabla2[[#This Row],[Item-Codigo]], LEN(Tabla2[[#This Row],[Item-Codigo]]) - FIND(" |", Tabla2[[#This Row],[Item-Codigo]]) - 1)</f>
        <v>9535</v>
      </c>
      <c r="Q177" s="62">
        <v>9535</v>
      </c>
      <c r="R177" s="62" t="s">
        <v>41</v>
      </c>
    </row>
    <row r="178" spans="1:18" x14ac:dyDescent="0.35">
      <c r="A178" t="s">
        <v>100</v>
      </c>
      <c r="B178" t="s">
        <v>706</v>
      </c>
      <c r="C178" s="108">
        <v>5226</v>
      </c>
      <c r="D178" s="108">
        <v>0</v>
      </c>
      <c r="E178" s="108">
        <v>5226</v>
      </c>
      <c r="F178" s="108"/>
      <c r="G178" s="108">
        <v>0</v>
      </c>
      <c r="H178" s="108">
        <v>0</v>
      </c>
      <c r="I178" s="108">
        <v>0</v>
      </c>
      <c r="J178">
        <v>0</v>
      </c>
      <c r="K178">
        <v>0</v>
      </c>
      <c r="L178">
        <v>700</v>
      </c>
      <c r="M178">
        <v>1250</v>
      </c>
      <c r="N178">
        <v>975</v>
      </c>
      <c r="O178">
        <v>5.36</v>
      </c>
      <c r="P178" s="62" t="str">
        <f>+RIGHT(Tabla2[[#This Row],[Item-Codigo]], LEN(Tabla2[[#This Row],[Item-Codigo]]) - FIND(" |", Tabla2[[#This Row],[Item-Codigo]]) - 1)</f>
        <v>1022-ME</v>
      </c>
      <c r="Q178" s="62" t="s">
        <v>499</v>
      </c>
      <c r="R178" s="62" t="s">
        <v>42</v>
      </c>
    </row>
    <row r="179" spans="1:18" x14ac:dyDescent="0.35">
      <c r="A179" t="s">
        <v>100</v>
      </c>
      <c r="B179" t="s">
        <v>708</v>
      </c>
      <c r="C179" s="108">
        <v>2700</v>
      </c>
      <c r="D179" s="108">
        <v>0</v>
      </c>
      <c r="E179" s="108">
        <v>2700</v>
      </c>
      <c r="F179" s="108"/>
      <c r="G179" s="108">
        <v>5000</v>
      </c>
      <c r="H179" s="108">
        <v>0</v>
      </c>
      <c r="I179" s="108">
        <v>0</v>
      </c>
      <c r="J179">
        <v>0</v>
      </c>
      <c r="K179">
        <v>400</v>
      </c>
      <c r="L179">
        <v>1150</v>
      </c>
      <c r="M179">
        <v>1350</v>
      </c>
      <c r="N179">
        <v>966.66666666666697</v>
      </c>
      <c r="O179">
        <v>2.7931034482758599</v>
      </c>
      <c r="P179" s="62" t="str">
        <f>+RIGHT(Tabla2[[#This Row],[Item-Codigo]], LEN(Tabla2[[#This Row],[Item-Codigo]]) - FIND(" |", Tabla2[[#This Row],[Item-Codigo]]) - 1)</f>
        <v>1028-ME</v>
      </c>
      <c r="Q179" s="62" t="s">
        <v>505</v>
      </c>
      <c r="R179" s="62" t="s">
        <v>48</v>
      </c>
    </row>
    <row r="180" spans="1:18" x14ac:dyDescent="0.35">
      <c r="A180" t="s">
        <v>100</v>
      </c>
      <c r="B180" t="s">
        <v>741</v>
      </c>
      <c r="C180" s="108">
        <v>254</v>
      </c>
      <c r="D180" s="108">
        <v>0</v>
      </c>
      <c r="E180" s="108">
        <v>254</v>
      </c>
      <c r="F180" s="108"/>
      <c r="G180" s="108">
        <v>0</v>
      </c>
      <c r="H180" s="108">
        <v>0</v>
      </c>
      <c r="I180" s="108">
        <v>0</v>
      </c>
      <c r="J180">
        <v>0</v>
      </c>
      <c r="K180">
        <v>0</v>
      </c>
      <c r="L180">
        <v>6</v>
      </c>
      <c r="M180">
        <v>0</v>
      </c>
      <c r="N180">
        <v>6</v>
      </c>
      <c r="O180">
        <v>42.3333333333333</v>
      </c>
      <c r="P180" s="62" t="str">
        <f>+RIGHT(Tabla2[[#This Row],[Item-Codigo]], LEN(Tabla2[[#This Row],[Item-Codigo]]) - FIND(" |", Tabla2[[#This Row],[Item-Codigo]]) - 1)</f>
        <v>1021-ME</v>
      </c>
      <c r="Q180" s="62" t="s">
        <v>498</v>
      </c>
      <c r="R180" s="62" t="s">
        <v>49</v>
      </c>
    </row>
    <row r="181" spans="1:18" x14ac:dyDescent="0.35">
      <c r="A181" t="s">
        <v>100</v>
      </c>
      <c r="B181" t="s">
        <v>742</v>
      </c>
      <c r="C181" s="108">
        <v>26</v>
      </c>
      <c r="D181" s="108">
        <v>0</v>
      </c>
      <c r="E181" s="108">
        <v>26</v>
      </c>
      <c r="F181" s="108"/>
      <c r="G181" s="108">
        <v>0</v>
      </c>
      <c r="H181" s="108">
        <v>0</v>
      </c>
      <c r="I181" s="108">
        <v>0</v>
      </c>
      <c r="J181">
        <v>0</v>
      </c>
      <c r="K181">
        <v>6</v>
      </c>
      <c r="L181">
        <v>0</v>
      </c>
      <c r="M181">
        <v>0</v>
      </c>
      <c r="N181">
        <v>6</v>
      </c>
      <c r="O181">
        <v>4.3333333333333304</v>
      </c>
      <c r="P181" s="62" t="str">
        <f>+RIGHT(Tabla2[[#This Row],[Item-Codigo]], LEN(Tabla2[[#This Row],[Item-Codigo]]) - FIND(" |", Tabla2[[#This Row],[Item-Codigo]]) - 1)</f>
        <v>CINTA</v>
      </c>
      <c r="Q181" s="62" t="s">
        <v>557</v>
      </c>
      <c r="R181" s="62" t="s">
        <v>50</v>
      </c>
    </row>
    <row r="182" spans="1:18" x14ac:dyDescent="0.35">
      <c r="A182" t="s">
        <v>100</v>
      </c>
      <c r="B182" t="s">
        <v>743</v>
      </c>
      <c r="C182" s="108">
        <v>99</v>
      </c>
      <c r="D182" s="108">
        <v>0</v>
      </c>
      <c r="E182" s="108">
        <v>99</v>
      </c>
      <c r="F182" s="108"/>
      <c r="G182" s="108">
        <v>0</v>
      </c>
      <c r="H182" s="108">
        <v>0</v>
      </c>
      <c r="I182" s="108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62" t="str">
        <f>+RIGHT(Tabla2[[#This Row],[Item-Codigo]], LEN(Tabla2[[#This Row],[Item-Codigo]]) - FIND(" |", Tabla2[[#This Row],[Item-Codigo]]) - 1)</f>
        <v>1045-ME</v>
      </c>
      <c r="Q182" s="62" t="s">
        <v>521</v>
      </c>
      <c r="R182" s="62" t="s">
        <v>743</v>
      </c>
    </row>
    <row r="183" spans="1:18" x14ac:dyDescent="0.35">
      <c r="A183" t="s">
        <v>100</v>
      </c>
      <c r="B183" t="s">
        <v>744</v>
      </c>
      <c r="C183" s="108">
        <v>100</v>
      </c>
      <c r="D183" s="108">
        <v>0</v>
      </c>
      <c r="E183" s="108">
        <v>100</v>
      </c>
      <c r="F183" s="108"/>
      <c r="G183" s="108">
        <v>0</v>
      </c>
      <c r="H183" s="108">
        <v>0</v>
      </c>
      <c r="I183" s="108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s="62" t="str">
        <f>+RIGHT(Tabla2[[#This Row],[Item-Codigo]], LEN(Tabla2[[#This Row],[Item-Codigo]]) - FIND(" |", Tabla2[[#This Row],[Item-Codigo]]) - 1)</f>
        <v>1044-ME</v>
      </c>
      <c r="Q183" s="62" t="s">
        <v>520</v>
      </c>
      <c r="R183" s="62" t="s">
        <v>744</v>
      </c>
    </row>
    <row r="184" spans="1:18" x14ac:dyDescent="0.35">
      <c r="A184" t="s">
        <v>100</v>
      </c>
      <c r="B184" t="s">
        <v>745</v>
      </c>
      <c r="C184" s="108">
        <v>44</v>
      </c>
      <c r="D184" s="108">
        <v>0</v>
      </c>
      <c r="E184" s="108">
        <v>44</v>
      </c>
      <c r="F184" s="108"/>
      <c r="G184" s="108">
        <v>0</v>
      </c>
      <c r="H184" s="108">
        <v>0</v>
      </c>
      <c r="I184" s="108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s="62" t="str">
        <f>+RIGHT(Tabla2[[#This Row],[Item-Codigo]], LEN(Tabla2[[#This Row],[Item-Codigo]]) - FIND(" |", Tabla2[[#This Row],[Item-Codigo]]) - 1)</f>
        <v>1038-ME</v>
      </c>
      <c r="Q184" s="62" t="s">
        <v>515</v>
      </c>
      <c r="R184" s="62" t="s">
        <v>745</v>
      </c>
    </row>
    <row r="185" spans="1:18" x14ac:dyDescent="0.35">
      <c r="A185" t="s">
        <v>100</v>
      </c>
      <c r="B185" t="s">
        <v>746</v>
      </c>
      <c r="C185" s="108">
        <v>170</v>
      </c>
      <c r="D185" s="108">
        <v>0</v>
      </c>
      <c r="E185" s="108">
        <v>170</v>
      </c>
      <c r="F185" s="108"/>
      <c r="G185" s="108">
        <v>0</v>
      </c>
      <c r="H185" s="108">
        <v>0</v>
      </c>
      <c r="I185" s="108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62" t="str">
        <f>+RIGHT(Tabla2[[#This Row],[Item-Codigo]], LEN(Tabla2[[#This Row],[Item-Codigo]]) - FIND(" |", Tabla2[[#This Row],[Item-Codigo]]) - 1)</f>
        <v>1033-ME</v>
      </c>
      <c r="Q185" s="62" t="s">
        <v>510</v>
      </c>
      <c r="R185" s="62" t="s">
        <v>746</v>
      </c>
    </row>
    <row r="186" spans="1:18" x14ac:dyDescent="0.35">
      <c r="A186" t="s">
        <v>100</v>
      </c>
      <c r="B186" t="s">
        <v>748</v>
      </c>
      <c r="C186" s="108">
        <v>66</v>
      </c>
      <c r="D186" s="108">
        <v>0</v>
      </c>
      <c r="E186" s="108">
        <v>66</v>
      </c>
      <c r="F186" s="108"/>
      <c r="G186" s="108">
        <v>0</v>
      </c>
      <c r="H186" s="108">
        <v>0</v>
      </c>
      <c r="I186" s="108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 s="62" t="str">
        <f>+RIGHT(Tabla2[[#This Row],[Item-Codigo]], LEN(Tabla2[[#This Row],[Item-Codigo]]) - FIND(" |", Tabla2[[#This Row],[Item-Codigo]]) - 1)</f>
        <v>1032-ME</v>
      </c>
      <c r="Q186" s="62" t="s">
        <v>509</v>
      </c>
      <c r="R186" s="62" t="s">
        <v>748</v>
      </c>
    </row>
    <row r="187" spans="1:18" x14ac:dyDescent="0.35">
      <c r="A187" t="s">
        <v>100</v>
      </c>
      <c r="B187" t="s">
        <v>749</v>
      </c>
      <c r="C187" s="108">
        <v>100</v>
      </c>
      <c r="D187" s="108">
        <v>0</v>
      </c>
      <c r="E187" s="108">
        <v>100</v>
      </c>
      <c r="F187" s="108"/>
      <c r="G187" s="108">
        <v>0</v>
      </c>
      <c r="H187" s="108">
        <v>0</v>
      </c>
      <c r="I187" s="108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 s="62" t="str">
        <f>+RIGHT(Tabla2[[#This Row],[Item-Codigo]], LEN(Tabla2[[#This Row],[Item-Codigo]]) - FIND(" |", Tabla2[[#This Row],[Item-Codigo]]) - 1)</f>
        <v>1036-ME</v>
      </c>
      <c r="Q187" s="62" t="s">
        <v>513</v>
      </c>
      <c r="R187" s="62" t="s">
        <v>749</v>
      </c>
    </row>
    <row r="188" spans="1:18" x14ac:dyDescent="0.35">
      <c r="A188" t="s">
        <v>100</v>
      </c>
      <c r="B188" t="s">
        <v>750</v>
      </c>
      <c r="C188" s="108">
        <v>32</v>
      </c>
      <c r="D188" s="108">
        <v>0</v>
      </c>
      <c r="E188" s="108">
        <v>32</v>
      </c>
      <c r="F188" s="108"/>
      <c r="G188" s="108">
        <v>0</v>
      </c>
      <c r="H188" s="108">
        <v>0</v>
      </c>
      <c r="I188" s="10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 s="62" t="str">
        <f>+RIGHT(Tabla2[[#This Row],[Item-Codigo]], LEN(Tabla2[[#This Row],[Item-Codigo]]) - FIND(" |", Tabla2[[#This Row],[Item-Codigo]]) - 1)</f>
        <v>1039-ME</v>
      </c>
      <c r="Q188" s="62" t="s">
        <v>516</v>
      </c>
      <c r="R188" s="62" t="s">
        <v>750</v>
      </c>
    </row>
    <row r="189" spans="1:18" x14ac:dyDescent="0.35">
      <c r="A189" t="s">
        <v>100</v>
      </c>
      <c r="B189" t="s">
        <v>751</v>
      </c>
      <c r="C189" s="108">
        <v>130</v>
      </c>
      <c r="D189" s="108">
        <v>0</v>
      </c>
      <c r="E189" s="108">
        <v>130</v>
      </c>
      <c r="F189" s="108"/>
      <c r="G189" s="108">
        <v>0</v>
      </c>
      <c r="H189" s="108">
        <v>0</v>
      </c>
      <c r="I189" s="108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 s="62" t="str">
        <f>+RIGHT(Tabla2[[#This Row],[Item-Codigo]], LEN(Tabla2[[#This Row],[Item-Codigo]]) - FIND(" |", Tabla2[[#This Row],[Item-Codigo]]) - 1)</f>
        <v>1034-ME</v>
      </c>
      <c r="Q189" s="62" t="s">
        <v>511</v>
      </c>
      <c r="R189" s="62" t="s">
        <v>751</v>
      </c>
    </row>
    <row r="190" spans="1:18" x14ac:dyDescent="0.35">
      <c r="A190" t="s">
        <v>100</v>
      </c>
      <c r="B190" t="s">
        <v>753</v>
      </c>
      <c r="C190" s="108">
        <v>82</v>
      </c>
      <c r="D190" s="108">
        <v>0</v>
      </c>
      <c r="E190" s="108">
        <v>82</v>
      </c>
      <c r="F190" s="108"/>
      <c r="G190" s="108">
        <v>0</v>
      </c>
      <c r="H190" s="108">
        <v>0</v>
      </c>
      <c r="I190" s="108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s="62" t="str">
        <f>+RIGHT(Tabla2[[#This Row],[Item-Codigo]], LEN(Tabla2[[#This Row],[Item-Codigo]]) - FIND(" |", Tabla2[[#This Row],[Item-Codigo]]) - 1)</f>
        <v>1041-ME</v>
      </c>
      <c r="Q190" s="62" t="s">
        <v>518</v>
      </c>
      <c r="R190" s="62" t="s">
        <v>753</v>
      </c>
    </row>
    <row r="191" spans="1:18" x14ac:dyDescent="0.35">
      <c r="A191" t="s">
        <v>100</v>
      </c>
      <c r="B191" t="s">
        <v>754</v>
      </c>
      <c r="C191" s="108">
        <v>57</v>
      </c>
      <c r="D191" s="108">
        <v>0</v>
      </c>
      <c r="E191" s="108">
        <v>57</v>
      </c>
      <c r="F191" s="108"/>
      <c r="G191" s="108">
        <v>0</v>
      </c>
      <c r="H191" s="108">
        <v>0</v>
      </c>
      <c r="I191" s="108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s="62" t="str">
        <f>+RIGHT(Tabla2[[#This Row],[Item-Codigo]], LEN(Tabla2[[#This Row],[Item-Codigo]]) - FIND(" |", Tabla2[[#This Row],[Item-Codigo]]) - 1)</f>
        <v>1042-ME</v>
      </c>
      <c r="Q191" s="62" t="s">
        <v>519</v>
      </c>
      <c r="R191" s="62" t="s">
        <v>754</v>
      </c>
    </row>
    <row r="192" spans="1:18" x14ac:dyDescent="0.35">
      <c r="A192" t="s">
        <v>100</v>
      </c>
      <c r="B192" t="s">
        <v>946</v>
      </c>
      <c r="C192" s="108">
        <v>500</v>
      </c>
      <c r="D192" s="108">
        <v>0</v>
      </c>
      <c r="E192" s="108">
        <v>500</v>
      </c>
      <c r="F192" s="108"/>
      <c r="G192" s="108">
        <v>0</v>
      </c>
      <c r="H192" s="108">
        <v>0</v>
      </c>
      <c r="I192" s="108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s="62" t="str">
        <f>+RIGHT(Tabla2[[#This Row],[Item-Codigo]], LEN(Tabla2[[#This Row],[Item-Codigo]]) - FIND(" |", Tabla2[[#This Row],[Item-Codigo]]) - 1)</f>
        <v>9539</v>
      </c>
      <c r="Q192" s="62">
        <v>9539</v>
      </c>
      <c r="R192" s="62" t="s">
        <v>1051</v>
      </c>
    </row>
    <row r="193" spans="1:18" x14ac:dyDescent="0.35">
      <c r="A193" t="s">
        <v>100</v>
      </c>
      <c r="B193" t="s">
        <v>947</v>
      </c>
      <c r="C193" s="108">
        <v>500</v>
      </c>
      <c r="D193" s="108">
        <v>0</v>
      </c>
      <c r="E193" s="108">
        <v>500</v>
      </c>
      <c r="F193" s="108"/>
      <c r="G193" s="108">
        <v>0</v>
      </c>
      <c r="H193" s="108">
        <v>0</v>
      </c>
      <c r="I193" s="108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 s="62" t="str">
        <f>+RIGHT(Tabla2[[#This Row],[Item-Codigo]], LEN(Tabla2[[#This Row],[Item-Codigo]]) - FIND(" |", Tabla2[[#This Row],[Item-Codigo]]) - 1)</f>
        <v>9540</v>
      </c>
      <c r="Q193" s="62">
        <v>9540</v>
      </c>
      <c r="R193" s="62" t="s">
        <v>1052</v>
      </c>
    </row>
    <row r="194" spans="1:18" x14ac:dyDescent="0.35">
      <c r="A194" t="s">
        <v>100</v>
      </c>
      <c r="B194" t="s">
        <v>948</v>
      </c>
      <c r="C194" s="108">
        <v>500</v>
      </c>
      <c r="D194" s="108">
        <v>0</v>
      </c>
      <c r="E194" s="108">
        <v>500</v>
      </c>
      <c r="F194" s="108"/>
      <c r="G194" s="108">
        <v>0</v>
      </c>
      <c r="H194" s="108">
        <v>0</v>
      </c>
      <c r="I194" s="108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 s="62" t="str">
        <f>+RIGHT(Tabla2[[#This Row],[Item-Codigo]], LEN(Tabla2[[#This Row],[Item-Codigo]]) - FIND(" |", Tabla2[[#This Row],[Item-Codigo]]) - 1)</f>
        <v>9541</v>
      </c>
      <c r="Q194" s="62">
        <v>9541</v>
      </c>
      <c r="R194" s="62" t="s">
        <v>1053</v>
      </c>
    </row>
    <row r="195" spans="1:18" x14ac:dyDescent="0.35">
      <c r="A195" t="s">
        <v>100</v>
      </c>
      <c r="B195" t="s">
        <v>687</v>
      </c>
      <c r="C195" s="108">
        <v>5090</v>
      </c>
      <c r="D195" s="108">
        <v>0</v>
      </c>
      <c r="E195" s="108">
        <v>5090</v>
      </c>
      <c r="F195" s="108"/>
      <c r="G195" s="108">
        <v>0</v>
      </c>
      <c r="H195" s="108">
        <v>0</v>
      </c>
      <c r="I195" s="108">
        <v>0</v>
      </c>
      <c r="J195">
        <v>0</v>
      </c>
      <c r="K195">
        <v>180</v>
      </c>
      <c r="L195">
        <v>150</v>
      </c>
      <c r="M195">
        <v>0</v>
      </c>
      <c r="N195">
        <v>165</v>
      </c>
      <c r="O195">
        <v>30.848484848484802</v>
      </c>
      <c r="P195" s="62" t="str">
        <f>+RIGHT(Tabla2[[#This Row],[Item-Codigo]], LEN(Tabla2[[#This Row],[Item-Codigo]]) - FIND(" |", Tabla2[[#This Row],[Item-Codigo]]) - 1)</f>
        <v>9505</v>
      </c>
      <c r="Q195" s="62">
        <v>9505</v>
      </c>
      <c r="R195" s="62" t="s">
        <v>57</v>
      </c>
    </row>
    <row r="196" spans="1:18" x14ac:dyDescent="0.35">
      <c r="A196" t="s">
        <v>100</v>
      </c>
      <c r="B196" t="s">
        <v>755</v>
      </c>
      <c r="C196" s="108">
        <v>6948</v>
      </c>
      <c r="D196" s="108">
        <v>0</v>
      </c>
      <c r="E196" s="108">
        <v>6948</v>
      </c>
      <c r="F196" s="108"/>
      <c r="G196" s="108">
        <v>0</v>
      </c>
      <c r="H196" s="108">
        <v>0</v>
      </c>
      <c r="I196" s="108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s="62" t="str">
        <f>+RIGHT(Tabla2[[#This Row],[Item-Codigo]], LEN(Tabla2[[#This Row],[Item-Codigo]]) - FIND(" |", Tabla2[[#This Row],[Item-Codigo]]) - 1)</f>
        <v>9512</v>
      </c>
      <c r="Q196" s="62">
        <v>9512</v>
      </c>
      <c r="R196" s="62" t="s">
        <v>58</v>
      </c>
    </row>
    <row r="197" spans="1:18" x14ac:dyDescent="0.35">
      <c r="A197" t="s">
        <v>100</v>
      </c>
      <c r="B197" t="s">
        <v>756</v>
      </c>
      <c r="C197" s="108">
        <v>5634</v>
      </c>
      <c r="D197" s="108">
        <v>0</v>
      </c>
      <c r="E197" s="108">
        <v>5634</v>
      </c>
      <c r="F197" s="108"/>
      <c r="G197" s="108">
        <v>0</v>
      </c>
      <c r="H197" s="108">
        <v>0</v>
      </c>
      <c r="I197" s="108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 s="62" t="str">
        <f>+RIGHT(Tabla2[[#This Row],[Item-Codigo]], LEN(Tabla2[[#This Row],[Item-Codigo]]) - FIND(" |", Tabla2[[#This Row],[Item-Codigo]]) - 1)</f>
        <v>9506</v>
      </c>
      <c r="Q197" s="62">
        <v>9506</v>
      </c>
      <c r="R197" s="62" t="s">
        <v>59</v>
      </c>
    </row>
    <row r="198" spans="1:18" x14ac:dyDescent="0.35">
      <c r="A198" t="s">
        <v>100</v>
      </c>
      <c r="B198" t="s">
        <v>757</v>
      </c>
      <c r="C198" s="108">
        <v>3000</v>
      </c>
      <c r="D198" s="108">
        <v>0</v>
      </c>
      <c r="E198" s="108">
        <v>3000</v>
      </c>
      <c r="F198" s="108"/>
      <c r="G198" s="108">
        <v>0</v>
      </c>
      <c r="H198" s="108">
        <v>0</v>
      </c>
      <c r="I198" s="108">
        <v>0</v>
      </c>
      <c r="J198">
        <v>0</v>
      </c>
      <c r="K198">
        <v>600</v>
      </c>
      <c r="L198">
        <v>0</v>
      </c>
      <c r="M198">
        <v>400</v>
      </c>
      <c r="N198">
        <v>500</v>
      </c>
      <c r="O198">
        <v>6</v>
      </c>
      <c r="P198" s="62" t="str">
        <f>+RIGHT(Tabla2[[#This Row],[Item-Codigo]], LEN(Tabla2[[#This Row],[Item-Codigo]]) - FIND(" |", Tabla2[[#This Row],[Item-Codigo]]) - 1)</f>
        <v>0077-ME</v>
      </c>
      <c r="Q198" s="62" t="s">
        <v>469</v>
      </c>
      <c r="R198" s="62" t="s">
        <v>63</v>
      </c>
    </row>
    <row r="199" spans="1:18" x14ac:dyDescent="0.35">
      <c r="A199" t="s">
        <v>100</v>
      </c>
      <c r="B199" t="s">
        <v>949</v>
      </c>
      <c r="C199" s="108">
        <v>5351</v>
      </c>
      <c r="D199" s="108">
        <v>0</v>
      </c>
      <c r="E199" s="108">
        <v>5351</v>
      </c>
      <c r="F199" s="108"/>
      <c r="G199" s="108">
        <v>0</v>
      </c>
      <c r="H199" s="108">
        <v>0</v>
      </c>
      <c r="I199" s="108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s="62" t="str">
        <f>+RIGHT(Tabla2[[#This Row],[Item-Codigo]], LEN(Tabla2[[#This Row],[Item-Codigo]]) - FIND(" |", Tabla2[[#This Row],[Item-Codigo]]) - 1)</f>
        <v>1047-ME</v>
      </c>
      <c r="Q199" s="62" t="s">
        <v>953</v>
      </c>
      <c r="R199" s="62" t="s">
        <v>949</v>
      </c>
    </row>
    <row r="200" spans="1:18" x14ac:dyDescent="0.35">
      <c r="A200" t="s">
        <v>100</v>
      </c>
      <c r="B200" t="s">
        <v>950</v>
      </c>
      <c r="C200" s="108">
        <v>3819</v>
      </c>
      <c r="D200" s="108">
        <v>0</v>
      </c>
      <c r="E200" s="108">
        <v>3819</v>
      </c>
      <c r="F200" s="108"/>
      <c r="G200" s="108">
        <v>0</v>
      </c>
      <c r="H200" s="108">
        <v>0</v>
      </c>
      <c r="I200" s="108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 s="62" t="str">
        <f>+RIGHT(Tabla2[[#This Row],[Item-Codigo]], LEN(Tabla2[[#This Row],[Item-Codigo]]) - FIND(" |", Tabla2[[#This Row],[Item-Codigo]]) - 1)</f>
        <v>1048-ME</v>
      </c>
      <c r="Q200" s="62" t="s">
        <v>954</v>
      </c>
      <c r="R200" s="62" t="s">
        <v>950</v>
      </c>
    </row>
    <row r="201" spans="1:18" x14ac:dyDescent="0.35">
      <c r="A201" t="s">
        <v>100</v>
      </c>
      <c r="B201" t="s">
        <v>951</v>
      </c>
      <c r="C201" s="108">
        <v>4841</v>
      </c>
      <c r="D201" s="108">
        <v>0</v>
      </c>
      <c r="E201" s="108">
        <v>4841</v>
      </c>
      <c r="F201" s="108"/>
      <c r="G201" s="108">
        <v>0</v>
      </c>
      <c r="H201" s="108">
        <v>0</v>
      </c>
      <c r="I201" s="108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s="62" t="str">
        <f>+RIGHT(Tabla2[[#This Row],[Item-Codigo]], LEN(Tabla2[[#This Row],[Item-Codigo]]) - FIND(" |", Tabla2[[#This Row],[Item-Codigo]]) - 1)</f>
        <v>1049-ME</v>
      </c>
      <c r="Q201" s="62" t="s">
        <v>955</v>
      </c>
      <c r="R201" s="62" t="s">
        <v>951</v>
      </c>
    </row>
    <row r="202" spans="1:18" x14ac:dyDescent="0.35">
      <c r="A202" t="s">
        <v>100</v>
      </c>
      <c r="B202" t="s">
        <v>952</v>
      </c>
      <c r="C202" s="108">
        <v>3814</v>
      </c>
      <c r="D202" s="108">
        <v>0</v>
      </c>
      <c r="E202" s="108">
        <v>3814</v>
      </c>
      <c r="F202" s="108"/>
      <c r="G202" s="108">
        <v>0</v>
      </c>
      <c r="H202" s="108">
        <v>0</v>
      </c>
      <c r="I202" s="108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 s="62" t="str">
        <f>+RIGHT(Tabla2[[#This Row],[Item-Codigo]], LEN(Tabla2[[#This Row],[Item-Codigo]]) - FIND(" |", Tabla2[[#This Row],[Item-Codigo]]) - 1)</f>
        <v>1050-ME</v>
      </c>
      <c r="Q202" s="62" t="s">
        <v>956</v>
      </c>
      <c r="R202" s="62" t="s">
        <v>952</v>
      </c>
    </row>
    <row r="203" spans="1:18" x14ac:dyDescent="0.35">
      <c r="A203" t="s">
        <v>100</v>
      </c>
      <c r="B203" t="s">
        <v>692</v>
      </c>
      <c r="C203" s="108">
        <v>1292</v>
      </c>
      <c r="D203" s="108">
        <v>0</v>
      </c>
      <c r="E203" s="108">
        <v>1292</v>
      </c>
      <c r="F203" s="108"/>
      <c r="G203" s="108">
        <v>0</v>
      </c>
      <c r="H203" s="108">
        <v>0</v>
      </c>
      <c r="I203" s="108">
        <v>0</v>
      </c>
      <c r="J203">
        <v>0</v>
      </c>
      <c r="K203">
        <v>100</v>
      </c>
      <c r="L203">
        <v>300</v>
      </c>
      <c r="M203">
        <v>175</v>
      </c>
      <c r="N203">
        <v>191.666666666667</v>
      </c>
      <c r="O203">
        <v>6.7408695652173902</v>
      </c>
      <c r="P203" s="62" t="str">
        <f>+RIGHT(Tabla2[[#This Row],[Item-Codigo]], LEN(Tabla2[[#This Row],[Item-Codigo]]) - FIND(" |", Tabla2[[#This Row],[Item-Codigo]]) - 1)</f>
        <v>0985-ME</v>
      </c>
      <c r="Q203" s="62" t="s">
        <v>486</v>
      </c>
      <c r="R203" s="62" t="s">
        <v>126</v>
      </c>
    </row>
    <row r="204" spans="1:18" x14ac:dyDescent="0.35">
      <c r="A204" t="s">
        <v>100</v>
      </c>
      <c r="B204" t="s">
        <v>760</v>
      </c>
      <c r="C204" s="108">
        <v>6527</v>
      </c>
      <c r="D204" s="108">
        <v>0</v>
      </c>
      <c r="E204" s="108">
        <v>0</v>
      </c>
      <c r="F204" s="108"/>
      <c r="G204" s="108">
        <v>6527</v>
      </c>
      <c r="H204" s="108">
        <v>0</v>
      </c>
      <c r="I204" s="108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s="62" t="str">
        <f>+RIGHT(Tabla2[[#This Row],[Item-Codigo]], LEN(Tabla2[[#This Row],[Item-Codigo]]) - FIND(" |", Tabla2[[#This Row],[Item-Codigo]]) - 1)</f>
        <v>9530</v>
      </c>
      <c r="Q204" s="62">
        <v>9530</v>
      </c>
      <c r="R204" s="62" t="s">
        <v>190</v>
      </c>
    </row>
    <row r="205" spans="1:18" x14ac:dyDescent="0.35">
      <c r="A205" t="s">
        <v>100</v>
      </c>
      <c r="B205" t="s">
        <v>761</v>
      </c>
      <c r="C205" s="108">
        <v>19653</v>
      </c>
      <c r="D205" s="108">
        <v>0</v>
      </c>
      <c r="E205" s="108">
        <v>0</v>
      </c>
      <c r="F205" s="108"/>
      <c r="G205" s="108">
        <v>19653</v>
      </c>
      <c r="H205" s="108">
        <v>0</v>
      </c>
      <c r="I205" s="108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 s="62" t="str">
        <f>+RIGHT(Tabla2[[#This Row],[Item-Codigo]], LEN(Tabla2[[#This Row],[Item-Codigo]]) - FIND(" |", Tabla2[[#This Row],[Item-Codigo]]) - 1)</f>
        <v>9531</v>
      </c>
      <c r="Q205" s="62">
        <v>9531</v>
      </c>
      <c r="R205" s="62" t="s">
        <v>190</v>
      </c>
    </row>
    <row r="206" spans="1:18" x14ac:dyDescent="0.35">
      <c r="A206" t="s">
        <v>100</v>
      </c>
      <c r="B206" t="s">
        <v>762</v>
      </c>
      <c r="C206" s="108">
        <v>11272</v>
      </c>
      <c r="D206" s="108">
        <v>0</v>
      </c>
      <c r="E206" s="108">
        <v>0</v>
      </c>
      <c r="F206" s="108"/>
      <c r="G206" s="108">
        <v>11230</v>
      </c>
      <c r="H206" s="108">
        <v>0</v>
      </c>
      <c r="I206" s="108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s="62" t="str">
        <f>+RIGHT(Tabla2[[#This Row],[Item-Codigo]], LEN(Tabla2[[#This Row],[Item-Codigo]]) - FIND(" |", Tabla2[[#This Row],[Item-Codigo]]) - 1)</f>
        <v>9532</v>
      </c>
      <c r="Q206" s="62">
        <v>9532</v>
      </c>
      <c r="R206" s="62" t="s">
        <v>190</v>
      </c>
    </row>
    <row r="207" spans="1:18" x14ac:dyDescent="0.35">
      <c r="A207" t="s">
        <v>680</v>
      </c>
      <c r="B207" t="s">
        <v>763</v>
      </c>
      <c r="C207" s="108">
        <v>41750</v>
      </c>
      <c r="D207" s="108">
        <v>0</v>
      </c>
      <c r="E207" s="108">
        <v>41750</v>
      </c>
      <c r="F207" s="108"/>
      <c r="G207" s="108">
        <v>0</v>
      </c>
      <c r="H207" s="108">
        <v>0</v>
      </c>
      <c r="I207" s="108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s="62" t="str">
        <f>+RIGHT(Tabla2[[#This Row],[Item-Codigo]], LEN(Tabla2[[#This Row],[Item-Codigo]]) - FIND(" |", Tabla2[[#This Row],[Item-Codigo]]) - 1)</f>
        <v>5402</v>
      </c>
      <c r="Q207" s="62">
        <v>5402</v>
      </c>
      <c r="R207" s="62" t="s">
        <v>784</v>
      </c>
    </row>
    <row r="208" spans="1:18" x14ac:dyDescent="0.35">
      <c r="A208" t="s">
        <v>680</v>
      </c>
      <c r="B208" t="s">
        <v>724</v>
      </c>
      <c r="C208" s="108">
        <v>3000</v>
      </c>
      <c r="D208" s="108">
        <v>0</v>
      </c>
      <c r="E208" s="108">
        <v>3000</v>
      </c>
      <c r="F208" s="108"/>
      <c r="G208" s="108">
        <v>0</v>
      </c>
      <c r="H208" s="108">
        <v>0</v>
      </c>
      <c r="I208" s="1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s="62" t="str">
        <f>+RIGHT(Tabla2[[#This Row],[Item-Codigo]], LEN(Tabla2[[#This Row],[Item-Codigo]]) - FIND(" |", Tabla2[[#This Row],[Item-Codigo]]) - 1)</f>
        <v>5205</v>
      </c>
      <c r="Q208" s="62">
        <v>5205</v>
      </c>
      <c r="R208" s="62" t="s">
        <v>807</v>
      </c>
    </row>
    <row r="209" spans="1:18" x14ac:dyDescent="0.35">
      <c r="A209" t="s">
        <v>680</v>
      </c>
      <c r="B209" t="s">
        <v>700</v>
      </c>
      <c r="C209" s="108">
        <v>3600</v>
      </c>
      <c r="D209" s="108">
        <v>0</v>
      </c>
      <c r="E209" s="108">
        <v>3600</v>
      </c>
      <c r="F209" s="108"/>
      <c r="G209" s="108">
        <v>0</v>
      </c>
      <c r="H209" s="108">
        <v>0</v>
      </c>
      <c r="I209" s="108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s="62" t="str">
        <f>+RIGHT(Tabla2[[#This Row],[Item-Codigo]], LEN(Tabla2[[#This Row],[Item-Codigo]]) - FIND(" |", Tabla2[[#This Row],[Item-Codigo]]) - 1)</f>
        <v>5206</v>
      </c>
      <c r="Q209" s="62">
        <v>5206</v>
      </c>
      <c r="R209" s="62" t="s">
        <v>805</v>
      </c>
    </row>
    <row r="210" spans="1:18" x14ac:dyDescent="0.35">
      <c r="A210" t="s">
        <v>680</v>
      </c>
      <c r="B210" t="s">
        <v>707</v>
      </c>
      <c r="C210" s="108">
        <v>3100</v>
      </c>
      <c r="D210" s="108">
        <v>0</v>
      </c>
      <c r="E210" s="108">
        <v>3100</v>
      </c>
      <c r="F210" s="108"/>
      <c r="G210" s="108">
        <v>0</v>
      </c>
      <c r="H210" s="108">
        <v>0</v>
      </c>
      <c r="I210" s="108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 s="62" t="str">
        <f>+RIGHT(Tabla2[[#This Row],[Item-Codigo]], LEN(Tabla2[[#This Row],[Item-Codigo]]) - FIND(" |", Tabla2[[#This Row],[Item-Codigo]]) - 1)</f>
        <v>5207</v>
      </c>
      <c r="Q210" s="62">
        <v>5207</v>
      </c>
      <c r="R210" s="62" t="s">
        <v>803</v>
      </c>
    </row>
    <row r="211" spans="1:18" x14ac:dyDescent="0.35">
      <c r="A211" t="s">
        <v>680</v>
      </c>
      <c r="B211" t="s">
        <v>764</v>
      </c>
      <c r="C211" s="108">
        <v>1000</v>
      </c>
      <c r="D211" s="108">
        <v>0</v>
      </c>
      <c r="E211" s="108">
        <v>1000</v>
      </c>
      <c r="F211" s="108"/>
      <c r="G211" s="108">
        <v>0</v>
      </c>
      <c r="H211" s="108">
        <v>0</v>
      </c>
      <c r="I211" s="108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s="62" t="str">
        <f>+RIGHT(Tabla2[[#This Row],[Item-Codigo]], LEN(Tabla2[[#This Row],[Item-Codigo]]) - FIND(" |", Tabla2[[#This Row],[Item-Codigo]]) - 1)</f>
        <v>5318</v>
      </c>
      <c r="Q211" s="62">
        <v>5318</v>
      </c>
      <c r="R211" s="62" t="s">
        <v>1055</v>
      </c>
    </row>
    <row r="212" spans="1:18" x14ac:dyDescent="0.35">
      <c r="A212" t="s">
        <v>680</v>
      </c>
      <c r="B212" t="s">
        <v>765</v>
      </c>
      <c r="C212" s="108">
        <v>21200</v>
      </c>
      <c r="D212" s="108">
        <v>0</v>
      </c>
      <c r="E212" s="108">
        <v>21200</v>
      </c>
      <c r="F212" s="108"/>
      <c r="G212" s="108">
        <v>0</v>
      </c>
      <c r="H212" s="108">
        <v>0</v>
      </c>
      <c r="I212" s="108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 s="62" t="str">
        <f>+RIGHT(Tabla2[[#This Row],[Item-Codigo]], LEN(Tabla2[[#This Row],[Item-Codigo]]) - FIND(" |", Tabla2[[#This Row],[Item-Codigo]]) - 1)</f>
        <v>5106</v>
      </c>
      <c r="Q212" s="62">
        <v>5106</v>
      </c>
      <c r="R212" s="62" t="s">
        <v>782</v>
      </c>
    </row>
    <row r="213" spans="1:18" x14ac:dyDescent="0.35">
      <c r="A213" t="s">
        <v>680</v>
      </c>
      <c r="B213" t="s">
        <v>766</v>
      </c>
      <c r="C213" s="108">
        <v>1000</v>
      </c>
      <c r="D213" s="108">
        <v>0</v>
      </c>
      <c r="E213" s="108">
        <v>1000</v>
      </c>
      <c r="F213" s="108"/>
      <c r="G213" s="108">
        <v>0</v>
      </c>
      <c r="H213" s="108">
        <v>0</v>
      </c>
      <c r="I213" s="108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 s="62" t="str">
        <f>+RIGHT(Tabla2[[#This Row],[Item-Codigo]], LEN(Tabla2[[#This Row],[Item-Codigo]]) - FIND(" |", Tabla2[[#This Row],[Item-Codigo]]) - 1)</f>
        <v>9502</v>
      </c>
      <c r="Q213" s="62">
        <v>9502</v>
      </c>
      <c r="R213" s="62" t="s">
        <v>1056</v>
      </c>
    </row>
    <row r="214" spans="1:18" x14ac:dyDescent="0.35">
      <c r="A214" t="s">
        <v>680</v>
      </c>
      <c r="B214" t="s">
        <v>767</v>
      </c>
      <c r="C214" s="108">
        <v>1000</v>
      </c>
      <c r="D214" s="108">
        <v>0</v>
      </c>
      <c r="E214" s="108">
        <v>1000</v>
      </c>
      <c r="F214" s="108"/>
      <c r="G214" s="108">
        <v>0</v>
      </c>
      <c r="H214" s="108">
        <v>0</v>
      </c>
      <c r="I214" s="108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 s="62" t="str">
        <f>+RIGHT(Tabla2[[#This Row],[Item-Codigo]], LEN(Tabla2[[#This Row],[Item-Codigo]]) - FIND(" |", Tabla2[[#This Row],[Item-Codigo]]) - 1)</f>
        <v>9501</v>
      </c>
      <c r="Q214" s="62">
        <v>9501</v>
      </c>
      <c r="R214" s="62" t="s">
        <v>1057</v>
      </c>
    </row>
    <row r="215" spans="1:18" x14ac:dyDescent="0.35">
      <c r="A215" t="s">
        <v>680</v>
      </c>
      <c r="B215" t="s">
        <v>768</v>
      </c>
      <c r="C215" s="108">
        <v>2700</v>
      </c>
      <c r="D215" s="108">
        <v>0</v>
      </c>
      <c r="E215" s="108">
        <v>2700</v>
      </c>
      <c r="F215" s="108"/>
      <c r="G215" s="108">
        <v>0</v>
      </c>
      <c r="H215" s="108">
        <v>0</v>
      </c>
      <c r="I215" s="108">
        <v>0</v>
      </c>
      <c r="J215">
        <v>0</v>
      </c>
      <c r="K215">
        <v>100</v>
      </c>
      <c r="L215">
        <v>550</v>
      </c>
      <c r="M215">
        <v>300</v>
      </c>
      <c r="N215">
        <v>316.66666666666703</v>
      </c>
      <c r="O215">
        <v>8.5263157894736796</v>
      </c>
      <c r="P215" s="62" t="str">
        <f>+RIGHT(Tabla2[[#This Row],[Item-Codigo]], LEN(Tabla2[[#This Row],[Item-Codigo]]) - FIND(" |", Tabla2[[#This Row],[Item-Codigo]]) - 1)</f>
        <v>4100</v>
      </c>
      <c r="Q215" s="62">
        <v>4100</v>
      </c>
      <c r="R215" s="62" t="s">
        <v>810</v>
      </c>
    </row>
    <row r="216" spans="1:18" x14ac:dyDescent="0.35">
      <c r="A216" t="s">
        <v>680</v>
      </c>
      <c r="B216" t="s">
        <v>770</v>
      </c>
      <c r="C216" s="108">
        <v>83800</v>
      </c>
      <c r="D216" s="108">
        <v>0</v>
      </c>
      <c r="E216" s="108">
        <v>83800</v>
      </c>
      <c r="F216" s="108"/>
      <c r="G216" s="108">
        <v>0</v>
      </c>
      <c r="H216" s="108">
        <v>0</v>
      </c>
      <c r="I216" s="108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 s="62" t="str">
        <f>+RIGHT(Tabla2[[#This Row],[Item-Codigo]], LEN(Tabla2[[#This Row],[Item-Codigo]]) - FIND(" |", Tabla2[[#This Row],[Item-Codigo]]) - 1)</f>
        <v>6403</v>
      </c>
      <c r="Q216" s="62">
        <v>6403</v>
      </c>
      <c r="R216" s="62" t="s">
        <v>809</v>
      </c>
    </row>
    <row r="217" spans="1:18" x14ac:dyDescent="0.35">
      <c r="A217" t="s">
        <v>680</v>
      </c>
      <c r="B217" t="s">
        <v>771</v>
      </c>
      <c r="C217" s="108">
        <v>27400</v>
      </c>
      <c r="D217" s="108">
        <v>0</v>
      </c>
      <c r="E217" s="108">
        <v>27400</v>
      </c>
      <c r="F217" s="108"/>
      <c r="G217" s="108">
        <v>0</v>
      </c>
      <c r="H217" s="108">
        <v>0</v>
      </c>
      <c r="I217" s="108">
        <v>0</v>
      </c>
      <c r="J217">
        <v>0</v>
      </c>
      <c r="K217">
        <v>0</v>
      </c>
      <c r="L217">
        <v>300</v>
      </c>
      <c r="M217">
        <v>300</v>
      </c>
      <c r="N217">
        <v>300</v>
      </c>
      <c r="O217">
        <v>91.3333333333333</v>
      </c>
      <c r="P217" s="62" t="str">
        <f>+RIGHT(Tabla2[[#This Row],[Item-Codigo]], LEN(Tabla2[[#This Row],[Item-Codigo]]) - FIND(" |", Tabla2[[#This Row],[Item-Codigo]]) - 1)</f>
        <v>3500</v>
      </c>
      <c r="Q217" s="62">
        <v>3500</v>
      </c>
      <c r="R217" s="62" t="s">
        <v>797</v>
      </c>
    </row>
    <row r="218" spans="1:18" x14ac:dyDescent="0.35">
      <c r="A218" t="s">
        <v>680</v>
      </c>
      <c r="B218" t="s">
        <v>735</v>
      </c>
      <c r="C218" s="108">
        <v>12600</v>
      </c>
      <c r="D218" s="108">
        <v>0</v>
      </c>
      <c r="E218" s="108">
        <v>12600</v>
      </c>
      <c r="F218" s="108"/>
      <c r="G218" s="108">
        <v>0</v>
      </c>
      <c r="H218" s="108">
        <v>0</v>
      </c>
      <c r="I218" s="10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s="62" t="str">
        <f>+RIGHT(Tabla2[[#This Row],[Item-Codigo]], LEN(Tabla2[[#This Row],[Item-Codigo]]) - FIND(" |", Tabla2[[#This Row],[Item-Codigo]]) - 1)</f>
        <v>3262</v>
      </c>
      <c r="Q218" s="62">
        <v>3262</v>
      </c>
      <c r="R218" s="62" t="s">
        <v>786</v>
      </c>
    </row>
    <row r="219" spans="1:18" x14ac:dyDescent="0.35">
      <c r="A219" t="s">
        <v>680</v>
      </c>
      <c r="B219" t="s">
        <v>772</v>
      </c>
      <c r="C219" s="108">
        <v>1700</v>
      </c>
      <c r="D219" s="108">
        <v>0</v>
      </c>
      <c r="E219" s="108">
        <v>1700</v>
      </c>
      <c r="F219" s="108"/>
      <c r="G219" s="108">
        <v>0</v>
      </c>
      <c r="H219" s="108">
        <v>0</v>
      </c>
      <c r="I219" s="108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s="61" t="str">
        <f>+RIGHT(Tabla2[[#This Row],[Item-Codigo]], LEN(Tabla2[[#This Row],[Item-Codigo]]) - FIND(" |", Tabla2[[#This Row],[Item-Codigo]]) - 1)</f>
        <v>3280</v>
      </c>
      <c r="Q219" s="55">
        <v>3280</v>
      </c>
      <c r="R219" s="61" t="s">
        <v>971</v>
      </c>
    </row>
    <row r="220" spans="1:18" x14ac:dyDescent="0.35">
      <c r="A220" t="s">
        <v>680</v>
      </c>
      <c r="B220" t="s">
        <v>698</v>
      </c>
      <c r="C220" s="108">
        <v>5900</v>
      </c>
      <c r="D220" s="108">
        <v>0</v>
      </c>
      <c r="E220" s="108">
        <v>5900</v>
      </c>
      <c r="F220" s="108"/>
      <c r="G220" s="108">
        <v>0</v>
      </c>
      <c r="H220" s="108">
        <v>0</v>
      </c>
      <c r="I220" s="108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s="61" t="str">
        <f>+RIGHT(Tabla2[[#This Row],[Item-Codigo]], LEN(Tabla2[[#This Row],[Item-Codigo]]) - FIND(" |", Tabla2[[#This Row],[Item-Codigo]]) - 1)</f>
        <v>3135</v>
      </c>
      <c r="Q220" s="55">
        <v>3135</v>
      </c>
      <c r="R220" s="61" t="s">
        <v>788</v>
      </c>
    </row>
    <row r="221" spans="1:18" x14ac:dyDescent="0.35">
      <c r="A221" t="s">
        <v>680</v>
      </c>
      <c r="B221" t="s">
        <v>691</v>
      </c>
      <c r="C221" s="108">
        <v>8100</v>
      </c>
      <c r="D221" s="108">
        <v>0</v>
      </c>
      <c r="E221" s="108">
        <v>8100</v>
      </c>
      <c r="F221" s="108"/>
      <c r="G221" s="108">
        <v>0</v>
      </c>
      <c r="H221" s="108">
        <v>0</v>
      </c>
      <c r="I221" s="108">
        <v>0</v>
      </c>
      <c r="J221">
        <v>0</v>
      </c>
      <c r="K221">
        <v>1600</v>
      </c>
      <c r="L221">
        <v>1600</v>
      </c>
      <c r="M221">
        <v>1250</v>
      </c>
      <c r="N221">
        <v>1483.3333333333301</v>
      </c>
      <c r="O221">
        <v>5.4606741573033704</v>
      </c>
      <c r="P221" s="61" t="str">
        <f>+RIGHT(Tabla2[[#This Row],[Item-Codigo]], LEN(Tabla2[[#This Row],[Item-Codigo]]) - FIND(" |", Tabla2[[#This Row],[Item-Codigo]]) - 1)</f>
        <v>3001</v>
      </c>
      <c r="Q221" s="55">
        <v>3001</v>
      </c>
      <c r="R221" s="61" t="s">
        <v>781</v>
      </c>
    </row>
    <row r="222" spans="1:18" x14ac:dyDescent="0.35">
      <c r="A222" t="s">
        <v>680</v>
      </c>
      <c r="B222" t="s">
        <v>774</v>
      </c>
      <c r="C222" s="108">
        <v>1750</v>
      </c>
      <c r="D222" s="108">
        <v>0</v>
      </c>
      <c r="E222" s="108">
        <v>1750</v>
      </c>
      <c r="F222" s="108"/>
      <c r="G222" s="108">
        <v>0</v>
      </c>
      <c r="H222" s="108">
        <v>0</v>
      </c>
      <c r="I222" s="108">
        <v>0</v>
      </c>
      <c r="J222">
        <v>0</v>
      </c>
      <c r="K222">
        <v>0</v>
      </c>
      <c r="L222">
        <v>550</v>
      </c>
      <c r="M222">
        <v>0</v>
      </c>
      <c r="N222">
        <v>550</v>
      </c>
      <c r="O222">
        <v>3.1818181818181799</v>
      </c>
      <c r="P222" s="61" t="str">
        <f>+RIGHT(Tabla2[[#This Row],[Item-Codigo]], LEN(Tabla2[[#This Row],[Item-Codigo]]) - FIND(" |", Tabla2[[#This Row],[Item-Codigo]]) - 1)</f>
        <v>1217</v>
      </c>
      <c r="Q222" s="55">
        <v>1217</v>
      </c>
      <c r="R222" s="61" t="s">
        <v>791</v>
      </c>
    </row>
    <row r="223" spans="1:18" x14ac:dyDescent="0.35">
      <c r="A223" t="s">
        <v>680</v>
      </c>
      <c r="B223" t="s">
        <v>684</v>
      </c>
      <c r="C223" s="108">
        <v>43050</v>
      </c>
      <c r="D223" s="108">
        <v>0</v>
      </c>
      <c r="E223" s="108">
        <v>43050</v>
      </c>
      <c r="F223" s="108"/>
      <c r="G223" s="108">
        <v>0</v>
      </c>
      <c r="H223" s="108">
        <v>0</v>
      </c>
      <c r="I223" s="108">
        <v>0</v>
      </c>
      <c r="J223">
        <v>0</v>
      </c>
      <c r="K223">
        <v>150</v>
      </c>
      <c r="L223">
        <v>200</v>
      </c>
      <c r="M223">
        <v>100</v>
      </c>
      <c r="N223">
        <v>150</v>
      </c>
      <c r="O223">
        <v>287</v>
      </c>
      <c r="P223" s="61" t="str">
        <f>+RIGHT(Tabla2[[#This Row],[Item-Codigo]], LEN(Tabla2[[#This Row],[Item-Codigo]]) - FIND(" |", Tabla2[[#This Row],[Item-Codigo]]) - 1)</f>
        <v>6100</v>
      </c>
      <c r="Q223" s="62">
        <v>6100</v>
      </c>
      <c r="R223" s="61" t="s">
        <v>793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68E7-0ACC-4705-8FE7-80433BA6B659}">
  <sheetPr codeName="Hoja9"/>
  <dimension ref="A1:K2088"/>
  <sheetViews>
    <sheetView view="pageBreakPreview" topLeftCell="C1" zoomScale="60" zoomScaleNormal="100" workbookViewId="0">
      <selection activeCell="J4" sqref="J4"/>
    </sheetView>
  </sheetViews>
  <sheetFormatPr baseColWidth="10" defaultColWidth="8.7265625" defaultRowHeight="14.5" x14ac:dyDescent="0.35"/>
  <cols>
    <col min="1" max="1" width="33.54296875" bestFit="1" customWidth="1"/>
    <col min="2" max="2" width="68" bestFit="1" customWidth="1"/>
    <col min="3" max="3" width="62.90625" bestFit="1" customWidth="1"/>
    <col min="4" max="4" width="27.54296875" bestFit="1" customWidth="1"/>
    <col min="5" max="5" width="16.90625" bestFit="1" customWidth="1"/>
    <col min="6" max="6" width="8.7265625" customWidth="1"/>
    <col min="7" max="7" width="16" customWidth="1"/>
    <col min="8" max="8" width="9.36328125" bestFit="1" customWidth="1"/>
    <col min="9" max="9" width="9.36328125" customWidth="1"/>
    <col min="10" max="10" width="11" bestFit="1" customWidth="1"/>
    <col min="11" max="11" width="59" customWidth="1"/>
  </cols>
  <sheetData>
    <row r="1" spans="1:11" x14ac:dyDescent="0.35">
      <c r="A1" t="s">
        <v>192</v>
      </c>
      <c r="B1" t="s">
        <v>193</v>
      </c>
      <c r="C1" t="s">
        <v>194</v>
      </c>
      <c r="D1" t="s">
        <v>195</v>
      </c>
      <c r="E1" t="s">
        <v>1236</v>
      </c>
      <c r="F1" t="s">
        <v>1237</v>
      </c>
      <c r="G1" t="s">
        <v>418</v>
      </c>
      <c r="H1" t="s">
        <v>10</v>
      </c>
      <c r="I1" t="s">
        <v>776</v>
      </c>
      <c r="J1" t="s">
        <v>1235</v>
      </c>
      <c r="K1" t="s">
        <v>1224</v>
      </c>
    </row>
    <row r="2" spans="1:11" x14ac:dyDescent="0.35">
      <c r="A2" t="s">
        <v>196</v>
      </c>
      <c r="B2" t="s">
        <v>214</v>
      </c>
      <c r="C2" t="s">
        <v>822</v>
      </c>
      <c r="D2">
        <v>393.48228262409998</v>
      </c>
      <c r="E2" t="s">
        <v>202</v>
      </c>
      <c r="F2">
        <v>2023</v>
      </c>
      <c r="G2" t="str">
        <f>TRIM(RIGHT(Table156[[#This Row],[Item-Codigo]], LEN(Table156[[#This Row],[Item-Codigo]]) - FIND("|", CONCATENATE(B2), FIND("|", CONCATENATE(B2)) + 1)))</f>
        <v>TM</v>
      </c>
      <c r="H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223</v>
      </c>
      <c r="I2" s="40">
        <v>223</v>
      </c>
      <c r="J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393.48228262409998</v>
      </c>
      <c r="K2" t="s">
        <v>93</v>
      </c>
    </row>
    <row r="3" spans="1:11" x14ac:dyDescent="0.35">
      <c r="A3" t="s">
        <v>198</v>
      </c>
      <c r="B3" t="s">
        <v>219</v>
      </c>
      <c r="C3" t="s">
        <v>220</v>
      </c>
      <c r="D3">
        <v>958</v>
      </c>
      <c r="E3" t="s">
        <v>202</v>
      </c>
      <c r="F3">
        <v>2023</v>
      </c>
      <c r="G3" t="str">
        <f>TRIM(RIGHT(Table156[[#This Row],[Item-Codigo]], LEN(Table156[[#This Row],[Item-Codigo]]) - FIND("|", CONCATENATE(B3), FIND("|", CONCATENATE(B3)) + 1)))</f>
        <v>TM</v>
      </c>
      <c r="H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3" s="40">
        <v>42</v>
      </c>
      <c r="J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958</v>
      </c>
      <c r="K3" t="s">
        <v>94</v>
      </c>
    </row>
    <row r="4" spans="1:11" x14ac:dyDescent="0.35">
      <c r="A4" t="s">
        <v>198</v>
      </c>
      <c r="B4" t="s">
        <v>224</v>
      </c>
      <c r="C4" t="s">
        <v>223</v>
      </c>
      <c r="D4">
        <v>1900</v>
      </c>
      <c r="E4" t="s">
        <v>202</v>
      </c>
      <c r="F4">
        <v>2023</v>
      </c>
      <c r="G4" t="str">
        <f>TRIM(RIGHT(Table156[[#This Row],[Item-Codigo]], LEN(Table156[[#This Row],[Item-Codigo]]) - FIND("|", CONCATENATE(B4), FIND("|", CONCATENATE(B4)) + 1)))</f>
        <v>TM</v>
      </c>
      <c r="H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40</v>
      </c>
      <c r="I4" s="40">
        <v>40</v>
      </c>
      <c r="J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1900</v>
      </c>
      <c r="K4" t="s">
        <v>95</v>
      </c>
    </row>
    <row r="5" spans="1:11" x14ac:dyDescent="0.35">
      <c r="A5" t="s">
        <v>198</v>
      </c>
      <c r="B5" t="s">
        <v>224</v>
      </c>
      <c r="C5" t="s">
        <v>831</v>
      </c>
      <c r="D5">
        <v>1910</v>
      </c>
      <c r="E5" t="s">
        <v>202</v>
      </c>
      <c r="F5">
        <v>2023</v>
      </c>
      <c r="G5" t="str">
        <f>TRIM(RIGHT(Table156[[#This Row],[Item-Codigo]], LEN(Table156[[#This Row],[Item-Codigo]]) - FIND("|", CONCATENATE(B5), FIND("|", CONCATENATE(B5)) + 1)))</f>
        <v>TM</v>
      </c>
      <c r="H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40</v>
      </c>
      <c r="I5" s="40">
        <v>40</v>
      </c>
      <c r="J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1910</v>
      </c>
      <c r="K5" t="s">
        <v>95</v>
      </c>
    </row>
    <row r="6" spans="1:11" x14ac:dyDescent="0.35">
      <c r="A6" t="s">
        <v>198</v>
      </c>
      <c r="B6" t="s">
        <v>225</v>
      </c>
      <c r="C6" t="s">
        <v>226</v>
      </c>
      <c r="D6">
        <v>387.00035689319998</v>
      </c>
      <c r="E6" t="s">
        <v>202</v>
      </c>
      <c r="F6">
        <v>2023</v>
      </c>
      <c r="G6" t="str">
        <f>TRIM(RIGHT(Table156[[#This Row],[Item-Codigo]], LEN(Table156[[#This Row],[Item-Codigo]]) - FIND("|", CONCATENATE(B6), FIND("|", CONCATENATE(B6)) + 1)))</f>
        <v>TM</v>
      </c>
      <c r="H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301</v>
      </c>
      <c r="I6" s="40">
        <v>301</v>
      </c>
      <c r="J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387.00035689319998</v>
      </c>
      <c r="K6" t="s">
        <v>96</v>
      </c>
    </row>
    <row r="7" spans="1:11" x14ac:dyDescent="0.35">
      <c r="A7" t="s">
        <v>198</v>
      </c>
      <c r="B7" t="s">
        <v>228</v>
      </c>
      <c r="C7" t="s">
        <v>832</v>
      </c>
      <c r="D7">
        <v>385.35170989390002</v>
      </c>
      <c r="E7" t="s">
        <v>202</v>
      </c>
      <c r="F7">
        <v>2023</v>
      </c>
      <c r="G7" t="str">
        <f>TRIM(RIGHT(Table156[[#This Row],[Item-Codigo]], LEN(Table156[[#This Row],[Item-Codigo]]) - FIND("|", CONCATENATE(B7), FIND("|", CONCATENATE(B7)) + 1)))</f>
        <v>TM</v>
      </c>
      <c r="H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7" s="40">
        <v>200</v>
      </c>
      <c r="J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385.35170989390002</v>
      </c>
      <c r="K7" t="s">
        <v>97</v>
      </c>
    </row>
    <row r="8" spans="1:11" x14ac:dyDescent="0.35">
      <c r="A8" t="s">
        <v>198</v>
      </c>
      <c r="B8" t="s">
        <v>228</v>
      </c>
      <c r="C8" t="s">
        <v>218</v>
      </c>
      <c r="D8">
        <v>388.67895156535701</v>
      </c>
      <c r="E8" t="s">
        <v>202</v>
      </c>
      <c r="F8">
        <v>2023</v>
      </c>
      <c r="G8" t="str">
        <f>TRIM(RIGHT(Table156[[#This Row],[Item-Codigo]], LEN(Table156[[#This Row],[Item-Codigo]]) - FIND("|", CONCATENATE(B8), FIND("|", CONCATENATE(B8)) + 1)))</f>
        <v>TM</v>
      </c>
      <c r="H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8" s="40">
        <v>200</v>
      </c>
      <c r="J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388.67895156535701</v>
      </c>
      <c r="K8" t="s">
        <v>97</v>
      </c>
    </row>
    <row r="9" spans="1:11" x14ac:dyDescent="0.35">
      <c r="A9" t="s">
        <v>198</v>
      </c>
      <c r="B9" t="s">
        <v>232</v>
      </c>
      <c r="C9" t="s">
        <v>231</v>
      </c>
      <c r="D9">
        <v>45.997641509425002</v>
      </c>
      <c r="E9" t="s">
        <v>202</v>
      </c>
      <c r="F9">
        <v>2023</v>
      </c>
      <c r="G9" t="str">
        <f>TRIM(RIGHT(Table156[[#This Row],[Item-Codigo]], LEN(Table156[[#This Row],[Item-Codigo]]) - FIND("|", CONCATENATE(B9), FIND("|", CONCATENATE(B9)) + 1)))</f>
        <v>TM</v>
      </c>
      <c r="H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9" s="40">
        <v>701</v>
      </c>
      <c r="J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45.997641509425002</v>
      </c>
      <c r="K9" t="s">
        <v>98</v>
      </c>
    </row>
    <row r="10" spans="1:11" x14ac:dyDescent="0.35">
      <c r="A10" t="s">
        <v>198</v>
      </c>
      <c r="B10" t="s">
        <v>232</v>
      </c>
      <c r="C10" t="s">
        <v>834</v>
      </c>
      <c r="D10">
        <v>46</v>
      </c>
      <c r="E10" t="s">
        <v>202</v>
      </c>
      <c r="F10">
        <v>2023</v>
      </c>
      <c r="G10" t="str">
        <f>TRIM(RIGHT(Table156[[#This Row],[Item-Codigo]], LEN(Table156[[#This Row],[Item-Codigo]]) - FIND("|", CONCATENATE(B10), FIND("|", CONCATENATE(B10)) + 1)))</f>
        <v>TM</v>
      </c>
      <c r="H1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10" s="40">
        <v>701</v>
      </c>
      <c r="J1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46</v>
      </c>
      <c r="K10" t="s">
        <v>98</v>
      </c>
    </row>
    <row r="11" spans="1:11" x14ac:dyDescent="0.35">
      <c r="A11" t="s">
        <v>198</v>
      </c>
      <c r="B11" t="s">
        <v>838</v>
      </c>
      <c r="C11" t="s">
        <v>239</v>
      </c>
      <c r="D11">
        <v>889.96974982431402</v>
      </c>
      <c r="E11" t="s">
        <v>202</v>
      </c>
      <c r="F11">
        <v>2023</v>
      </c>
      <c r="G11" t="str">
        <f>TRIM(RIGHT(Table156[[#This Row],[Item-Codigo]], LEN(Table156[[#This Row],[Item-Codigo]]) - FIND("|", CONCATENATE(B11), FIND("|", CONCATENATE(B11)) + 1)))</f>
        <v>TM</v>
      </c>
      <c r="H1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111.5</v>
      </c>
      <c r="I11" s="40" t="s">
        <v>933</v>
      </c>
      <c r="J1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889.96974982431402</v>
      </c>
      <c r="K11" t="s">
        <v>184</v>
      </c>
    </row>
    <row r="12" spans="1:11" x14ac:dyDescent="0.35">
      <c r="A12" t="s">
        <v>198</v>
      </c>
      <c r="B12" t="s">
        <v>840</v>
      </c>
      <c r="C12" t="s">
        <v>831</v>
      </c>
      <c r="D12">
        <v>1599.9675298319</v>
      </c>
      <c r="E12" t="s">
        <v>202</v>
      </c>
      <c r="F12">
        <v>2023</v>
      </c>
      <c r="G12" t="str">
        <f>TRIM(RIGHT(Table156[[#This Row],[Item-Codigo]], LEN(Table156[[#This Row],[Item-Codigo]]) - FIND("|", CONCATENATE(B12), FIND("|", CONCATENATE(B12)) + 1)))</f>
        <v>TM</v>
      </c>
      <c r="H1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156</v>
      </c>
      <c r="I12" s="40">
        <v>156</v>
      </c>
      <c r="J1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1599.9675298319</v>
      </c>
      <c r="K12" t="s">
        <v>977</v>
      </c>
    </row>
    <row r="13" spans="1:11" x14ac:dyDescent="0.35">
      <c r="A13" t="s">
        <v>198</v>
      </c>
      <c r="B13" t="s">
        <v>841</v>
      </c>
      <c r="C13" t="s">
        <v>241</v>
      </c>
      <c r="D13">
        <v>770.06747113330005</v>
      </c>
      <c r="E13" t="s">
        <v>202</v>
      </c>
      <c r="F13">
        <v>2023</v>
      </c>
      <c r="G13" t="str">
        <f>TRIM(RIGHT(Table156[[#This Row],[Item-Codigo]], LEN(Table156[[#This Row],[Item-Codigo]]) - FIND("|", CONCATENATE(B13), FIND("|", CONCATENATE(B13)) + 1)))</f>
        <v>TM</v>
      </c>
      <c r="H1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159</v>
      </c>
      <c r="I13" s="40">
        <v>159</v>
      </c>
      <c r="J1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770.06747113330005</v>
      </c>
      <c r="K13" t="s">
        <v>191</v>
      </c>
    </row>
    <row r="14" spans="1:11" x14ac:dyDescent="0.35">
      <c r="A14" t="s">
        <v>198</v>
      </c>
      <c r="B14" t="s">
        <v>841</v>
      </c>
      <c r="C14" t="s">
        <v>842</v>
      </c>
      <c r="D14">
        <v>760.02199784519996</v>
      </c>
      <c r="E14" t="s">
        <v>202</v>
      </c>
      <c r="F14">
        <v>2023</v>
      </c>
      <c r="G14" t="str">
        <f>TRIM(RIGHT(Table156[[#This Row],[Item-Codigo]], LEN(Table156[[#This Row],[Item-Codigo]]) - FIND("|", CONCATENATE(B14), FIND("|", CONCATENATE(B14)) + 1)))</f>
        <v>TM</v>
      </c>
      <c r="H1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159</v>
      </c>
      <c r="I14" s="40">
        <v>159</v>
      </c>
      <c r="J1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760.02199784519996</v>
      </c>
      <c r="K14" t="s">
        <v>191</v>
      </c>
    </row>
    <row r="15" spans="1:11" x14ac:dyDescent="0.35">
      <c r="A15" t="s">
        <v>198</v>
      </c>
      <c r="B15" t="s">
        <v>199</v>
      </c>
      <c r="C15" t="s">
        <v>201</v>
      </c>
      <c r="D15">
        <v>17.500048895516699</v>
      </c>
      <c r="E15" t="s">
        <v>202</v>
      </c>
      <c r="F15">
        <v>2023</v>
      </c>
      <c r="G15" t="str">
        <f>TRIM(RIGHT(Table156[[#This Row],[Item-Codigo]], LEN(Table156[[#This Row],[Item-Codigo]]) - FIND("|", CONCATENATE(B15), FIND("|", CONCATENATE(B15)) + 1)))</f>
        <v>QQ</v>
      </c>
      <c r="H1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15" s="40">
        <v>1</v>
      </c>
      <c r="J15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385.00107570136737</v>
      </c>
      <c r="K15" t="s">
        <v>182</v>
      </c>
    </row>
    <row r="16" spans="1:11" x14ac:dyDescent="0.35">
      <c r="A16" t="s">
        <v>198</v>
      </c>
      <c r="B16" t="s">
        <v>199</v>
      </c>
      <c r="C16" t="s">
        <v>848</v>
      </c>
      <c r="D16">
        <v>17.999958865949999</v>
      </c>
      <c r="E16" t="s">
        <v>202</v>
      </c>
      <c r="F16">
        <v>2023</v>
      </c>
      <c r="G16" t="str">
        <f>TRIM(RIGHT(Table156[[#This Row],[Item-Codigo]], LEN(Table156[[#This Row],[Item-Codigo]]) - FIND("|", CONCATENATE(B16), FIND("|", CONCATENATE(B16)) + 1)))</f>
        <v>QQ</v>
      </c>
      <c r="H1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16" s="40">
        <v>1</v>
      </c>
      <c r="J16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395.9990950509</v>
      </c>
      <c r="K16" t="s">
        <v>182</v>
      </c>
    </row>
    <row r="17" spans="1:11" x14ac:dyDescent="0.35">
      <c r="A17" t="s">
        <v>198</v>
      </c>
      <c r="B17" t="s">
        <v>245</v>
      </c>
      <c r="C17" t="s">
        <v>851</v>
      </c>
      <c r="D17">
        <v>340</v>
      </c>
      <c r="E17" t="s">
        <v>202</v>
      </c>
      <c r="F17">
        <v>2023</v>
      </c>
      <c r="G17" t="str">
        <f>TRIM(RIGHT(Table156[[#This Row],[Item-Codigo]], LEN(Table156[[#This Row],[Item-Codigo]]) - FIND("|", CONCATENATE(B17), FIND("|", CONCATENATE(B17)) + 1)))</f>
        <v>TM</v>
      </c>
      <c r="H1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14</v>
      </c>
      <c r="I17" s="40">
        <v>14</v>
      </c>
      <c r="J1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340</v>
      </c>
      <c r="K17" t="s">
        <v>187</v>
      </c>
    </row>
    <row r="18" spans="1:11" x14ac:dyDescent="0.35">
      <c r="A18" t="s">
        <v>198</v>
      </c>
      <c r="B18" t="s">
        <v>854</v>
      </c>
      <c r="C18" t="s">
        <v>855</v>
      </c>
      <c r="D18">
        <v>386</v>
      </c>
      <c r="E18" t="s">
        <v>202</v>
      </c>
      <c r="F18">
        <v>2023</v>
      </c>
      <c r="G18" t="str">
        <f>TRIM(RIGHT(Table156[[#This Row],[Item-Codigo]], LEN(Table156[[#This Row],[Item-Codigo]]) - FIND("|", CONCATENATE(B18), FIND("|", CONCATENATE(B18)) + 1)))</f>
        <v>TM</v>
      </c>
      <c r="H1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214</v>
      </c>
      <c r="I18" s="40">
        <v>214</v>
      </c>
      <c r="J1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386</v>
      </c>
      <c r="K18" t="s">
        <v>186</v>
      </c>
    </row>
    <row r="19" spans="1:11" x14ac:dyDescent="0.35">
      <c r="A19" t="s">
        <v>198</v>
      </c>
      <c r="B19" t="s">
        <v>207</v>
      </c>
      <c r="C19" t="s">
        <v>857</v>
      </c>
      <c r="D19">
        <v>19.044526240809098</v>
      </c>
      <c r="E19" t="s">
        <v>202</v>
      </c>
      <c r="F19">
        <v>2023</v>
      </c>
      <c r="G19" t="str">
        <f>TRIM(RIGHT(Table156[[#This Row],[Item-Codigo]], LEN(Table156[[#This Row],[Item-Codigo]]) - FIND("|", CONCATENATE(B19), FIND("|", CONCATENATE(B19)) + 1)))</f>
        <v>QQ</v>
      </c>
      <c r="H1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9" s="40">
        <v>410</v>
      </c>
      <c r="J19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418.97957729780018</v>
      </c>
      <c r="K19" t="s">
        <v>183</v>
      </c>
    </row>
    <row r="20" spans="1:11" x14ac:dyDescent="0.35">
      <c r="A20" t="s">
        <v>198</v>
      </c>
      <c r="B20" t="s">
        <v>207</v>
      </c>
      <c r="C20" t="s">
        <v>858</v>
      </c>
      <c r="D20">
        <v>18.959957149033301</v>
      </c>
      <c r="E20" t="s">
        <v>202</v>
      </c>
      <c r="F20">
        <v>2023</v>
      </c>
      <c r="G20" t="str">
        <f>TRIM(RIGHT(Table156[[#This Row],[Item-Codigo]], LEN(Table156[[#This Row],[Item-Codigo]]) - FIND("|", CONCATENATE(B20), FIND("|", CONCATENATE(B20)) + 1)))</f>
        <v>QQ</v>
      </c>
      <c r="H2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20" s="40">
        <v>410</v>
      </c>
      <c r="J20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417.11905727873261</v>
      </c>
      <c r="K20" t="s">
        <v>183</v>
      </c>
    </row>
    <row r="21" spans="1:11" x14ac:dyDescent="0.35">
      <c r="A21" t="s">
        <v>198</v>
      </c>
      <c r="B21" t="s">
        <v>207</v>
      </c>
      <c r="C21" t="s">
        <v>859</v>
      </c>
      <c r="D21">
        <v>18.766635401266701</v>
      </c>
      <c r="E21" t="s">
        <v>202</v>
      </c>
      <c r="F21">
        <v>2023</v>
      </c>
      <c r="G21" t="str">
        <f>TRIM(RIGHT(Table156[[#This Row],[Item-Codigo]], LEN(Table156[[#This Row],[Item-Codigo]]) - FIND("|", CONCATENATE(B21), FIND("|", CONCATENATE(B21)) + 1)))</f>
        <v>QQ</v>
      </c>
      <c r="H2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21" s="40">
        <v>410</v>
      </c>
      <c r="J21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412.86597882786742</v>
      </c>
      <c r="K21" t="s">
        <v>183</v>
      </c>
    </row>
    <row r="22" spans="1:11" x14ac:dyDescent="0.35">
      <c r="A22" t="s">
        <v>198</v>
      </c>
      <c r="B22" t="s">
        <v>207</v>
      </c>
      <c r="C22" t="s">
        <v>201</v>
      </c>
      <c r="D22">
        <v>18.7699357702333</v>
      </c>
      <c r="E22" t="s">
        <v>202</v>
      </c>
      <c r="F22">
        <v>2023</v>
      </c>
      <c r="G22" t="str">
        <f>TRIM(RIGHT(Table156[[#This Row],[Item-Codigo]], LEN(Table156[[#This Row],[Item-Codigo]]) - FIND("|", CONCATENATE(B22), FIND("|", CONCATENATE(B22)) + 1)))</f>
        <v>QQ</v>
      </c>
      <c r="H2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22" s="40">
        <v>410</v>
      </c>
      <c r="J22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412.93858694513261</v>
      </c>
      <c r="K22" t="s">
        <v>183</v>
      </c>
    </row>
    <row r="23" spans="1:11" x14ac:dyDescent="0.35">
      <c r="A23" t="s">
        <v>198</v>
      </c>
      <c r="B23" t="s">
        <v>207</v>
      </c>
      <c r="C23" t="s">
        <v>860</v>
      </c>
      <c r="D23">
        <v>18.905933306320001</v>
      </c>
      <c r="E23" t="s">
        <v>202</v>
      </c>
      <c r="F23">
        <v>2023</v>
      </c>
      <c r="G23" t="str">
        <f>TRIM(RIGHT(Table156[[#This Row],[Item-Codigo]], LEN(Table156[[#This Row],[Item-Codigo]]) - FIND("|", CONCATENATE(B23), FIND("|", CONCATENATE(B23)) + 1)))</f>
        <v>QQ</v>
      </c>
      <c r="H2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23" s="40">
        <v>410</v>
      </c>
      <c r="J23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415.93053273904002</v>
      </c>
      <c r="K23" t="s">
        <v>183</v>
      </c>
    </row>
    <row r="24" spans="1:11" x14ac:dyDescent="0.35">
      <c r="A24" t="s">
        <v>198</v>
      </c>
      <c r="B24" t="s">
        <v>207</v>
      </c>
      <c r="C24" t="s">
        <v>861</v>
      </c>
      <c r="D24">
        <v>18.7841961837571</v>
      </c>
      <c r="E24" t="s">
        <v>202</v>
      </c>
      <c r="F24">
        <v>2023</v>
      </c>
      <c r="G24" t="str">
        <f>TRIM(RIGHT(Table156[[#This Row],[Item-Codigo]], LEN(Table156[[#This Row],[Item-Codigo]]) - FIND("|", CONCATENATE(B24), FIND("|", CONCATENATE(B24)) + 1)))</f>
        <v>QQ</v>
      </c>
      <c r="H2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24" s="40">
        <v>410</v>
      </c>
      <c r="J24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413.25231604265622</v>
      </c>
      <c r="K24" t="s">
        <v>183</v>
      </c>
    </row>
    <row r="25" spans="1:11" x14ac:dyDescent="0.35">
      <c r="A25" t="s">
        <v>198</v>
      </c>
      <c r="B25" t="s">
        <v>207</v>
      </c>
      <c r="C25" t="s">
        <v>833</v>
      </c>
      <c r="D25">
        <v>18.8334538291667</v>
      </c>
      <c r="E25" t="s">
        <v>202</v>
      </c>
      <c r="F25">
        <v>2023</v>
      </c>
      <c r="G25" t="str">
        <f>TRIM(RIGHT(Table156[[#This Row],[Item-Codigo]], LEN(Table156[[#This Row],[Item-Codigo]]) - FIND("|", CONCATENATE(B25), FIND("|", CONCATENATE(B25)) + 1)))</f>
        <v>QQ</v>
      </c>
      <c r="H2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25" s="40">
        <v>410</v>
      </c>
      <c r="J25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414.3359842416674</v>
      </c>
      <c r="K25" t="s">
        <v>183</v>
      </c>
    </row>
    <row r="26" spans="1:11" x14ac:dyDescent="0.35">
      <c r="A26" t="s">
        <v>198</v>
      </c>
      <c r="B26" t="s">
        <v>207</v>
      </c>
      <c r="C26" t="s">
        <v>209</v>
      </c>
      <c r="D26">
        <v>18.8945203458462</v>
      </c>
      <c r="E26" t="s">
        <v>202</v>
      </c>
      <c r="F26">
        <v>2023</v>
      </c>
      <c r="G26" t="str">
        <f>TRIM(RIGHT(Table156[[#This Row],[Item-Codigo]], LEN(Table156[[#This Row],[Item-Codigo]]) - FIND("|", CONCATENATE(B26), FIND("|", CONCATENATE(B26)) + 1)))</f>
        <v>QQ</v>
      </c>
      <c r="H2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26" s="40">
        <v>410</v>
      </c>
      <c r="J26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415.67944760861639</v>
      </c>
      <c r="K26" t="s">
        <v>183</v>
      </c>
    </row>
    <row r="27" spans="1:11" x14ac:dyDescent="0.35">
      <c r="A27" t="s">
        <v>198</v>
      </c>
      <c r="B27" t="s">
        <v>207</v>
      </c>
      <c r="C27" t="s">
        <v>864</v>
      </c>
      <c r="D27">
        <v>18.8600847278</v>
      </c>
      <c r="E27" t="s">
        <v>202</v>
      </c>
      <c r="F27">
        <v>2023</v>
      </c>
      <c r="G27" t="str">
        <f>TRIM(RIGHT(Table156[[#This Row],[Item-Codigo]], LEN(Table156[[#This Row],[Item-Codigo]]) - FIND("|", CONCATENATE(B27), FIND("|", CONCATENATE(B27)) + 1)))</f>
        <v>QQ</v>
      </c>
      <c r="H2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27" s="40">
        <v>410</v>
      </c>
      <c r="J27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414.92186401160001</v>
      </c>
      <c r="K27" t="s">
        <v>183</v>
      </c>
    </row>
    <row r="28" spans="1:11" x14ac:dyDescent="0.35">
      <c r="A28" t="s">
        <v>198</v>
      </c>
      <c r="B28" t="s">
        <v>207</v>
      </c>
      <c r="C28" t="s">
        <v>211</v>
      </c>
      <c r="D28">
        <v>18.987463338925</v>
      </c>
      <c r="E28" t="s">
        <v>202</v>
      </c>
      <c r="F28">
        <v>2023</v>
      </c>
      <c r="G28" t="str">
        <f>TRIM(RIGHT(Table156[[#This Row],[Item-Codigo]], LEN(Table156[[#This Row],[Item-Codigo]]) - FIND("|", CONCATENATE(B28), FIND("|", CONCATENATE(B28)) + 1)))</f>
        <v>QQ</v>
      </c>
      <c r="H2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28" s="40">
        <v>410</v>
      </c>
      <c r="J28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417.72419345635001</v>
      </c>
      <c r="K28" t="s">
        <v>183</v>
      </c>
    </row>
    <row r="29" spans="1:11" x14ac:dyDescent="0.35">
      <c r="A29" t="s">
        <v>198</v>
      </c>
      <c r="B29" t="s">
        <v>207</v>
      </c>
      <c r="C29" t="s">
        <v>866</v>
      </c>
      <c r="D29">
        <v>18.896546105033298</v>
      </c>
      <c r="E29" t="s">
        <v>202</v>
      </c>
      <c r="F29">
        <v>2023</v>
      </c>
      <c r="G29" t="str">
        <f>TRIM(RIGHT(Table156[[#This Row],[Item-Codigo]], LEN(Table156[[#This Row],[Item-Codigo]]) - FIND("|", CONCATENATE(B29), FIND("|", CONCATENATE(B29)) + 1)))</f>
        <v>QQ</v>
      </c>
      <c r="H2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29" s="40">
        <v>410</v>
      </c>
      <c r="J29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415.72401431073257</v>
      </c>
      <c r="K29" t="s">
        <v>183</v>
      </c>
    </row>
    <row r="30" spans="1:11" x14ac:dyDescent="0.35">
      <c r="A30" t="s">
        <v>198</v>
      </c>
      <c r="B30" t="s">
        <v>207</v>
      </c>
      <c r="C30" t="s">
        <v>212</v>
      </c>
      <c r="D30">
        <v>18.817379054949999</v>
      </c>
      <c r="E30" t="s">
        <v>202</v>
      </c>
      <c r="F30">
        <v>2023</v>
      </c>
      <c r="G30" t="str">
        <f>TRIM(RIGHT(Table156[[#This Row],[Item-Codigo]], LEN(Table156[[#This Row],[Item-Codigo]]) - FIND("|", CONCATENATE(B30), FIND("|", CONCATENATE(B30)) + 1)))</f>
        <v>QQ</v>
      </c>
      <c r="H3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30" s="40">
        <v>410</v>
      </c>
      <c r="J30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413.98233920889999</v>
      </c>
      <c r="K30" t="s">
        <v>183</v>
      </c>
    </row>
    <row r="31" spans="1:11" x14ac:dyDescent="0.35">
      <c r="A31" t="s">
        <v>198</v>
      </c>
      <c r="B31" t="s">
        <v>207</v>
      </c>
      <c r="C31" t="s">
        <v>867</v>
      </c>
      <c r="D31">
        <v>19.417142817642901</v>
      </c>
      <c r="E31" t="s">
        <v>202</v>
      </c>
      <c r="F31">
        <v>2023</v>
      </c>
      <c r="G31" t="str">
        <f>TRIM(RIGHT(Table156[[#This Row],[Item-Codigo]], LEN(Table156[[#This Row],[Item-Codigo]]) - FIND("|", CONCATENATE(B31), FIND("|", CONCATENATE(B31)) + 1)))</f>
        <v>QQ</v>
      </c>
      <c r="H3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31" s="40">
        <v>410</v>
      </c>
      <c r="J31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427.17714198814383</v>
      </c>
      <c r="K31" t="s">
        <v>183</v>
      </c>
    </row>
    <row r="32" spans="1:11" x14ac:dyDescent="0.35">
      <c r="A32" t="s">
        <v>198</v>
      </c>
      <c r="B32" t="s">
        <v>207</v>
      </c>
      <c r="C32" t="s">
        <v>868</v>
      </c>
      <c r="D32">
        <v>18.8651778069</v>
      </c>
      <c r="E32" t="s">
        <v>202</v>
      </c>
      <c r="F32">
        <v>2023</v>
      </c>
      <c r="G32" t="str">
        <f>TRIM(RIGHT(Table156[[#This Row],[Item-Codigo]], LEN(Table156[[#This Row],[Item-Codigo]]) - FIND("|", CONCATENATE(B32), FIND("|", CONCATENATE(B32)) + 1)))</f>
        <v>QQ</v>
      </c>
      <c r="H3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32" s="40">
        <v>410</v>
      </c>
      <c r="J32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415.03391175180002</v>
      </c>
      <c r="K32" t="s">
        <v>183</v>
      </c>
    </row>
    <row r="33" spans="1:11" x14ac:dyDescent="0.35">
      <c r="A33" t="s">
        <v>256</v>
      </c>
      <c r="B33" t="s">
        <v>876</v>
      </c>
      <c r="C33" t="s">
        <v>263</v>
      </c>
      <c r="D33">
        <v>0.16739973799999999</v>
      </c>
      <c r="E33" t="s">
        <v>202</v>
      </c>
      <c r="F33">
        <v>2023</v>
      </c>
      <c r="G33" t="str">
        <f>TRIM(RIGHT(Table156[[#This Row],[Item-Codigo]], LEN(Table156[[#This Row],[Item-Codigo]]) - FIND("|", CONCATENATE(B33), FIND("|", CONCATENATE(B33)) + 1)))</f>
        <v>UND</v>
      </c>
      <c r="H3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1022-ME</v>
      </c>
      <c r="I33" s="40" t="s">
        <v>499</v>
      </c>
      <c r="J3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0.16739973799999999</v>
      </c>
      <c r="K33" t="s">
        <v>42</v>
      </c>
    </row>
    <row r="34" spans="1:11" x14ac:dyDescent="0.35">
      <c r="A34" t="s">
        <v>256</v>
      </c>
      <c r="B34" t="s">
        <v>876</v>
      </c>
      <c r="C34" t="s">
        <v>267</v>
      </c>
      <c r="D34">
        <v>0.1472006344</v>
      </c>
      <c r="E34" t="s">
        <v>202</v>
      </c>
      <c r="F34">
        <v>2023</v>
      </c>
      <c r="G34" t="str">
        <f>TRIM(RIGHT(Table156[[#This Row],[Item-Codigo]], LEN(Table156[[#This Row],[Item-Codigo]]) - FIND("|", CONCATENATE(B34), FIND("|", CONCATENATE(B34)) + 1)))</f>
        <v>UND</v>
      </c>
      <c r="H3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1022-ME</v>
      </c>
      <c r="I34" s="40" t="s">
        <v>499</v>
      </c>
      <c r="J3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0.1472006344</v>
      </c>
      <c r="K34" t="s">
        <v>42</v>
      </c>
    </row>
    <row r="35" spans="1:11" x14ac:dyDescent="0.35">
      <c r="A35" t="s">
        <v>256</v>
      </c>
      <c r="B35" t="s">
        <v>261</v>
      </c>
      <c r="C35" t="s">
        <v>263</v>
      </c>
      <c r="D35">
        <v>0.16739997479999999</v>
      </c>
      <c r="E35" t="s">
        <v>202</v>
      </c>
      <c r="F35">
        <v>2023</v>
      </c>
      <c r="G35" t="str">
        <f>TRIM(RIGHT(Table156[[#This Row],[Item-Codigo]], LEN(Table156[[#This Row],[Item-Codigo]]) - FIND("|", CONCATENATE(B35), FIND("|", CONCATENATE(B35)) + 1)))</f>
        <v>UND</v>
      </c>
      <c r="H3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35" s="40" t="s">
        <v>500</v>
      </c>
      <c r="J3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0.16739997479999999</v>
      </c>
      <c r="K35" t="s">
        <v>43</v>
      </c>
    </row>
    <row r="36" spans="1:11" x14ac:dyDescent="0.35">
      <c r="A36" t="s">
        <v>256</v>
      </c>
      <c r="B36" t="s">
        <v>264</v>
      </c>
      <c r="C36" t="s">
        <v>267</v>
      </c>
      <c r="D36">
        <v>0.15289977469999999</v>
      </c>
      <c r="E36" t="s">
        <v>202</v>
      </c>
      <c r="F36">
        <v>2023</v>
      </c>
      <c r="G36" t="str">
        <f>TRIM(RIGHT(Table156[[#This Row],[Item-Codigo]], LEN(Table156[[#This Row],[Item-Codigo]]) - FIND("|", CONCATENATE(B36), FIND("|", CONCATENATE(B36)) + 1)))</f>
        <v>UND</v>
      </c>
      <c r="H3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1024-ME</v>
      </c>
      <c r="I36" s="40" t="s">
        <v>501</v>
      </c>
      <c r="J3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0.15289977469999999</v>
      </c>
      <c r="K36" t="s">
        <v>44</v>
      </c>
    </row>
    <row r="37" spans="1:11" x14ac:dyDescent="0.35">
      <c r="A37" t="s">
        <v>256</v>
      </c>
      <c r="B37" t="s">
        <v>265</v>
      </c>
      <c r="C37" t="s">
        <v>263</v>
      </c>
      <c r="D37">
        <v>0.16739986409999999</v>
      </c>
      <c r="E37" t="s">
        <v>202</v>
      </c>
      <c r="F37">
        <v>2023</v>
      </c>
      <c r="G37" t="str">
        <f>TRIM(RIGHT(Table156[[#This Row],[Item-Codigo]], LEN(Table156[[#This Row],[Item-Codigo]]) - FIND("|", CONCATENATE(B37), FIND("|", CONCATENATE(B37)) + 1)))</f>
        <v>UND</v>
      </c>
      <c r="H3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1025-ME</v>
      </c>
      <c r="I37" s="40" t="s">
        <v>502</v>
      </c>
      <c r="J3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0.16739986409999999</v>
      </c>
      <c r="K37" t="s">
        <v>45</v>
      </c>
    </row>
    <row r="38" spans="1:11" x14ac:dyDescent="0.35">
      <c r="A38" t="s">
        <v>256</v>
      </c>
      <c r="B38" t="s">
        <v>265</v>
      </c>
      <c r="C38" t="s">
        <v>267</v>
      </c>
      <c r="D38">
        <v>0.1529007</v>
      </c>
      <c r="E38" t="s">
        <v>202</v>
      </c>
      <c r="F38">
        <v>2023</v>
      </c>
      <c r="G38" t="str">
        <f>TRIM(RIGHT(Table156[[#This Row],[Item-Codigo]], LEN(Table156[[#This Row],[Item-Codigo]]) - FIND("|", CONCATENATE(B38), FIND("|", CONCATENATE(B38)) + 1)))</f>
        <v>UND</v>
      </c>
      <c r="H3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1025-ME</v>
      </c>
      <c r="I38" s="40" t="s">
        <v>502</v>
      </c>
      <c r="J3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0.1529007</v>
      </c>
      <c r="K38" t="s">
        <v>45</v>
      </c>
    </row>
    <row r="39" spans="1:11" x14ac:dyDescent="0.35">
      <c r="A39" t="s">
        <v>256</v>
      </c>
      <c r="B39" t="s">
        <v>877</v>
      </c>
      <c r="C39" t="s">
        <v>263</v>
      </c>
      <c r="D39">
        <v>0.17939858154999999</v>
      </c>
      <c r="E39" t="s">
        <v>202</v>
      </c>
      <c r="F39">
        <v>2023</v>
      </c>
      <c r="G39" t="str">
        <f>TRIM(RIGHT(Table156[[#This Row],[Item-Codigo]], LEN(Table156[[#This Row],[Item-Codigo]]) - FIND("|", CONCATENATE(B39), FIND("|", CONCATENATE(B39)) + 1)))</f>
        <v>UND</v>
      </c>
      <c r="H3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1027-ME</v>
      </c>
      <c r="I39" s="40" t="s">
        <v>504</v>
      </c>
      <c r="J3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0.17939858154999999</v>
      </c>
      <c r="K39" t="s">
        <v>47</v>
      </c>
    </row>
    <row r="40" spans="1:11" x14ac:dyDescent="0.35">
      <c r="A40" t="s">
        <v>256</v>
      </c>
      <c r="B40" t="s">
        <v>877</v>
      </c>
      <c r="C40" t="s">
        <v>267</v>
      </c>
      <c r="D40">
        <v>0.17399911909999999</v>
      </c>
      <c r="E40" t="s">
        <v>202</v>
      </c>
      <c r="F40">
        <v>2023</v>
      </c>
      <c r="G40" t="str">
        <f>TRIM(RIGHT(Table156[[#This Row],[Item-Codigo]], LEN(Table156[[#This Row],[Item-Codigo]]) - FIND("|", CONCATENATE(B40), FIND("|", CONCATENATE(B40)) + 1)))</f>
        <v>UND</v>
      </c>
      <c r="H4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1027-ME</v>
      </c>
      <c r="I40" s="40" t="s">
        <v>504</v>
      </c>
      <c r="J4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0.17399911909999999</v>
      </c>
      <c r="K40" t="s">
        <v>47</v>
      </c>
    </row>
    <row r="41" spans="1:11" x14ac:dyDescent="0.35">
      <c r="A41" t="s">
        <v>256</v>
      </c>
      <c r="B41" t="s">
        <v>272</v>
      </c>
      <c r="C41" t="s">
        <v>263</v>
      </c>
      <c r="D41">
        <v>0.16739971000000001</v>
      </c>
      <c r="E41" t="s">
        <v>202</v>
      </c>
      <c r="F41">
        <v>2023</v>
      </c>
      <c r="G41" t="str">
        <f>TRIM(RIGHT(Table156[[#This Row],[Item-Codigo]], LEN(Table156[[#This Row],[Item-Codigo]]) - FIND("|", CONCATENATE(B41), FIND("|", CONCATENATE(B41)) + 1)))</f>
        <v>UND</v>
      </c>
      <c r="H4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1029-ME</v>
      </c>
      <c r="I41" s="40" t="s">
        <v>506</v>
      </c>
      <c r="J4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0.16739971000000001</v>
      </c>
      <c r="K41" t="s">
        <v>51</v>
      </c>
    </row>
    <row r="42" spans="1:11" x14ac:dyDescent="0.35">
      <c r="A42" t="s">
        <v>256</v>
      </c>
      <c r="B42" t="s">
        <v>273</v>
      </c>
      <c r="C42" t="s">
        <v>263</v>
      </c>
      <c r="D42">
        <v>0.16740032769999999</v>
      </c>
      <c r="E42" t="s">
        <v>202</v>
      </c>
      <c r="F42">
        <v>2023</v>
      </c>
      <c r="G42" t="str">
        <f>TRIM(RIGHT(Table156[[#This Row],[Item-Codigo]], LEN(Table156[[#This Row],[Item-Codigo]]) - FIND("|", CONCATENATE(B42), FIND("|", CONCATENATE(B42)) + 1)))</f>
        <v>UND</v>
      </c>
      <c r="H4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1030-ME</v>
      </c>
      <c r="I42" s="40" t="s">
        <v>507</v>
      </c>
      <c r="J4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0.16740032769999999</v>
      </c>
      <c r="K42" t="s">
        <v>52</v>
      </c>
    </row>
    <row r="43" spans="1:11" x14ac:dyDescent="0.35">
      <c r="A43" t="s">
        <v>256</v>
      </c>
      <c r="B43" t="s">
        <v>281</v>
      </c>
      <c r="C43" t="s">
        <v>282</v>
      </c>
      <c r="D43">
        <v>0.1837895833</v>
      </c>
      <c r="E43" t="s">
        <v>202</v>
      </c>
      <c r="F43">
        <v>2023</v>
      </c>
      <c r="G43" t="str">
        <f>TRIM(RIGHT(Table156[[#This Row],[Item-Codigo]], LEN(Table156[[#This Row],[Item-Codigo]]) - FIND("|", CONCATENATE(B43), FIND("|", CONCATENATE(B43)) + 1)))</f>
        <v>UND</v>
      </c>
      <c r="H4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0077-ME</v>
      </c>
      <c r="I43" s="40" t="s">
        <v>469</v>
      </c>
      <c r="J4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0.1837895833</v>
      </c>
      <c r="K43" t="s">
        <v>63</v>
      </c>
    </row>
    <row r="44" spans="1:11" x14ac:dyDescent="0.35">
      <c r="A44" t="s">
        <v>256</v>
      </c>
      <c r="B44" t="s">
        <v>287</v>
      </c>
      <c r="C44" t="s">
        <v>267</v>
      </c>
      <c r="D44">
        <v>0.2270998383</v>
      </c>
      <c r="E44" t="s">
        <v>202</v>
      </c>
      <c r="F44">
        <v>2023</v>
      </c>
      <c r="G44" t="str">
        <f>TRIM(RIGHT(Table156[[#This Row],[Item-Codigo]], LEN(Table156[[#This Row],[Item-Codigo]]) - FIND("|", CONCATENATE(B44), FIND("|", CONCATENATE(B44)) + 1)))</f>
        <v>UND</v>
      </c>
      <c r="H4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0115-ME</v>
      </c>
      <c r="I44" s="40" t="s">
        <v>474</v>
      </c>
      <c r="J4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0.2270998383</v>
      </c>
      <c r="K44" t="s">
        <v>115</v>
      </c>
    </row>
    <row r="45" spans="1:11" x14ac:dyDescent="0.35">
      <c r="A45" t="s">
        <v>256</v>
      </c>
      <c r="B45" t="s">
        <v>293</v>
      </c>
      <c r="C45" t="s">
        <v>263</v>
      </c>
      <c r="D45">
        <v>0.21</v>
      </c>
      <c r="E45" t="s">
        <v>202</v>
      </c>
      <c r="F45">
        <v>2023</v>
      </c>
      <c r="G45" t="str">
        <f>TRIM(RIGHT(Table156[[#This Row],[Item-Codigo]], LEN(Table156[[#This Row],[Item-Codigo]]) - FIND("|", CONCATENATE(B45), FIND("|", CONCATENATE(B45)) + 1)))</f>
        <v>UND</v>
      </c>
      <c r="H4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0201-ME</v>
      </c>
      <c r="I45" s="40" t="s">
        <v>478</v>
      </c>
      <c r="J4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</v>
      </c>
      <c r="K45" t="s">
        <v>105</v>
      </c>
    </row>
    <row r="46" spans="1:11" x14ac:dyDescent="0.35">
      <c r="A46" t="s">
        <v>256</v>
      </c>
      <c r="B46" t="s">
        <v>296</v>
      </c>
      <c r="C46" t="s">
        <v>263</v>
      </c>
      <c r="D46">
        <v>0.2351998867</v>
      </c>
      <c r="E46" t="s">
        <v>202</v>
      </c>
      <c r="F46">
        <v>2023</v>
      </c>
      <c r="G46" t="str">
        <f>TRIM(RIGHT(Table156[[#This Row],[Item-Codigo]], LEN(Table156[[#This Row],[Item-Codigo]]) - FIND("|", CONCATENATE(B46), FIND("|", CONCATENATE(B46)) + 1)))</f>
        <v>UND</v>
      </c>
      <c r="H4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1018-ME</v>
      </c>
      <c r="I46" s="40" t="s">
        <v>496</v>
      </c>
      <c r="J4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0.2351998867</v>
      </c>
      <c r="K46" t="s">
        <v>109</v>
      </c>
    </row>
    <row r="47" spans="1:11" x14ac:dyDescent="0.35">
      <c r="A47" t="s">
        <v>256</v>
      </c>
      <c r="B47" t="s">
        <v>298</v>
      </c>
      <c r="C47" t="s">
        <v>263</v>
      </c>
      <c r="D47">
        <v>0.23519957080000001</v>
      </c>
      <c r="E47" t="s">
        <v>202</v>
      </c>
      <c r="F47">
        <v>2023</v>
      </c>
      <c r="G47" t="str">
        <f>TRIM(RIGHT(Table156[[#This Row],[Item-Codigo]], LEN(Table156[[#This Row],[Item-Codigo]]) - FIND("|", CONCATENATE(B47), FIND("|", CONCATENATE(B47)) + 1)))</f>
        <v>UND</v>
      </c>
      <c r="H4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1019-ME</v>
      </c>
      <c r="I47" s="40" t="s">
        <v>497</v>
      </c>
      <c r="J4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0.23519957080000001</v>
      </c>
      <c r="K47" t="s">
        <v>111</v>
      </c>
    </row>
    <row r="48" spans="1:11" x14ac:dyDescent="0.35">
      <c r="A48" t="s">
        <v>256</v>
      </c>
      <c r="B48" t="s">
        <v>301</v>
      </c>
      <c r="C48" t="s">
        <v>267</v>
      </c>
      <c r="D48">
        <v>0.22600002153333301</v>
      </c>
      <c r="E48" t="s">
        <v>202</v>
      </c>
      <c r="F48">
        <v>2023</v>
      </c>
      <c r="G48" t="str">
        <f>TRIM(RIGHT(Table156[[#This Row],[Item-Codigo]], LEN(Table156[[#This Row],[Item-Codigo]]) - FIND("|", CONCATENATE(B48), FIND("|", CONCATENATE(B48)) + 1)))</f>
        <v>UND</v>
      </c>
      <c r="H4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0171-ME</v>
      </c>
      <c r="I48" s="40" t="s">
        <v>476</v>
      </c>
      <c r="J4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0.22600002153333301</v>
      </c>
      <c r="K48" t="s">
        <v>107</v>
      </c>
    </row>
    <row r="49" spans="1:11" x14ac:dyDescent="0.35">
      <c r="A49" t="s">
        <v>256</v>
      </c>
      <c r="B49" t="s">
        <v>894</v>
      </c>
      <c r="C49" t="s">
        <v>267</v>
      </c>
      <c r="D49">
        <v>0.22480024830000001</v>
      </c>
      <c r="E49" t="s">
        <v>202</v>
      </c>
      <c r="F49">
        <v>2023</v>
      </c>
      <c r="G49" t="str">
        <f>TRIM(RIGHT(Table156[[#This Row],[Item-Codigo]], LEN(Table156[[#This Row],[Item-Codigo]]) - FIND("|", CONCATENATE(B49), FIND("|", CONCATENATE(B49)) + 1)))</f>
        <v>UND</v>
      </c>
      <c r="H4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0752-ME</v>
      </c>
      <c r="I49" s="40" t="s">
        <v>481</v>
      </c>
      <c r="J4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0.22480024830000001</v>
      </c>
      <c r="K49" t="s">
        <v>116</v>
      </c>
    </row>
    <row r="50" spans="1:11" x14ac:dyDescent="0.35">
      <c r="A50" t="s">
        <v>305</v>
      </c>
      <c r="B50" t="s">
        <v>312</v>
      </c>
      <c r="C50" t="s">
        <v>313</v>
      </c>
      <c r="D50">
        <v>8.35</v>
      </c>
      <c r="E50" t="s">
        <v>202</v>
      </c>
      <c r="F50">
        <v>2023</v>
      </c>
      <c r="G50" t="str">
        <f>TRIM(RIGHT(Table156[[#This Row],[Item-Codigo]], LEN(Table156[[#This Row],[Item-Codigo]]) - FIND("|", CONCATENATE(B50), FIND("|", CONCATENATE(B50)) + 1)))</f>
        <v>KG</v>
      </c>
      <c r="H5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317</v>
      </c>
      <c r="I50" s="40">
        <v>317</v>
      </c>
      <c r="J5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8350</v>
      </c>
      <c r="K50" t="s">
        <v>69</v>
      </c>
    </row>
    <row r="51" spans="1:11" x14ac:dyDescent="0.35">
      <c r="A51" t="s">
        <v>305</v>
      </c>
      <c r="B51" t="s">
        <v>900</v>
      </c>
      <c r="C51" t="s">
        <v>323</v>
      </c>
      <c r="D51">
        <v>2.62</v>
      </c>
      <c r="E51" t="s">
        <v>202</v>
      </c>
      <c r="F51">
        <v>2023</v>
      </c>
      <c r="G51" t="str">
        <f>TRIM(RIGHT(Table156[[#This Row],[Item-Codigo]], LEN(Table156[[#This Row],[Item-Codigo]]) - FIND("|", CONCATENATE(B51), FIND("|", CONCATENATE(B51)) + 1)))</f>
        <v>KG</v>
      </c>
      <c r="H5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1010.6</v>
      </c>
      <c r="I51" s="40" t="s">
        <v>937</v>
      </c>
      <c r="J5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2620</v>
      </c>
      <c r="K51" t="s">
        <v>1226</v>
      </c>
    </row>
    <row r="52" spans="1:11" x14ac:dyDescent="0.35">
      <c r="A52" t="s">
        <v>305</v>
      </c>
      <c r="B52" t="s">
        <v>320</v>
      </c>
      <c r="C52" t="s">
        <v>321</v>
      </c>
      <c r="D52">
        <v>8.75</v>
      </c>
      <c r="E52" t="s">
        <v>202</v>
      </c>
      <c r="F52">
        <v>2023</v>
      </c>
      <c r="G52" t="str">
        <f>TRIM(RIGHT(Table156[[#This Row],[Item-Codigo]], LEN(Table156[[#This Row],[Item-Codigo]]) - FIND("|", CONCATENATE(B52), FIND("|", CONCATENATE(B52)) + 1)))</f>
        <v>KG</v>
      </c>
      <c r="H5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1009</v>
      </c>
      <c r="I52" s="40">
        <v>1009</v>
      </c>
      <c r="J5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8750</v>
      </c>
      <c r="K52" t="s">
        <v>73</v>
      </c>
    </row>
    <row r="53" spans="1:11" x14ac:dyDescent="0.35">
      <c r="A53" t="s">
        <v>305</v>
      </c>
      <c r="B53" t="s">
        <v>330</v>
      </c>
      <c r="C53" t="s">
        <v>331</v>
      </c>
      <c r="D53">
        <v>1.4</v>
      </c>
      <c r="E53" t="s">
        <v>202</v>
      </c>
      <c r="F53">
        <v>2023</v>
      </c>
      <c r="G53" t="str">
        <f>TRIM(RIGHT(Table156[[#This Row],[Item-Codigo]], LEN(Table156[[#This Row],[Item-Codigo]]) - FIND("|", CONCATENATE(B53), FIND("|", CONCATENATE(B53)) + 1)))</f>
        <v>KG</v>
      </c>
      <c r="H5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744</v>
      </c>
      <c r="I53" s="40">
        <v>744</v>
      </c>
      <c r="J5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1400</v>
      </c>
      <c r="K53" t="s">
        <v>80</v>
      </c>
    </row>
    <row r="54" spans="1:11" x14ac:dyDescent="0.35">
      <c r="A54" t="s">
        <v>305</v>
      </c>
      <c r="B54" t="s">
        <v>335</v>
      </c>
      <c r="C54" t="s">
        <v>309</v>
      </c>
      <c r="D54">
        <v>1.7</v>
      </c>
      <c r="E54" t="s">
        <v>202</v>
      </c>
      <c r="F54">
        <v>2023</v>
      </c>
      <c r="G54" t="str">
        <f>TRIM(RIGHT(Table156[[#This Row],[Item-Codigo]], LEN(Table156[[#This Row],[Item-Codigo]]) - FIND("|", CONCATENATE(B54), FIND("|", CONCATENATE(B54)) + 1)))</f>
        <v>KG</v>
      </c>
      <c r="H5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131.3</v>
      </c>
      <c r="I54" s="40" t="s">
        <v>523</v>
      </c>
      <c r="J5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1700</v>
      </c>
      <c r="K54" t="s">
        <v>83</v>
      </c>
    </row>
    <row r="55" spans="1:11" x14ac:dyDescent="0.35">
      <c r="A55" t="s">
        <v>305</v>
      </c>
      <c r="B55" t="s">
        <v>338</v>
      </c>
      <c r="C55" t="s">
        <v>307</v>
      </c>
      <c r="D55">
        <v>11</v>
      </c>
      <c r="E55" t="s">
        <v>202</v>
      </c>
      <c r="F55">
        <v>2023</v>
      </c>
      <c r="G55" t="str">
        <f>TRIM(RIGHT(Table156[[#This Row],[Item-Codigo]], LEN(Table156[[#This Row],[Item-Codigo]]) - FIND("|", CONCATENATE(B55), FIND("|", CONCATENATE(B55)) + 1)))</f>
        <v>KG</v>
      </c>
      <c r="H5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937</v>
      </c>
      <c r="I55" s="40">
        <v>937</v>
      </c>
      <c r="J5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11000</v>
      </c>
      <c r="K55" t="s">
        <v>86</v>
      </c>
    </row>
    <row r="56" spans="1:11" x14ac:dyDescent="0.35">
      <c r="A56" t="s">
        <v>305</v>
      </c>
      <c r="B56" t="s">
        <v>339</v>
      </c>
      <c r="C56" t="s">
        <v>327</v>
      </c>
      <c r="D56">
        <v>95</v>
      </c>
      <c r="E56" t="s">
        <v>202</v>
      </c>
      <c r="F56">
        <v>2023</v>
      </c>
      <c r="G56" t="str">
        <f>TRIM(RIGHT(Table156[[#This Row],[Item-Codigo]], LEN(Table156[[#This Row],[Item-Codigo]]) - FIND("|", CONCATENATE(B56), FIND("|", CONCATENATE(B56)) + 1)))</f>
        <v>KG</v>
      </c>
      <c r="H5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520.5</v>
      </c>
      <c r="I56" s="40" t="s">
        <v>546</v>
      </c>
      <c r="J5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95000</v>
      </c>
      <c r="K56" t="s">
        <v>87</v>
      </c>
    </row>
    <row r="57" spans="1:11" x14ac:dyDescent="0.35">
      <c r="A57" t="s">
        <v>305</v>
      </c>
      <c r="B57" t="s">
        <v>340</v>
      </c>
      <c r="C57" t="s">
        <v>327</v>
      </c>
      <c r="D57">
        <v>11.25</v>
      </c>
      <c r="E57" t="s">
        <v>202</v>
      </c>
      <c r="F57">
        <v>2023</v>
      </c>
      <c r="G57" t="str">
        <f>TRIM(RIGHT(Table156[[#This Row],[Item-Codigo]], LEN(Table156[[#This Row],[Item-Codigo]]) - FIND("|", CONCATENATE(B57), FIND("|", CONCATENATE(B57)) + 1)))</f>
        <v>KG</v>
      </c>
      <c r="H5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877</v>
      </c>
      <c r="I57" s="40">
        <v>877</v>
      </c>
      <c r="J5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11250</v>
      </c>
      <c r="K57" t="s">
        <v>1074</v>
      </c>
    </row>
    <row r="58" spans="1:11" x14ac:dyDescent="0.35">
      <c r="A58" t="s">
        <v>305</v>
      </c>
      <c r="B58" t="s">
        <v>343</v>
      </c>
      <c r="C58" t="s">
        <v>385</v>
      </c>
      <c r="D58">
        <v>625</v>
      </c>
      <c r="E58" t="s">
        <v>202</v>
      </c>
      <c r="F58">
        <v>2023</v>
      </c>
      <c r="G58" t="str">
        <f>TRIM(RIGHT(Table156[[#This Row],[Item-Codigo]], LEN(Table156[[#This Row],[Item-Codigo]]) - FIND("|", CONCATENATE(B58), FIND("|", CONCATENATE(B58)) + 1)))</f>
        <v>TM</v>
      </c>
      <c r="H5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719</v>
      </c>
      <c r="I58" s="40">
        <v>719</v>
      </c>
      <c r="J5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625</v>
      </c>
      <c r="K58" t="s">
        <v>1077</v>
      </c>
    </row>
    <row r="59" spans="1:11" x14ac:dyDescent="0.35">
      <c r="A59" t="s">
        <v>305</v>
      </c>
      <c r="B59" t="s">
        <v>344</v>
      </c>
      <c r="C59" t="s">
        <v>345</v>
      </c>
      <c r="D59">
        <v>95</v>
      </c>
      <c r="E59" t="s">
        <v>202</v>
      </c>
      <c r="F59">
        <v>2023</v>
      </c>
      <c r="G59" t="str">
        <f>TRIM(RIGHT(Table156[[#This Row],[Item-Codigo]], LEN(Table156[[#This Row],[Item-Codigo]]) - FIND("|", CONCATENATE(B59), FIND("|", CONCATENATE(B59)) + 1)))</f>
        <v>KG</v>
      </c>
      <c r="H5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912.5</v>
      </c>
      <c r="I59" s="40" t="s">
        <v>555</v>
      </c>
      <c r="J5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95000</v>
      </c>
      <c r="K59" t="s">
        <v>90</v>
      </c>
    </row>
    <row r="60" spans="1:11" x14ac:dyDescent="0.35">
      <c r="A60" t="s">
        <v>305</v>
      </c>
      <c r="B60" t="s">
        <v>346</v>
      </c>
      <c r="C60" t="s">
        <v>327</v>
      </c>
      <c r="D60">
        <v>9</v>
      </c>
      <c r="E60" t="s">
        <v>202</v>
      </c>
      <c r="F60">
        <v>2023</v>
      </c>
      <c r="G60" t="str">
        <f>TRIM(RIGHT(Table156[[#This Row],[Item-Codigo]], LEN(Table156[[#This Row],[Item-Codigo]]) - FIND("|", CONCATENATE(B60), FIND("|", CONCATENATE(B60)) + 1)))</f>
        <v>KG</v>
      </c>
      <c r="H6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492.12</v>
      </c>
      <c r="I60" s="40" t="s">
        <v>539</v>
      </c>
      <c r="J6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60" t="s">
        <v>91</v>
      </c>
    </row>
    <row r="61" spans="1:11" x14ac:dyDescent="0.35">
      <c r="A61" t="s">
        <v>305</v>
      </c>
      <c r="B61" t="s">
        <v>352</v>
      </c>
      <c r="C61" t="s">
        <v>353</v>
      </c>
      <c r="D61">
        <v>9.35</v>
      </c>
      <c r="E61" t="s">
        <v>202</v>
      </c>
      <c r="F61">
        <v>2023</v>
      </c>
      <c r="G61" t="str">
        <f>TRIM(RIGHT(Table156[[#This Row],[Item-Codigo]], LEN(Table156[[#This Row],[Item-Codigo]]) - FIND("|", CONCATENATE(B61), FIND("|", CONCATENATE(B61)) + 1)))</f>
        <v>KG</v>
      </c>
      <c r="H6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742</v>
      </c>
      <c r="I61" s="40">
        <v>742</v>
      </c>
      <c r="J6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9350</v>
      </c>
      <c r="K61" t="s">
        <v>147</v>
      </c>
    </row>
    <row r="62" spans="1:11" x14ac:dyDescent="0.35">
      <c r="A62" t="s">
        <v>305</v>
      </c>
      <c r="B62" t="s">
        <v>354</v>
      </c>
      <c r="C62" t="s">
        <v>353</v>
      </c>
      <c r="D62">
        <v>9.24</v>
      </c>
      <c r="E62" t="s">
        <v>202</v>
      </c>
      <c r="F62">
        <v>2023</v>
      </c>
      <c r="G62" t="str">
        <f>TRIM(RIGHT(Table156[[#This Row],[Item-Codigo]], LEN(Table156[[#This Row],[Item-Codigo]]) - FIND("|", CONCATENATE(B62), FIND("|", CONCATENATE(B62)) + 1)))</f>
        <v>KG</v>
      </c>
      <c r="H6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741</v>
      </c>
      <c r="I62" s="40">
        <v>741</v>
      </c>
      <c r="J6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9240</v>
      </c>
      <c r="K62" t="s">
        <v>146</v>
      </c>
    </row>
    <row r="63" spans="1:11" x14ac:dyDescent="0.35">
      <c r="A63" t="s">
        <v>305</v>
      </c>
      <c r="B63" t="s">
        <v>355</v>
      </c>
      <c r="C63" t="s">
        <v>353</v>
      </c>
      <c r="D63">
        <v>8.85</v>
      </c>
      <c r="E63" t="s">
        <v>202</v>
      </c>
      <c r="F63">
        <v>2023</v>
      </c>
      <c r="G63" t="str">
        <f>TRIM(RIGHT(Table156[[#This Row],[Item-Codigo]], LEN(Table156[[#This Row],[Item-Codigo]]) - FIND("|", CONCATENATE(B63), FIND("|", CONCATENATE(B63)) + 1)))</f>
        <v>KG</v>
      </c>
      <c r="H6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740</v>
      </c>
      <c r="I63" s="40">
        <v>740</v>
      </c>
      <c r="J6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8850</v>
      </c>
      <c r="K63" t="s">
        <v>143</v>
      </c>
    </row>
    <row r="64" spans="1:11" x14ac:dyDescent="0.35">
      <c r="A64" t="s">
        <v>305</v>
      </c>
      <c r="B64" t="s">
        <v>362</v>
      </c>
      <c r="C64" t="s">
        <v>363</v>
      </c>
      <c r="D64">
        <v>1.3148</v>
      </c>
      <c r="E64" t="s">
        <v>202</v>
      </c>
      <c r="F64">
        <v>2023</v>
      </c>
      <c r="G64" t="str">
        <f>TRIM(RIGHT(Table156[[#This Row],[Item-Codigo]], LEN(Table156[[#This Row],[Item-Codigo]]) - FIND("|", CONCATENATE(B64), FIND("|", CONCATENATE(B64)) + 1)))</f>
        <v>KG</v>
      </c>
      <c r="H6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439</v>
      </c>
      <c r="I64" s="40">
        <v>439</v>
      </c>
      <c r="J6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1314.8</v>
      </c>
      <c r="K64" t="s">
        <v>137</v>
      </c>
    </row>
    <row r="65" spans="1:11" x14ac:dyDescent="0.35">
      <c r="A65" t="s">
        <v>305</v>
      </c>
      <c r="B65" t="s">
        <v>911</v>
      </c>
      <c r="C65" t="s">
        <v>365</v>
      </c>
      <c r="D65">
        <v>1.87</v>
      </c>
      <c r="E65" t="s">
        <v>202</v>
      </c>
      <c r="F65">
        <v>2023</v>
      </c>
      <c r="G65" t="str">
        <f>TRIM(RIGHT(Table156[[#This Row],[Item-Codigo]], LEN(Table156[[#This Row],[Item-Codigo]]) - FIND("|", CONCATENATE(B65), FIND("|", CONCATENATE(B65)) + 1)))</f>
        <v>KG</v>
      </c>
      <c r="H6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498.1</v>
      </c>
      <c r="I65" s="40" t="s">
        <v>542</v>
      </c>
      <c r="J6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1870</v>
      </c>
      <c r="K65" t="s">
        <v>157</v>
      </c>
    </row>
    <row r="66" spans="1:11" x14ac:dyDescent="0.35">
      <c r="A66" t="s">
        <v>305</v>
      </c>
      <c r="B66" t="s">
        <v>368</v>
      </c>
      <c r="C66" t="s">
        <v>348</v>
      </c>
      <c r="D66">
        <v>4.5</v>
      </c>
      <c r="E66" t="s">
        <v>202</v>
      </c>
      <c r="F66">
        <v>2023</v>
      </c>
      <c r="G66" t="str">
        <f>TRIM(RIGHT(Table156[[#This Row],[Item-Codigo]], LEN(Table156[[#This Row],[Item-Codigo]]) - FIND("|", CONCATENATE(B66), FIND("|", CONCATENATE(B66)) + 1)))</f>
        <v>KG</v>
      </c>
      <c r="H6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381</v>
      </c>
      <c r="I66" s="40">
        <v>381</v>
      </c>
      <c r="J6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4500</v>
      </c>
      <c r="K66" t="s">
        <v>74</v>
      </c>
    </row>
    <row r="67" spans="1:11" x14ac:dyDescent="0.35">
      <c r="A67" t="s">
        <v>305</v>
      </c>
      <c r="B67" t="s">
        <v>372</v>
      </c>
      <c r="C67" t="s">
        <v>373</v>
      </c>
      <c r="D67">
        <v>1.2</v>
      </c>
      <c r="E67" t="s">
        <v>202</v>
      </c>
      <c r="F67">
        <v>2023</v>
      </c>
      <c r="G67" t="str">
        <f>TRIM(RIGHT(Table156[[#This Row],[Item-Codigo]], LEN(Table156[[#This Row],[Item-Codigo]]) - FIND("|", CONCATENATE(B67), FIND("|", CONCATENATE(B67)) + 1)))</f>
        <v>KG</v>
      </c>
      <c r="H6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701.2</v>
      </c>
      <c r="I67" s="40" t="s">
        <v>553</v>
      </c>
      <c r="J6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1200</v>
      </c>
      <c r="K67" t="s">
        <v>140</v>
      </c>
    </row>
    <row r="68" spans="1:11" x14ac:dyDescent="0.35">
      <c r="A68" t="s">
        <v>305</v>
      </c>
      <c r="B68" t="s">
        <v>375</v>
      </c>
      <c r="C68" t="s">
        <v>317</v>
      </c>
      <c r="D68">
        <v>6</v>
      </c>
      <c r="E68" t="s">
        <v>202</v>
      </c>
      <c r="F68">
        <v>2023</v>
      </c>
      <c r="G68" t="str">
        <f>TRIM(RIGHT(Table156[[#This Row],[Item-Codigo]], LEN(Table156[[#This Row],[Item-Codigo]]) - FIND("|", CONCATENATE(B68), FIND("|", CONCATENATE(B68)) + 1)))</f>
        <v>KG</v>
      </c>
      <c r="H6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945</v>
      </c>
      <c r="I68" s="40">
        <v>945</v>
      </c>
      <c r="J6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68" t="s">
        <v>148</v>
      </c>
    </row>
    <row r="69" spans="1:11" x14ac:dyDescent="0.35">
      <c r="A69" t="s">
        <v>305</v>
      </c>
      <c r="B69" t="s">
        <v>380</v>
      </c>
      <c r="C69" t="s">
        <v>381</v>
      </c>
      <c r="D69">
        <v>4.55</v>
      </c>
      <c r="E69" t="s">
        <v>202</v>
      </c>
      <c r="F69">
        <v>2023</v>
      </c>
      <c r="G69" t="str">
        <f>TRIM(RIGHT(Table156[[#This Row],[Item-Codigo]], LEN(Table156[[#This Row],[Item-Codigo]]) - FIND("|", CONCATENATE(B69), FIND("|", CONCATENATE(B69)) + 1)))</f>
        <v>KG</v>
      </c>
      <c r="H6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706</v>
      </c>
      <c r="I69" s="40">
        <v>706</v>
      </c>
      <c r="J6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4550</v>
      </c>
      <c r="K69" t="s">
        <v>156</v>
      </c>
    </row>
    <row r="70" spans="1:11" x14ac:dyDescent="0.35">
      <c r="A70" t="s">
        <v>305</v>
      </c>
      <c r="B70" t="s">
        <v>382</v>
      </c>
      <c r="C70" t="s">
        <v>327</v>
      </c>
      <c r="D70">
        <v>9</v>
      </c>
      <c r="E70" t="s">
        <v>202</v>
      </c>
      <c r="F70">
        <v>2023</v>
      </c>
      <c r="G70" t="str">
        <f>TRIM(RIGHT(Table156[[#This Row],[Item-Codigo]], LEN(Table156[[#This Row],[Item-Codigo]]) - FIND("|", CONCATENATE(B70), FIND("|", CONCATENATE(B70)) + 1)))</f>
        <v>KG</v>
      </c>
      <c r="H7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68</v>
      </c>
      <c r="I70" s="40">
        <v>68</v>
      </c>
      <c r="J7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70" t="s">
        <v>160</v>
      </c>
    </row>
    <row r="71" spans="1:11" x14ac:dyDescent="0.35">
      <c r="A71" t="s">
        <v>305</v>
      </c>
      <c r="B71" t="s">
        <v>383</v>
      </c>
      <c r="C71" t="s">
        <v>317</v>
      </c>
      <c r="D71">
        <v>7.8</v>
      </c>
      <c r="E71" t="s">
        <v>202</v>
      </c>
      <c r="F71">
        <v>2023</v>
      </c>
      <c r="G71" t="str">
        <f>TRIM(RIGHT(Table156[[#This Row],[Item-Codigo]], LEN(Table156[[#This Row],[Item-Codigo]]) - FIND("|", CONCATENATE(B71), FIND("|", CONCATENATE(B71)) + 1)))</f>
        <v>KG</v>
      </c>
      <c r="H7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1059</v>
      </c>
      <c r="I71" s="40">
        <v>1059</v>
      </c>
      <c r="J7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7800</v>
      </c>
      <c r="K71" t="s">
        <v>151</v>
      </c>
    </row>
    <row r="72" spans="1:11" x14ac:dyDescent="0.35">
      <c r="A72" t="s">
        <v>305</v>
      </c>
      <c r="B72" t="s">
        <v>386</v>
      </c>
      <c r="C72" t="s">
        <v>351</v>
      </c>
      <c r="D72">
        <v>5.85</v>
      </c>
      <c r="E72" t="s">
        <v>202</v>
      </c>
      <c r="F72">
        <v>2023</v>
      </c>
      <c r="G72" t="str">
        <f>TRIM(RIGHT(Table156[[#This Row],[Item-Codigo]], LEN(Table156[[#This Row],[Item-Codigo]]) - FIND("|", CONCATENATE(B72), FIND("|", CONCATENATE(B72)) + 1)))</f>
        <v>KG</v>
      </c>
      <c r="H7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110.2</v>
      </c>
      <c r="I72" s="40" t="s">
        <v>522</v>
      </c>
      <c r="J7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5850</v>
      </c>
      <c r="K72" t="s">
        <v>170</v>
      </c>
    </row>
    <row r="73" spans="1:11" x14ac:dyDescent="0.35">
      <c r="A73" t="s">
        <v>305</v>
      </c>
      <c r="B73" t="s">
        <v>388</v>
      </c>
      <c r="C73" t="s">
        <v>321</v>
      </c>
      <c r="D73">
        <v>7.4</v>
      </c>
      <c r="E73" t="s">
        <v>202</v>
      </c>
      <c r="F73">
        <v>2023</v>
      </c>
      <c r="G73" t="str">
        <f>TRIM(RIGHT(Table156[[#This Row],[Item-Codigo]], LEN(Table156[[#This Row],[Item-Codigo]]) - FIND("|", CONCATENATE(B73), FIND("|", CONCATENATE(B73)) + 1)))</f>
        <v>KG</v>
      </c>
      <c r="H7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1068</v>
      </c>
      <c r="I73" s="40">
        <v>1068</v>
      </c>
      <c r="J7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7400</v>
      </c>
      <c r="K73" t="s">
        <v>145</v>
      </c>
    </row>
    <row r="74" spans="1:11" x14ac:dyDescent="0.35">
      <c r="A74" t="s">
        <v>305</v>
      </c>
      <c r="B74" t="s">
        <v>389</v>
      </c>
      <c r="C74" t="s">
        <v>390</v>
      </c>
      <c r="D74">
        <v>1.05</v>
      </c>
      <c r="E74" t="s">
        <v>202</v>
      </c>
      <c r="F74">
        <v>2023</v>
      </c>
      <c r="G74" t="str">
        <f>TRIM(RIGHT(Table156[[#This Row],[Item-Codigo]], LEN(Table156[[#This Row],[Item-Codigo]]) - FIND("|", CONCATENATE(B74), FIND("|", CONCATENATE(B74)) + 1)))</f>
        <v>KG</v>
      </c>
      <c r="H7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806</v>
      </c>
      <c r="I74" s="40">
        <v>806</v>
      </c>
      <c r="J7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1050</v>
      </c>
      <c r="K74" t="s">
        <v>134</v>
      </c>
    </row>
    <row r="75" spans="1:11" x14ac:dyDescent="0.35">
      <c r="A75" t="s">
        <v>305</v>
      </c>
      <c r="B75" t="s">
        <v>392</v>
      </c>
      <c r="C75" t="s">
        <v>393</v>
      </c>
      <c r="D75">
        <v>2.8</v>
      </c>
      <c r="E75" t="s">
        <v>202</v>
      </c>
      <c r="F75">
        <v>2023</v>
      </c>
      <c r="G75" t="str">
        <f>TRIM(RIGHT(Table156[[#This Row],[Item-Codigo]], LEN(Table156[[#This Row],[Item-Codigo]]) - FIND("|", CONCATENATE(B75), FIND("|", CONCATENATE(B75)) + 1)))</f>
        <v>KG</v>
      </c>
      <c r="H7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170</v>
      </c>
      <c r="I75" s="40">
        <v>170</v>
      </c>
      <c r="J7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2800</v>
      </c>
      <c r="K75" t="s">
        <v>174</v>
      </c>
    </row>
    <row r="76" spans="1:11" x14ac:dyDescent="0.35">
      <c r="A76" t="s">
        <v>305</v>
      </c>
      <c r="B76" t="s">
        <v>396</v>
      </c>
      <c r="C76" t="s">
        <v>345</v>
      </c>
      <c r="D76">
        <v>13.4</v>
      </c>
      <c r="E76" t="s">
        <v>202</v>
      </c>
      <c r="F76">
        <v>2023</v>
      </c>
      <c r="G76" t="str">
        <f>TRIM(RIGHT(Table156[[#This Row],[Item-Codigo]], LEN(Table156[[#This Row],[Item-Codigo]]) - FIND("|", CONCATENATE(B76), FIND("|", CONCATENATE(B76)) + 1)))</f>
        <v>KG</v>
      </c>
      <c r="H7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58</v>
      </c>
      <c r="I76" s="40">
        <v>58</v>
      </c>
      <c r="J7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13400</v>
      </c>
      <c r="K76" t="s">
        <v>172</v>
      </c>
    </row>
    <row r="77" spans="1:11" x14ac:dyDescent="0.35">
      <c r="A77" t="s">
        <v>305</v>
      </c>
      <c r="B77" t="s">
        <v>397</v>
      </c>
      <c r="C77" t="s">
        <v>327</v>
      </c>
      <c r="D77">
        <v>9</v>
      </c>
      <c r="E77" t="s">
        <v>202</v>
      </c>
      <c r="F77">
        <v>2023</v>
      </c>
      <c r="G77" t="str">
        <f>TRIM(RIGHT(Table156[[#This Row],[Item-Codigo]], LEN(Table156[[#This Row],[Item-Codigo]]) - FIND("|", CONCATENATE(B77), FIND("|", CONCATENATE(B77)) + 1)))</f>
        <v>KG</v>
      </c>
      <c r="H7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933</v>
      </c>
      <c r="I77" s="40">
        <v>933</v>
      </c>
      <c r="J7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77" t="s">
        <v>163</v>
      </c>
    </row>
    <row r="78" spans="1:11" x14ac:dyDescent="0.35">
      <c r="A78" t="s">
        <v>305</v>
      </c>
      <c r="B78" t="s">
        <v>919</v>
      </c>
      <c r="C78" t="s">
        <v>399</v>
      </c>
      <c r="D78">
        <v>3.8468899521000002</v>
      </c>
      <c r="E78" t="s">
        <v>202</v>
      </c>
      <c r="F78">
        <v>2023</v>
      </c>
      <c r="G78" t="str">
        <f>TRIM(RIGHT(Table156[[#This Row],[Item-Codigo]], LEN(Table156[[#This Row],[Item-Codigo]]) - FIND("|", CONCATENATE(B78), FIND("|", CONCATENATE(B78)) + 1)))</f>
        <v>S 25KG</v>
      </c>
      <c r="H7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704</v>
      </c>
      <c r="I78" s="40">
        <v>704</v>
      </c>
      <c r="J7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3846.8899521000003</v>
      </c>
      <c r="K78" t="s">
        <v>132</v>
      </c>
    </row>
    <row r="79" spans="1:11" x14ac:dyDescent="0.35">
      <c r="A79" t="s">
        <v>305</v>
      </c>
      <c r="B79" t="s">
        <v>401</v>
      </c>
      <c r="C79" t="s">
        <v>345</v>
      </c>
      <c r="D79">
        <v>33.85</v>
      </c>
      <c r="E79" t="s">
        <v>202</v>
      </c>
      <c r="F79">
        <v>2023</v>
      </c>
      <c r="G79" t="str">
        <f>TRIM(RIGHT(Table156[[#This Row],[Item-Codigo]], LEN(Table156[[#This Row],[Item-Codigo]]) - FIND("|", CONCATENATE(B79), FIND("|", CONCATENATE(B79)) + 1)))</f>
        <v>KG</v>
      </c>
      <c r="H7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1049</v>
      </c>
      <c r="I79" s="40">
        <v>1049</v>
      </c>
      <c r="J7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33850</v>
      </c>
      <c r="K79" t="s">
        <v>973</v>
      </c>
    </row>
    <row r="80" spans="1:11" x14ac:dyDescent="0.35">
      <c r="A80" t="s">
        <v>305</v>
      </c>
      <c r="B80" t="s">
        <v>402</v>
      </c>
      <c r="C80" t="s">
        <v>404</v>
      </c>
      <c r="D80">
        <v>3.3</v>
      </c>
      <c r="E80" t="s">
        <v>202</v>
      </c>
      <c r="F80">
        <v>2023</v>
      </c>
      <c r="G80" t="str">
        <f>TRIM(RIGHT(Table156[[#This Row],[Item-Codigo]], LEN(Table156[[#This Row],[Item-Codigo]]) - FIND("|", CONCATENATE(B80), FIND("|", CONCATENATE(B80)) + 1)))</f>
        <v>KG</v>
      </c>
      <c r="H8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716</v>
      </c>
      <c r="I80" s="40">
        <v>716</v>
      </c>
      <c r="J8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3300</v>
      </c>
      <c r="K80" t="s">
        <v>162</v>
      </c>
    </row>
    <row r="81" spans="1:11" x14ac:dyDescent="0.35">
      <c r="A81" t="s">
        <v>305</v>
      </c>
      <c r="B81" t="s">
        <v>408</v>
      </c>
      <c r="C81" t="s">
        <v>327</v>
      </c>
      <c r="D81">
        <v>1.4</v>
      </c>
      <c r="E81" t="s">
        <v>202</v>
      </c>
      <c r="F81">
        <v>2023</v>
      </c>
      <c r="G81" t="str">
        <f>TRIM(RIGHT(Table156[[#This Row],[Item-Codigo]], LEN(Table156[[#This Row],[Item-Codigo]]) - FIND("|", CONCATENATE(B81), FIND("|", CONCATENATE(B81)) + 1)))</f>
        <v>KG</v>
      </c>
      <c r="H8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379</v>
      </c>
      <c r="I81" s="40">
        <v>379</v>
      </c>
      <c r="J8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1400</v>
      </c>
      <c r="K81" t="s">
        <v>139</v>
      </c>
    </row>
    <row r="82" spans="1:11" x14ac:dyDescent="0.35">
      <c r="A82" t="s">
        <v>305</v>
      </c>
      <c r="B82" t="s">
        <v>412</v>
      </c>
      <c r="C82" t="s">
        <v>348</v>
      </c>
      <c r="D82">
        <v>30</v>
      </c>
      <c r="E82" t="s">
        <v>202</v>
      </c>
      <c r="F82">
        <v>2023</v>
      </c>
      <c r="G82" t="str">
        <f>TRIM(RIGHT(Table156[[#This Row],[Item-Codigo]], LEN(Table156[[#This Row],[Item-Codigo]]) - FIND("|", CONCATENATE(B82), FIND("|", CONCATENATE(B82)) + 1)))</f>
        <v>KG</v>
      </c>
      <c r="H8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981.2</v>
      </c>
      <c r="I82" s="40" t="s">
        <v>556</v>
      </c>
      <c r="J8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30000</v>
      </c>
      <c r="K82" t="s">
        <v>171</v>
      </c>
    </row>
    <row r="83" spans="1:11" x14ac:dyDescent="0.35">
      <c r="A83" t="s">
        <v>305</v>
      </c>
      <c r="B83" t="s">
        <v>416</v>
      </c>
      <c r="C83" t="s">
        <v>315</v>
      </c>
      <c r="D83">
        <v>2.65</v>
      </c>
      <c r="E83" t="s">
        <v>202</v>
      </c>
      <c r="F83">
        <v>2023</v>
      </c>
      <c r="G83" t="str">
        <f>TRIM(RIGHT(Table156[[#This Row],[Item-Codigo]], LEN(Table156[[#This Row],[Item-Codigo]]) - FIND("|", CONCATENATE(B83), FIND("|", CONCATENATE(B83)) + 1)))</f>
        <v>KG</v>
      </c>
      <c r="H8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1007.5</v>
      </c>
      <c r="I83" s="40" t="s">
        <v>495</v>
      </c>
      <c r="J8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2650</v>
      </c>
      <c r="K83" t="s">
        <v>141</v>
      </c>
    </row>
    <row r="84" spans="1:11" x14ac:dyDescent="0.35">
      <c r="A84" t="s">
        <v>196</v>
      </c>
      <c r="B84" t="s">
        <v>814</v>
      </c>
      <c r="C84" t="s">
        <v>817</v>
      </c>
      <c r="D84">
        <v>0.39458898014166699</v>
      </c>
      <c r="E84" t="s">
        <v>818</v>
      </c>
      <c r="F84">
        <v>2023</v>
      </c>
      <c r="G84" t="str">
        <f>TRIM(RIGHT(Table156[[#This Row],[Item-Codigo]], LEN(Table156[[#This Row],[Item-Codigo]]) - FIND("|", CONCATENATE(B84), FIND("|", CONCATENATE(B84)) + 1)))</f>
        <v>KG</v>
      </c>
      <c r="H8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223</v>
      </c>
      <c r="I84" s="40">
        <v>223</v>
      </c>
      <c r="J8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394.58898014166698</v>
      </c>
      <c r="K84" t="s">
        <v>93</v>
      </c>
    </row>
    <row r="85" spans="1:11" x14ac:dyDescent="0.35">
      <c r="A85" t="s">
        <v>196</v>
      </c>
      <c r="B85" t="s">
        <v>214</v>
      </c>
      <c r="C85" t="s">
        <v>817</v>
      </c>
      <c r="D85">
        <v>439.87255312972002</v>
      </c>
      <c r="E85" t="s">
        <v>818</v>
      </c>
      <c r="F85">
        <v>2023</v>
      </c>
      <c r="G85" t="str">
        <f>TRIM(RIGHT(Table156[[#This Row],[Item-Codigo]], LEN(Table156[[#This Row],[Item-Codigo]]) - FIND("|", CONCATENATE(B85), FIND("|", CONCATENATE(B85)) + 1)))</f>
        <v>TM</v>
      </c>
      <c r="H8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223</v>
      </c>
      <c r="I85" s="40">
        <v>223</v>
      </c>
      <c r="J8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439.87255312972002</v>
      </c>
      <c r="K85" t="s">
        <v>93</v>
      </c>
    </row>
    <row r="86" spans="1:11" x14ac:dyDescent="0.35">
      <c r="A86" t="s">
        <v>196</v>
      </c>
      <c r="B86" t="s">
        <v>217</v>
      </c>
      <c r="C86" t="s">
        <v>215</v>
      </c>
      <c r="D86">
        <v>333.57779047489998</v>
      </c>
      <c r="E86" t="s">
        <v>818</v>
      </c>
      <c r="F86">
        <v>2023</v>
      </c>
      <c r="G86" t="str">
        <f>TRIM(RIGHT(Table156[[#This Row],[Item-Codigo]], LEN(Table156[[#This Row],[Item-Codigo]]) - FIND("|", CONCATENATE(B86), FIND("|", CONCATENATE(B86)) + 1)))</f>
        <v>TM</v>
      </c>
      <c r="H8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871</v>
      </c>
      <c r="I86" s="40">
        <v>871</v>
      </c>
      <c r="J8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333.57779047489998</v>
      </c>
      <c r="K86" t="s">
        <v>181</v>
      </c>
    </row>
    <row r="87" spans="1:11" x14ac:dyDescent="0.35">
      <c r="A87" t="s">
        <v>198</v>
      </c>
      <c r="B87" t="s">
        <v>219</v>
      </c>
      <c r="C87" t="s">
        <v>221</v>
      </c>
      <c r="D87">
        <v>1020</v>
      </c>
      <c r="E87" t="s">
        <v>818</v>
      </c>
      <c r="F87">
        <v>2023</v>
      </c>
      <c r="G87" t="str">
        <f>TRIM(RIGHT(Table156[[#This Row],[Item-Codigo]], LEN(Table156[[#This Row],[Item-Codigo]]) - FIND("|", CONCATENATE(B87), FIND("|", CONCATENATE(B87)) + 1)))</f>
        <v>TM</v>
      </c>
      <c r="H8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87" s="40">
        <v>42</v>
      </c>
      <c r="J8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1020</v>
      </c>
      <c r="K87" t="s">
        <v>94</v>
      </c>
    </row>
    <row r="88" spans="1:11" x14ac:dyDescent="0.35">
      <c r="A88" t="s">
        <v>198</v>
      </c>
      <c r="B88" t="s">
        <v>224</v>
      </c>
      <c r="C88" t="s">
        <v>223</v>
      </c>
      <c r="D88">
        <v>1780</v>
      </c>
      <c r="E88" t="s">
        <v>818</v>
      </c>
      <c r="F88">
        <v>2023</v>
      </c>
      <c r="G88" t="str">
        <f>TRIM(RIGHT(Table156[[#This Row],[Item-Codigo]], LEN(Table156[[#This Row],[Item-Codigo]]) - FIND("|", CONCATENATE(B88), FIND("|", CONCATENATE(B88)) + 1)))</f>
        <v>TM</v>
      </c>
      <c r="H8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40</v>
      </c>
      <c r="I88" s="40">
        <v>40</v>
      </c>
      <c r="J8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1780</v>
      </c>
      <c r="K88" t="s">
        <v>95</v>
      </c>
    </row>
    <row r="89" spans="1:11" x14ac:dyDescent="0.35">
      <c r="A89" t="s">
        <v>198</v>
      </c>
      <c r="B89" t="s">
        <v>224</v>
      </c>
      <c r="C89" t="s">
        <v>831</v>
      </c>
      <c r="D89">
        <v>1878</v>
      </c>
      <c r="E89" t="s">
        <v>818</v>
      </c>
      <c r="F89">
        <v>2023</v>
      </c>
      <c r="G89" t="str">
        <f>TRIM(RIGHT(Table156[[#This Row],[Item-Codigo]], LEN(Table156[[#This Row],[Item-Codigo]]) - FIND("|", CONCATENATE(B89), FIND("|", CONCATENATE(B89)) + 1)))</f>
        <v>TM</v>
      </c>
      <c r="H8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40</v>
      </c>
      <c r="I89" s="40">
        <v>40</v>
      </c>
      <c r="J8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1878</v>
      </c>
      <c r="K89" t="s">
        <v>95</v>
      </c>
    </row>
    <row r="90" spans="1:11" x14ac:dyDescent="0.35">
      <c r="A90" t="s">
        <v>198</v>
      </c>
      <c r="B90" t="s">
        <v>225</v>
      </c>
      <c r="C90" t="s">
        <v>226</v>
      </c>
      <c r="D90">
        <v>387.00035741946698</v>
      </c>
      <c r="E90" t="s">
        <v>818</v>
      </c>
      <c r="F90">
        <v>2023</v>
      </c>
      <c r="G90" t="str">
        <f>TRIM(RIGHT(Table156[[#This Row],[Item-Codigo]], LEN(Table156[[#This Row],[Item-Codigo]]) - FIND("|", CONCATENATE(B90), FIND("|", CONCATENATE(B90)) + 1)))</f>
        <v>TM</v>
      </c>
      <c r="H9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301</v>
      </c>
      <c r="I90" s="40">
        <v>301</v>
      </c>
      <c r="J9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387.00035741946698</v>
      </c>
      <c r="K90" t="s">
        <v>96</v>
      </c>
    </row>
    <row r="91" spans="1:11" x14ac:dyDescent="0.35">
      <c r="A91" t="s">
        <v>198</v>
      </c>
      <c r="B91" t="s">
        <v>227</v>
      </c>
      <c r="C91" t="s">
        <v>218</v>
      </c>
      <c r="D91">
        <v>0.33668850442222198</v>
      </c>
      <c r="E91" t="s">
        <v>818</v>
      </c>
      <c r="F91">
        <v>2023</v>
      </c>
      <c r="G91" t="str">
        <f>TRIM(RIGHT(Table156[[#This Row],[Item-Codigo]], LEN(Table156[[#This Row],[Item-Codigo]]) - FIND("|", CONCATENATE(B91), FIND("|", CONCATENATE(B91)) + 1)))</f>
        <v>KG</v>
      </c>
      <c r="H9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91" s="40">
        <v>200</v>
      </c>
      <c r="J9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336.68850442222197</v>
      </c>
      <c r="K91" t="s">
        <v>97</v>
      </c>
    </row>
    <row r="92" spans="1:11" x14ac:dyDescent="0.35">
      <c r="A92" t="s">
        <v>198</v>
      </c>
      <c r="B92" t="s">
        <v>230</v>
      </c>
      <c r="C92" t="s">
        <v>231</v>
      </c>
      <c r="D92">
        <v>4.5999999999999999E-2</v>
      </c>
      <c r="E92" t="s">
        <v>818</v>
      </c>
      <c r="F92">
        <v>2023</v>
      </c>
      <c r="G92" t="str">
        <f>TRIM(RIGHT(Table156[[#This Row],[Item-Codigo]], LEN(Table156[[#This Row],[Item-Codigo]]) - FIND("|", CONCATENATE(B92), FIND("|", CONCATENATE(B92)) + 1)))</f>
        <v>KG</v>
      </c>
      <c r="H9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92" s="40">
        <v>701</v>
      </c>
      <c r="J9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46</v>
      </c>
      <c r="K92" t="s">
        <v>98</v>
      </c>
    </row>
    <row r="93" spans="1:11" x14ac:dyDescent="0.35">
      <c r="A93" t="s">
        <v>198</v>
      </c>
      <c r="B93" t="s">
        <v>230</v>
      </c>
      <c r="C93" t="s">
        <v>834</v>
      </c>
      <c r="D93">
        <v>5.1999999999999998E-2</v>
      </c>
      <c r="E93" t="s">
        <v>818</v>
      </c>
      <c r="F93">
        <v>2023</v>
      </c>
      <c r="G93" t="str">
        <f>TRIM(RIGHT(Table156[[#This Row],[Item-Codigo]], LEN(Table156[[#This Row],[Item-Codigo]]) - FIND("|", CONCATENATE(B93), FIND("|", CONCATENATE(B93)) + 1)))</f>
        <v>KG</v>
      </c>
      <c r="H9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93" s="40">
        <v>701</v>
      </c>
      <c r="J9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52</v>
      </c>
      <c r="K93" t="s">
        <v>98</v>
      </c>
    </row>
    <row r="94" spans="1:11" x14ac:dyDescent="0.35">
      <c r="A94" t="s">
        <v>198</v>
      </c>
      <c r="B94" t="s">
        <v>237</v>
      </c>
      <c r="C94" t="s">
        <v>238</v>
      </c>
      <c r="D94">
        <v>1295</v>
      </c>
      <c r="E94" t="s">
        <v>818</v>
      </c>
      <c r="F94">
        <v>2023</v>
      </c>
      <c r="G94" t="str">
        <f>TRIM(RIGHT(Table156[[#This Row],[Item-Codigo]], LEN(Table156[[#This Row],[Item-Codigo]]) - FIND("|", CONCATENATE(B94), FIND("|", CONCATENATE(B94)) + 1)))</f>
        <v>TM</v>
      </c>
      <c r="H9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94" s="40">
        <v>116</v>
      </c>
      <c r="J9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1295</v>
      </c>
      <c r="K94" t="s">
        <v>99</v>
      </c>
    </row>
    <row r="95" spans="1:11" x14ac:dyDescent="0.35">
      <c r="A95" t="s">
        <v>198</v>
      </c>
      <c r="B95" t="s">
        <v>838</v>
      </c>
      <c r="C95" t="s">
        <v>238</v>
      </c>
      <c r="D95">
        <v>1020</v>
      </c>
      <c r="E95" t="s">
        <v>818</v>
      </c>
      <c r="F95">
        <v>2023</v>
      </c>
      <c r="G95" t="str">
        <f>TRIM(RIGHT(Table156[[#This Row],[Item-Codigo]], LEN(Table156[[#This Row],[Item-Codigo]]) - FIND("|", CONCATENATE(B95), FIND("|", CONCATENATE(B95)) + 1)))</f>
        <v>TM</v>
      </c>
      <c r="H9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111.5</v>
      </c>
      <c r="I95" s="40" t="s">
        <v>933</v>
      </c>
      <c r="J9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1020</v>
      </c>
      <c r="K95" t="s">
        <v>184</v>
      </c>
    </row>
    <row r="96" spans="1:11" x14ac:dyDescent="0.35">
      <c r="A96" t="s">
        <v>198</v>
      </c>
      <c r="B96" t="s">
        <v>838</v>
      </c>
      <c r="C96" t="s">
        <v>239</v>
      </c>
      <c r="D96">
        <v>944.9583218061</v>
      </c>
      <c r="E96" t="s">
        <v>818</v>
      </c>
      <c r="F96">
        <v>2023</v>
      </c>
      <c r="G96" t="str">
        <f>TRIM(RIGHT(Table156[[#This Row],[Item-Codigo]], LEN(Table156[[#This Row],[Item-Codigo]]) - FIND("|", CONCATENATE(B96), FIND("|", CONCATENATE(B96)) + 1)))</f>
        <v>TM</v>
      </c>
      <c r="H9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111.5</v>
      </c>
      <c r="I96" s="40" t="s">
        <v>933</v>
      </c>
      <c r="J9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944.9583218061</v>
      </c>
      <c r="K96" t="s">
        <v>184</v>
      </c>
    </row>
    <row r="97" spans="1:11" x14ac:dyDescent="0.35">
      <c r="A97" t="s">
        <v>198</v>
      </c>
      <c r="B97" t="s">
        <v>843</v>
      </c>
      <c r="C97" t="s">
        <v>241</v>
      </c>
      <c r="D97">
        <v>0.76000007309999995</v>
      </c>
      <c r="E97" t="s">
        <v>818</v>
      </c>
      <c r="F97">
        <v>2023</v>
      </c>
      <c r="G97" t="str">
        <f>TRIM(RIGHT(Table156[[#This Row],[Item-Codigo]], LEN(Table156[[#This Row],[Item-Codigo]]) - FIND("|", CONCATENATE(B97), FIND("|", CONCATENATE(B97)) + 1)))</f>
        <v>KG</v>
      </c>
      <c r="H9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159.9</v>
      </c>
      <c r="I97" s="40" t="s">
        <v>525</v>
      </c>
      <c r="J9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760.0000730999999</v>
      </c>
      <c r="K97" t="s">
        <v>191</v>
      </c>
    </row>
    <row r="98" spans="1:11" x14ac:dyDescent="0.35">
      <c r="A98" t="s">
        <v>198</v>
      </c>
      <c r="B98" t="s">
        <v>242</v>
      </c>
      <c r="C98" t="s">
        <v>842</v>
      </c>
      <c r="D98">
        <v>762.000203576275</v>
      </c>
      <c r="E98" t="s">
        <v>818</v>
      </c>
      <c r="F98">
        <v>2023</v>
      </c>
      <c r="G98" t="str">
        <f>TRIM(RIGHT(Table156[[#This Row],[Item-Codigo]], LEN(Table156[[#This Row],[Item-Codigo]]) - FIND("|", CONCATENATE(B98), FIND("|", CONCATENATE(B98)) + 1)))</f>
        <v>TM</v>
      </c>
      <c r="H9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159.9</v>
      </c>
      <c r="I98" s="40" t="s">
        <v>525</v>
      </c>
      <c r="J9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762.000203576275</v>
      </c>
      <c r="K98" t="s">
        <v>191</v>
      </c>
    </row>
    <row r="99" spans="1:11" x14ac:dyDescent="0.35">
      <c r="A99" t="s">
        <v>198</v>
      </c>
      <c r="B99" t="s">
        <v>844</v>
      </c>
      <c r="C99" t="s">
        <v>218</v>
      </c>
      <c r="D99">
        <v>0.68136272539999998</v>
      </c>
      <c r="E99" t="s">
        <v>818</v>
      </c>
      <c r="F99">
        <v>2023</v>
      </c>
      <c r="G99" t="str">
        <f>TRIM(RIGHT(Table156[[#This Row],[Item-Codigo]], LEN(Table156[[#This Row],[Item-Codigo]]) - FIND("|", CONCATENATE(B99), FIND("|", CONCATENATE(B99)) + 1)))</f>
        <v>KG</v>
      </c>
      <c r="H9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211</v>
      </c>
      <c r="I99" s="40">
        <v>211</v>
      </c>
      <c r="J9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681.36272539999993</v>
      </c>
      <c r="K99" t="s">
        <v>188</v>
      </c>
    </row>
    <row r="100" spans="1:11" x14ac:dyDescent="0.35">
      <c r="A100" t="s">
        <v>198</v>
      </c>
      <c r="B100" t="s">
        <v>199</v>
      </c>
      <c r="C100" t="s">
        <v>200</v>
      </c>
      <c r="D100">
        <v>16.800000664959999</v>
      </c>
      <c r="E100" t="s">
        <v>818</v>
      </c>
      <c r="F100">
        <v>2023</v>
      </c>
      <c r="G100" t="str">
        <f>TRIM(RIGHT(Table156[[#This Row],[Item-Codigo]], LEN(Table156[[#This Row],[Item-Codigo]]) - FIND("|", CONCATENATE(B100), FIND("|", CONCATENATE(B100)) + 1)))</f>
        <v>QQ</v>
      </c>
      <c r="H10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100" s="40">
        <v>1</v>
      </c>
      <c r="J100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369.60001462911998</v>
      </c>
      <c r="K100" t="s">
        <v>182</v>
      </c>
    </row>
    <row r="101" spans="1:11" x14ac:dyDescent="0.35">
      <c r="A101" t="s">
        <v>198</v>
      </c>
      <c r="B101" t="s">
        <v>199</v>
      </c>
      <c r="C101" t="s">
        <v>201</v>
      </c>
      <c r="D101">
        <v>16.700006969570001</v>
      </c>
      <c r="E101" t="s">
        <v>818</v>
      </c>
      <c r="F101">
        <v>2023</v>
      </c>
      <c r="G101" t="str">
        <f>TRIM(RIGHT(Table156[[#This Row],[Item-Codigo]], LEN(Table156[[#This Row],[Item-Codigo]]) - FIND("|", CONCATENATE(B101), FIND("|", CONCATENATE(B101)) + 1)))</f>
        <v>QQ</v>
      </c>
      <c r="H10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101" s="40">
        <v>1</v>
      </c>
      <c r="J101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367.40015333054004</v>
      </c>
      <c r="K101" t="s">
        <v>182</v>
      </c>
    </row>
    <row r="102" spans="1:11" x14ac:dyDescent="0.35">
      <c r="A102" t="s">
        <v>198</v>
      </c>
      <c r="B102" t="s">
        <v>199</v>
      </c>
      <c r="C102" t="s">
        <v>203</v>
      </c>
      <c r="D102">
        <v>16.6000125949538</v>
      </c>
      <c r="E102" t="s">
        <v>818</v>
      </c>
      <c r="F102">
        <v>2023</v>
      </c>
      <c r="G102" t="str">
        <f>TRIM(RIGHT(Table156[[#This Row],[Item-Codigo]], LEN(Table156[[#This Row],[Item-Codigo]]) - FIND("|", CONCATENATE(B102), FIND("|", CONCATENATE(B102)) + 1)))</f>
        <v>QQ</v>
      </c>
      <c r="H10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102" s="40">
        <v>1</v>
      </c>
      <c r="J102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365.20027708898357</v>
      </c>
      <c r="K102" t="s">
        <v>182</v>
      </c>
    </row>
    <row r="103" spans="1:11" x14ac:dyDescent="0.35">
      <c r="A103" t="s">
        <v>198</v>
      </c>
      <c r="B103" t="s">
        <v>245</v>
      </c>
      <c r="C103" t="s">
        <v>244</v>
      </c>
      <c r="D103">
        <v>275</v>
      </c>
      <c r="E103" t="s">
        <v>818</v>
      </c>
      <c r="F103">
        <v>2023</v>
      </c>
      <c r="G103" t="str">
        <f>TRIM(RIGHT(Table156[[#This Row],[Item-Codigo]], LEN(Table156[[#This Row],[Item-Codigo]]) - FIND("|", CONCATENATE(B103), FIND("|", CONCATENATE(B103)) + 1)))</f>
        <v>TM</v>
      </c>
      <c r="H10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14</v>
      </c>
      <c r="I103" s="40">
        <v>14</v>
      </c>
      <c r="J10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275</v>
      </c>
      <c r="K103" t="s">
        <v>187</v>
      </c>
    </row>
    <row r="104" spans="1:11" x14ac:dyDescent="0.35">
      <c r="A104" t="s">
        <v>198</v>
      </c>
      <c r="B104" t="s">
        <v>245</v>
      </c>
      <c r="C104" t="s">
        <v>246</v>
      </c>
      <c r="D104">
        <v>280</v>
      </c>
      <c r="E104" t="s">
        <v>818</v>
      </c>
      <c r="F104">
        <v>2023</v>
      </c>
      <c r="G104" t="str">
        <f>TRIM(RIGHT(Table156[[#This Row],[Item-Codigo]], LEN(Table156[[#This Row],[Item-Codigo]]) - FIND("|", CONCATENATE(B104), FIND("|", CONCATENATE(B104)) + 1)))</f>
        <v>TM</v>
      </c>
      <c r="H10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14</v>
      </c>
      <c r="I104" s="40">
        <v>14</v>
      </c>
      <c r="J10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280</v>
      </c>
      <c r="K104" t="s">
        <v>187</v>
      </c>
    </row>
    <row r="105" spans="1:11" x14ac:dyDescent="0.35">
      <c r="A105" t="s">
        <v>198</v>
      </c>
      <c r="B105" t="s">
        <v>247</v>
      </c>
      <c r="C105" t="s">
        <v>248</v>
      </c>
      <c r="D105">
        <v>0.31181500109999999</v>
      </c>
      <c r="E105" t="s">
        <v>818</v>
      </c>
      <c r="F105">
        <v>2023</v>
      </c>
      <c r="G105" t="str">
        <f>TRIM(RIGHT(Table156[[#This Row],[Item-Codigo]], LEN(Table156[[#This Row],[Item-Codigo]]) - FIND("|", CONCATENATE(B105), FIND("|", CONCATENATE(B105)) + 1)))</f>
        <v>KG</v>
      </c>
      <c r="H10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214</v>
      </c>
      <c r="I105" s="40">
        <v>214</v>
      </c>
      <c r="J10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311.81500109999996</v>
      </c>
      <c r="K105" t="s">
        <v>186</v>
      </c>
    </row>
    <row r="106" spans="1:11" x14ac:dyDescent="0.35">
      <c r="A106" t="s">
        <v>198</v>
      </c>
      <c r="B106" t="s">
        <v>207</v>
      </c>
      <c r="C106" t="s">
        <v>857</v>
      </c>
      <c r="D106">
        <v>15.22497772975</v>
      </c>
      <c r="E106" t="s">
        <v>818</v>
      </c>
      <c r="F106">
        <v>2023</v>
      </c>
      <c r="G106" t="str">
        <f>TRIM(RIGHT(Table156[[#This Row],[Item-Codigo]], LEN(Table156[[#This Row],[Item-Codigo]]) - FIND("|", CONCATENATE(B106), FIND("|", CONCATENATE(B106)) + 1)))</f>
        <v>QQ</v>
      </c>
      <c r="H10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06" s="40">
        <v>410</v>
      </c>
      <c r="J106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334.94951005450002</v>
      </c>
      <c r="K106" t="s">
        <v>183</v>
      </c>
    </row>
    <row r="107" spans="1:11" x14ac:dyDescent="0.35">
      <c r="A107" t="s">
        <v>198</v>
      </c>
      <c r="B107" t="s">
        <v>207</v>
      </c>
      <c r="C107" t="s">
        <v>858</v>
      </c>
      <c r="D107">
        <v>15.499944882799999</v>
      </c>
      <c r="E107" t="s">
        <v>818</v>
      </c>
      <c r="F107">
        <v>2023</v>
      </c>
      <c r="G107" t="str">
        <f>TRIM(RIGHT(Table156[[#This Row],[Item-Codigo]], LEN(Table156[[#This Row],[Item-Codigo]]) - FIND("|", CONCATENATE(B107), FIND("|", CONCATENATE(B107)) + 1)))</f>
        <v>QQ</v>
      </c>
      <c r="H10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07" s="40">
        <v>410</v>
      </c>
      <c r="J107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340.99878742160001</v>
      </c>
      <c r="K107" t="s">
        <v>183</v>
      </c>
    </row>
    <row r="108" spans="1:11" x14ac:dyDescent="0.35">
      <c r="A108" t="s">
        <v>198</v>
      </c>
      <c r="B108" t="s">
        <v>207</v>
      </c>
      <c r="C108" t="s">
        <v>861</v>
      </c>
      <c r="D108">
        <v>16.339996805199998</v>
      </c>
      <c r="E108" t="s">
        <v>818</v>
      </c>
      <c r="F108">
        <v>2023</v>
      </c>
      <c r="G108" t="str">
        <f>TRIM(RIGHT(Table156[[#This Row],[Item-Codigo]], LEN(Table156[[#This Row],[Item-Codigo]]) - FIND("|", CONCATENATE(B108), FIND("|", CONCATENATE(B108)) + 1)))</f>
        <v>QQ</v>
      </c>
      <c r="H10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08" s="40">
        <v>410</v>
      </c>
      <c r="J108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359.47992971439999</v>
      </c>
      <c r="K108" t="s">
        <v>183</v>
      </c>
    </row>
    <row r="109" spans="1:11" x14ac:dyDescent="0.35">
      <c r="A109" t="s">
        <v>198</v>
      </c>
      <c r="B109" t="s">
        <v>207</v>
      </c>
      <c r="C109" t="s">
        <v>862</v>
      </c>
      <c r="D109">
        <v>15.462604054950001</v>
      </c>
      <c r="E109" t="s">
        <v>818</v>
      </c>
      <c r="F109">
        <v>2023</v>
      </c>
      <c r="G109" t="str">
        <f>TRIM(RIGHT(Table156[[#This Row],[Item-Codigo]], LEN(Table156[[#This Row],[Item-Codigo]]) - FIND("|", CONCATENATE(B109), FIND("|", CONCATENATE(B109)) + 1)))</f>
        <v>QQ</v>
      </c>
      <c r="H10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09" s="40">
        <v>410</v>
      </c>
      <c r="J109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340.17728920889999</v>
      </c>
      <c r="K109" t="s">
        <v>183</v>
      </c>
    </row>
    <row r="110" spans="1:11" x14ac:dyDescent="0.35">
      <c r="A110" t="s">
        <v>198</v>
      </c>
      <c r="B110" t="s">
        <v>207</v>
      </c>
      <c r="C110" t="s">
        <v>210</v>
      </c>
      <c r="D110">
        <v>15.903987843479999</v>
      </c>
      <c r="E110" t="s">
        <v>818</v>
      </c>
      <c r="F110">
        <v>2023</v>
      </c>
      <c r="G110" t="str">
        <f>TRIM(RIGHT(Table156[[#This Row],[Item-Codigo]], LEN(Table156[[#This Row],[Item-Codigo]]) - FIND("|", CONCATENATE(B110), FIND("|", CONCATENATE(B110)) + 1)))</f>
        <v>QQ</v>
      </c>
      <c r="H11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10" s="40">
        <v>410</v>
      </c>
      <c r="J110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349.88773255655997</v>
      </c>
      <c r="K110" t="s">
        <v>183</v>
      </c>
    </row>
    <row r="111" spans="1:11" x14ac:dyDescent="0.35">
      <c r="A111" t="s">
        <v>198</v>
      </c>
      <c r="B111" t="s">
        <v>207</v>
      </c>
      <c r="C111" t="s">
        <v>211</v>
      </c>
      <c r="D111">
        <v>14.9500737635333</v>
      </c>
      <c r="E111" t="s">
        <v>818</v>
      </c>
      <c r="F111">
        <v>2023</v>
      </c>
      <c r="G111" t="str">
        <f>TRIM(RIGHT(Table156[[#This Row],[Item-Codigo]], LEN(Table156[[#This Row],[Item-Codigo]]) - FIND("|", CONCATENATE(B111), FIND("|", CONCATENATE(B111)) + 1)))</f>
        <v>QQ</v>
      </c>
      <c r="H11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11" s="40">
        <v>410</v>
      </c>
      <c r="J111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328.90162279773261</v>
      </c>
      <c r="K111" t="s">
        <v>183</v>
      </c>
    </row>
    <row r="112" spans="1:11" x14ac:dyDescent="0.35">
      <c r="A112" t="s">
        <v>198</v>
      </c>
      <c r="B112" t="s">
        <v>207</v>
      </c>
      <c r="C112" t="s">
        <v>866</v>
      </c>
      <c r="D112">
        <v>14.9499216772333</v>
      </c>
      <c r="E112" t="s">
        <v>818</v>
      </c>
      <c r="F112">
        <v>2023</v>
      </c>
      <c r="G112" t="str">
        <f>TRIM(RIGHT(Table156[[#This Row],[Item-Codigo]], LEN(Table156[[#This Row],[Item-Codigo]]) - FIND("|", CONCATENATE(B112), FIND("|", CONCATENATE(B112)) + 1)))</f>
        <v>QQ</v>
      </c>
      <c r="H11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12" s="40">
        <v>410</v>
      </c>
      <c r="J112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328.89827689913261</v>
      </c>
      <c r="K112" t="s">
        <v>183</v>
      </c>
    </row>
    <row r="113" spans="1:11" x14ac:dyDescent="0.35">
      <c r="A113" t="s">
        <v>198</v>
      </c>
      <c r="B113" t="s">
        <v>207</v>
      </c>
      <c r="C113" t="s">
        <v>867</v>
      </c>
      <c r="D113">
        <v>14.96995528888</v>
      </c>
      <c r="E113" t="s">
        <v>818</v>
      </c>
      <c r="F113">
        <v>2023</v>
      </c>
      <c r="G113" t="str">
        <f>TRIM(RIGHT(Table156[[#This Row],[Item-Codigo]], LEN(Table156[[#This Row],[Item-Codigo]]) - FIND("|", CONCATENATE(B113), FIND("|", CONCATENATE(B113)) + 1)))</f>
        <v>QQ</v>
      </c>
      <c r="H11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13" s="40">
        <v>410</v>
      </c>
      <c r="J113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329.33901635536</v>
      </c>
      <c r="K113" t="s">
        <v>183</v>
      </c>
    </row>
    <row r="114" spans="1:11" x14ac:dyDescent="0.35">
      <c r="A114" t="s">
        <v>256</v>
      </c>
      <c r="B114" t="s">
        <v>876</v>
      </c>
      <c r="C114" t="s">
        <v>262</v>
      </c>
      <c r="D114">
        <v>0.1497</v>
      </c>
      <c r="E114" t="s">
        <v>818</v>
      </c>
      <c r="F114">
        <v>2023</v>
      </c>
      <c r="G114" t="str">
        <f>TRIM(RIGHT(Table156[[#This Row],[Item-Codigo]], LEN(Table156[[#This Row],[Item-Codigo]]) - FIND("|", CONCATENATE(B114), FIND("|", CONCATENATE(B114)) + 1)))</f>
        <v>UND</v>
      </c>
      <c r="H11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1022-ME</v>
      </c>
      <c r="I114" s="40" t="s">
        <v>499</v>
      </c>
      <c r="J11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0.1497</v>
      </c>
      <c r="K114" t="s">
        <v>42</v>
      </c>
    </row>
    <row r="115" spans="1:11" x14ac:dyDescent="0.35">
      <c r="A115" t="s">
        <v>256</v>
      </c>
      <c r="B115" t="s">
        <v>261</v>
      </c>
      <c r="C115" t="s">
        <v>262</v>
      </c>
      <c r="D115">
        <v>0.14970047615000001</v>
      </c>
      <c r="E115" t="s">
        <v>818</v>
      </c>
      <c r="F115">
        <v>2023</v>
      </c>
      <c r="G115" t="str">
        <f>TRIM(RIGHT(Table156[[#This Row],[Item-Codigo]], LEN(Table156[[#This Row],[Item-Codigo]]) - FIND("|", CONCATENATE(B115), FIND("|", CONCATENATE(B115)) + 1)))</f>
        <v>UND</v>
      </c>
      <c r="H11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115" s="40" t="s">
        <v>500</v>
      </c>
      <c r="J11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0.14970047615000001</v>
      </c>
      <c r="K115" t="s">
        <v>43</v>
      </c>
    </row>
    <row r="116" spans="1:11" x14ac:dyDescent="0.35">
      <c r="A116" t="s">
        <v>256</v>
      </c>
      <c r="B116" t="s">
        <v>261</v>
      </c>
      <c r="C116" t="s">
        <v>263</v>
      </c>
      <c r="D116">
        <v>0.14879992489999999</v>
      </c>
      <c r="E116" t="s">
        <v>818</v>
      </c>
      <c r="F116">
        <v>2023</v>
      </c>
      <c r="G116" t="str">
        <f>TRIM(RIGHT(Table156[[#This Row],[Item-Codigo]], LEN(Table156[[#This Row],[Item-Codigo]]) - FIND("|", CONCATENATE(B116), FIND("|", CONCATENATE(B116)) + 1)))</f>
        <v>UND</v>
      </c>
      <c r="H11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116" s="40" t="s">
        <v>500</v>
      </c>
      <c r="J11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0.14879992489999999</v>
      </c>
      <c r="K116" t="s">
        <v>43</v>
      </c>
    </row>
    <row r="117" spans="1:11" x14ac:dyDescent="0.35">
      <c r="A117" t="s">
        <v>256</v>
      </c>
      <c r="B117" t="s">
        <v>264</v>
      </c>
      <c r="C117" t="s">
        <v>263</v>
      </c>
      <c r="D117">
        <v>0.14880009690000001</v>
      </c>
      <c r="E117" t="s">
        <v>818</v>
      </c>
      <c r="F117">
        <v>2023</v>
      </c>
      <c r="G117" t="str">
        <f>TRIM(RIGHT(Table156[[#This Row],[Item-Codigo]], LEN(Table156[[#This Row],[Item-Codigo]]) - FIND("|", CONCATENATE(B117), FIND("|", CONCATENATE(B117)) + 1)))</f>
        <v>UND</v>
      </c>
      <c r="H11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1024-ME</v>
      </c>
      <c r="I117" s="40" t="s">
        <v>501</v>
      </c>
      <c r="J11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0.14880009690000001</v>
      </c>
      <c r="K117" t="s">
        <v>44</v>
      </c>
    </row>
    <row r="118" spans="1:11" x14ac:dyDescent="0.35">
      <c r="A118" t="s">
        <v>256</v>
      </c>
      <c r="B118" t="s">
        <v>265</v>
      </c>
      <c r="C118" t="s">
        <v>262</v>
      </c>
      <c r="D118">
        <v>0.14970030579999999</v>
      </c>
      <c r="E118" t="s">
        <v>818</v>
      </c>
      <c r="F118">
        <v>2023</v>
      </c>
      <c r="G118" t="str">
        <f>TRIM(RIGHT(Table156[[#This Row],[Item-Codigo]], LEN(Table156[[#This Row],[Item-Codigo]]) - FIND("|", CONCATENATE(B118), FIND("|", CONCATENATE(B118)) + 1)))</f>
        <v>UND</v>
      </c>
      <c r="H11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1025-ME</v>
      </c>
      <c r="I118" s="40" t="s">
        <v>502</v>
      </c>
      <c r="J11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0.14970030579999999</v>
      </c>
      <c r="K118" t="s">
        <v>45</v>
      </c>
    </row>
    <row r="119" spans="1:11" x14ac:dyDescent="0.35">
      <c r="A119" t="s">
        <v>256</v>
      </c>
      <c r="B119" t="s">
        <v>266</v>
      </c>
      <c r="C119" t="s">
        <v>262</v>
      </c>
      <c r="D119">
        <v>0.17</v>
      </c>
      <c r="E119" t="s">
        <v>818</v>
      </c>
      <c r="F119">
        <v>2023</v>
      </c>
      <c r="G119" t="str">
        <f>TRIM(RIGHT(Table156[[#This Row],[Item-Codigo]], LEN(Table156[[#This Row],[Item-Codigo]]) - FIND("|", CONCATENATE(B119), FIND("|", CONCATENATE(B119)) + 1)))</f>
        <v>UND</v>
      </c>
      <c r="H11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1026-ME</v>
      </c>
      <c r="I119" s="40" t="s">
        <v>503</v>
      </c>
      <c r="J11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</v>
      </c>
      <c r="K119" t="s">
        <v>46</v>
      </c>
    </row>
    <row r="120" spans="1:11" x14ac:dyDescent="0.35">
      <c r="A120" t="s">
        <v>256</v>
      </c>
      <c r="B120" t="s">
        <v>268</v>
      </c>
      <c r="C120" t="s">
        <v>262</v>
      </c>
      <c r="D120">
        <v>0.17</v>
      </c>
      <c r="E120" t="s">
        <v>818</v>
      </c>
      <c r="F120">
        <v>2023</v>
      </c>
      <c r="G120" t="str">
        <f>TRIM(RIGHT(Table156[[#This Row],[Item-Codigo]], LEN(Table156[[#This Row],[Item-Codigo]]) - FIND("|", CONCATENATE(B120), FIND("|", CONCATENATE(B120)) + 1)))</f>
        <v>UND</v>
      </c>
      <c r="H12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1028-ME</v>
      </c>
      <c r="I120" s="40" t="s">
        <v>505</v>
      </c>
      <c r="J12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</v>
      </c>
      <c r="K120" t="s">
        <v>48</v>
      </c>
    </row>
    <row r="121" spans="1:11" x14ac:dyDescent="0.35">
      <c r="A121" t="s">
        <v>256</v>
      </c>
      <c r="B121" t="s">
        <v>272</v>
      </c>
      <c r="C121" t="s">
        <v>263</v>
      </c>
      <c r="D121">
        <v>0.1488001263</v>
      </c>
      <c r="E121" t="s">
        <v>818</v>
      </c>
      <c r="F121">
        <v>2023</v>
      </c>
      <c r="G121" t="str">
        <f>TRIM(RIGHT(Table156[[#This Row],[Item-Codigo]], LEN(Table156[[#This Row],[Item-Codigo]]) - FIND("|", CONCATENATE(B121), FIND("|", CONCATENATE(B121)) + 1)))</f>
        <v>UND</v>
      </c>
      <c r="H12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1029-ME</v>
      </c>
      <c r="I121" s="40" t="s">
        <v>506</v>
      </c>
      <c r="J12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0.1488001263</v>
      </c>
      <c r="K121" t="s">
        <v>51</v>
      </c>
    </row>
    <row r="122" spans="1:11" x14ac:dyDescent="0.35">
      <c r="A122" t="s">
        <v>256</v>
      </c>
      <c r="B122" t="s">
        <v>273</v>
      </c>
      <c r="C122" t="s">
        <v>263</v>
      </c>
      <c r="D122">
        <v>0.14880001279999999</v>
      </c>
      <c r="E122" t="s">
        <v>818</v>
      </c>
      <c r="F122">
        <v>2023</v>
      </c>
      <c r="G122" t="str">
        <f>TRIM(RIGHT(Table156[[#This Row],[Item-Codigo]], LEN(Table156[[#This Row],[Item-Codigo]]) - FIND("|", CONCATENATE(B122), FIND("|", CONCATENATE(B122)) + 1)))</f>
        <v>UND</v>
      </c>
      <c r="H12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1030-ME</v>
      </c>
      <c r="I122" s="40" t="s">
        <v>507</v>
      </c>
      <c r="J12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0.14880001279999999</v>
      </c>
      <c r="K122" t="s">
        <v>52</v>
      </c>
    </row>
    <row r="123" spans="1:11" x14ac:dyDescent="0.35">
      <c r="A123" t="s">
        <v>256</v>
      </c>
      <c r="B123" t="s">
        <v>283</v>
      </c>
      <c r="C123" t="s">
        <v>262</v>
      </c>
      <c r="D123">
        <v>0.21990000000000001</v>
      </c>
      <c r="E123" t="s">
        <v>818</v>
      </c>
      <c r="F123">
        <v>2023</v>
      </c>
      <c r="G123" t="str">
        <f>TRIM(RIGHT(Table156[[#This Row],[Item-Codigo]], LEN(Table156[[#This Row],[Item-Codigo]]) - FIND("|", CONCATENATE(B123), FIND("|", CONCATENATE(B123)) + 1)))</f>
        <v>UND</v>
      </c>
      <c r="H12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0754-ME</v>
      </c>
      <c r="I123" s="40" t="s">
        <v>482</v>
      </c>
      <c r="J12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0.21990000000000001</v>
      </c>
      <c r="K123" t="s">
        <v>112</v>
      </c>
    </row>
    <row r="124" spans="1:11" x14ac:dyDescent="0.35">
      <c r="A124" t="s">
        <v>256</v>
      </c>
      <c r="B124" t="s">
        <v>888</v>
      </c>
      <c r="C124" t="s">
        <v>267</v>
      </c>
      <c r="D124">
        <v>0.24680016090000001</v>
      </c>
      <c r="E124" t="s">
        <v>818</v>
      </c>
      <c r="F124">
        <v>2023</v>
      </c>
      <c r="G124" t="str">
        <f>TRIM(RIGHT(Table156[[#This Row],[Item-Codigo]], LEN(Table156[[#This Row],[Item-Codigo]]) - FIND("|", CONCATENATE(B124), FIND("|", CONCATENATE(B124)) + 1)))</f>
        <v>UND</v>
      </c>
      <c r="H12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0174-ME</v>
      </c>
      <c r="I124" s="40" t="s">
        <v>477</v>
      </c>
      <c r="J12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0.24680016090000001</v>
      </c>
      <c r="K124" t="s">
        <v>122</v>
      </c>
    </row>
    <row r="125" spans="1:11" x14ac:dyDescent="0.35">
      <c r="A125" t="s">
        <v>256</v>
      </c>
      <c r="B125" t="s">
        <v>287</v>
      </c>
      <c r="C125" t="s">
        <v>267</v>
      </c>
      <c r="D125">
        <v>0.24679622640000001</v>
      </c>
      <c r="E125" t="s">
        <v>818</v>
      </c>
      <c r="F125">
        <v>2023</v>
      </c>
      <c r="G125" t="str">
        <f>TRIM(RIGHT(Table156[[#This Row],[Item-Codigo]], LEN(Table156[[#This Row],[Item-Codigo]]) - FIND("|", CONCATENATE(B125), FIND("|", CONCATENATE(B125)) + 1)))</f>
        <v>UND</v>
      </c>
      <c r="H12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0115-ME</v>
      </c>
      <c r="I125" s="40" t="s">
        <v>474</v>
      </c>
      <c r="J12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0.24679622640000001</v>
      </c>
      <c r="K125" t="s">
        <v>115</v>
      </c>
    </row>
    <row r="126" spans="1:11" x14ac:dyDescent="0.35">
      <c r="A126" t="s">
        <v>256</v>
      </c>
      <c r="B126" t="s">
        <v>288</v>
      </c>
      <c r="C126" t="s">
        <v>262</v>
      </c>
      <c r="D126">
        <v>0.221</v>
      </c>
      <c r="E126" t="s">
        <v>818</v>
      </c>
      <c r="F126">
        <v>2023</v>
      </c>
      <c r="G126" t="str">
        <f>TRIM(RIGHT(Table156[[#This Row],[Item-Codigo]], LEN(Table156[[#This Row],[Item-Codigo]]) - FIND("|", CONCATENATE(B126), FIND("|", CONCATENATE(B126)) + 1)))</f>
        <v>UND</v>
      </c>
      <c r="H12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0993-ME</v>
      </c>
      <c r="I126" s="40" t="s">
        <v>490</v>
      </c>
      <c r="J12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0.221</v>
      </c>
      <c r="K126" t="s">
        <v>106</v>
      </c>
    </row>
    <row r="127" spans="1:11" x14ac:dyDescent="0.35">
      <c r="A127" t="s">
        <v>256</v>
      </c>
      <c r="B127" t="s">
        <v>289</v>
      </c>
      <c r="C127" t="s">
        <v>267</v>
      </c>
      <c r="D127">
        <v>0.22749982120000001</v>
      </c>
      <c r="E127" t="s">
        <v>818</v>
      </c>
      <c r="F127">
        <v>2023</v>
      </c>
      <c r="G127" t="str">
        <f>TRIM(RIGHT(Table156[[#This Row],[Item-Codigo]], LEN(Table156[[#This Row],[Item-Codigo]]) - FIND("|", CONCATENATE(B127), FIND("|", CONCATENATE(B127)) + 1)))</f>
        <v>UND</v>
      </c>
      <c r="H12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0994-ME</v>
      </c>
      <c r="I127" s="40" t="s">
        <v>491</v>
      </c>
      <c r="J12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0.22749982120000001</v>
      </c>
      <c r="K127" t="s">
        <v>118</v>
      </c>
    </row>
    <row r="128" spans="1:11" x14ac:dyDescent="0.35">
      <c r="A128" t="s">
        <v>256</v>
      </c>
      <c r="B128" t="s">
        <v>290</v>
      </c>
      <c r="C128" t="s">
        <v>262</v>
      </c>
      <c r="D128">
        <v>0.22970004729999999</v>
      </c>
      <c r="E128" t="s">
        <v>818</v>
      </c>
      <c r="F128">
        <v>2023</v>
      </c>
      <c r="G128" t="str">
        <f>TRIM(RIGHT(Table156[[#This Row],[Item-Codigo]], LEN(Table156[[#This Row],[Item-Codigo]]) - FIND("|", CONCATENATE(B128), FIND("|", CONCATENATE(B128)) + 1)))</f>
        <v>UND</v>
      </c>
      <c r="H12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0995-ME</v>
      </c>
      <c r="I128" s="40" t="s">
        <v>492</v>
      </c>
      <c r="J12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0.22970004729999999</v>
      </c>
      <c r="K128" t="s">
        <v>108</v>
      </c>
    </row>
    <row r="129" spans="1:11" x14ac:dyDescent="0.35">
      <c r="A129" t="s">
        <v>256</v>
      </c>
      <c r="B129" t="s">
        <v>291</v>
      </c>
      <c r="C129" t="s">
        <v>262</v>
      </c>
      <c r="D129">
        <v>0.221</v>
      </c>
      <c r="E129" t="s">
        <v>818</v>
      </c>
      <c r="F129">
        <v>2023</v>
      </c>
      <c r="G129" t="str">
        <f>TRIM(RIGHT(Table156[[#This Row],[Item-Codigo]], LEN(Table156[[#This Row],[Item-Codigo]]) - FIND("|", CONCATENATE(B129), FIND("|", CONCATENATE(B129)) + 1)))</f>
        <v>UND</v>
      </c>
      <c r="H12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0988-ME</v>
      </c>
      <c r="I129" s="40" t="s">
        <v>489</v>
      </c>
      <c r="J12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0.221</v>
      </c>
      <c r="K129" t="s">
        <v>119</v>
      </c>
    </row>
    <row r="130" spans="1:11" x14ac:dyDescent="0.35">
      <c r="A130" t="s">
        <v>256</v>
      </c>
      <c r="B130" t="s">
        <v>292</v>
      </c>
      <c r="C130" t="s">
        <v>262</v>
      </c>
      <c r="D130">
        <v>0.22969999999999999</v>
      </c>
      <c r="E130" t="s">
        <v>818</v>
      </c>
      <c r="F130">
        <v>2023</v>
      </c>
      <c r="G130" t="str">
        <f>TRIM(RIGHT(Table156[[#This Row],[Item-Codigo]], LEN(Table156[[#This Row],[Item-Codigo]]) - FIND("|", CONCATENATE(B130), FIND("|", CONCATENATE(B130)) + 1)))</f>
        <v>UND</v>
      </c>
      <c r="H13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0987-ME</v>
      </c>
      <c r="I130" s="40" t="s">
        <v>488</v>
      </c>
      <c r="J13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0.22969999999999999</v>
      </c>
      <c r="K130" t="s">
        <v>117</v>
      </c>
    </row>
    <row r="131" spans="1:11" x14ac:dyDescent="0.35">
      <c r="A131" t="s">
        <v>256</v>
      </c>
      <c r="B131" t="s">
        <v>292</v>
      </c>
      <c r="C131" t="s">
        <v>267</v>
      </c>
      <c r="D131">
        <v>0.23680097180000001</v>
      </c>
      <c r="E131" t="s">
        <v>818</v>
      </c>
      <c r="F131">
        <v>2023</v>
      </c>
      <c r="G131" t="str">
        <f>TRIM(RIGHT(Table156[[#This Row],[Item-Codigo]], LEN(Table156[[#This Row],[Item-Codigo]]) - FIND("|", CONCATENATE(B131), FIND("|", CONCATENATE(B131)) + 1)))</f>
        <v>UND</v>
      </c>
      <c r="H13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0987-ME</v>
      </c>
      <c r="I131" s="40" t="s">
        <v>488</v>
      </c>
      <c r="J13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0.23680097180000001</v>
      </c>
      <c r="K131" t="s">
        <v>117</v>
      </c>
    </row>
    <row r="132" spans="1:11" x14ac:dyDescent="0.35">
      <c r="A132" t="s">
        <v>256</v>
      </c>
      <c r="B132" t="s">
        <v>293</v>
      </c>
      <c r="C132" t="s">
        <v>262</v>
      </c>
      <c r="D132">
        <v>0.221</v>
      </c>
      <c r="E132" t="s">
        <v>818</v>
      </c>
      <c r="F132">
        <v>2023</v>
      </c>
      <c r="G132" t="str">
        <f>TRIM(RIGHT(Table156[[#This Row],[Item-Codigo]], LEN(Table156[[#This Row],[Item-Codigo]]) - FIND("|", CONCATENATE(B132), FIND("|", CONCATENATE(B132)) + 1)))</f>
        <v>UND</v>
      </c>
      <c r="H13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0201-ME</v>
      </c>
      <c r="I132" s="40" t="s">
        <v>478</v>
      </c>
      <c r="J13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0.221</v>
      </c>
      <c r="K132" t="s">
        <v>105</v>
      </c>
    </row>
    <row r="133" spans="1:11" x14ac:dyDescent="0.35">
      <c r="A133" t="s">
        <v>256</v>
      </c>
      <c r="B133" t="s">
        <v>293</v>
      </c>
      <c r="C133" t="s">
        <v>263</v>
      </c>
      <c r="D133">
        <v>0.21</v>
      </c>
      <c r="E133" t="s">
        <v>818</v>
      </c>
      <c r="F133">
        <v>2023</v>
      </c>
      <c r="G133" t="str">
        <f>TRIM(RIGHT(Table156[[#This Row],[Item-Codigo]], LEN(Table156[[#This Row],[Item-Codigo]]) - FIND("|", CONCATENATE(B133), FIND("|", CONCATENATE(B133)) + 1)))</f>
        <v>UND</v>
      </c>
      <c r="H13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0201-ME</v>
      </c>
      <c r="I133" s="40" t="s">
        <v>478</v>
      </c>
      <c r="J13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</v>
      </c>
      <c r="K133" t="s">
        <v>105</v>
      </c>
    </row>
    <row r="134" spans="1:11" x14ac:dyDescent="0.35">
      <c r="A134" t="s">
        <v>256</v>
      </c>
      <c r="B134" t="s">
        <v>891</v>
      </c>
      <c r="C134" t="s">
        <v>262</v>
      </c>
      <c r="D134">
        <v>0.20789867840000001</v>
      </c>
      <c r="E134" t="s">
        <v>818</v>
      </c>
      <c r="F134">
        <v>2023</v>
      </c>
      <c r="G134" t="str">
        <f>TRIM(RIGHT(Table156[[#This Row],[Item-Codigo]], LEN(Table156[[#This Row],[Item-Codigo]]) - FIND("|", CONCATENATE(B134), FIND("|", CONCATENATE(B134)) + 1)))</f>
        <v>UND</v>
      </c>
      <c r="H13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0202-ME</v>
      </c>
      <c r="I134" s="40" t="s">
        <v>479</v>
      </c>
      <c r="J13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0.20789867840000001</v>
      </c>
      <c r="K134" t="s">
        <v>128</v>
      </c>
    </row>
    <row r="135" spans="1:11" x14ac:dyDescent="0.35">
      <c r="A135" t="s">
        <v>256</v>
      </c>
      <c r="B135" t="s">
        <v>294</v>
      </c>
      <c r="C135" t="s">
        <v>262</v>
      </c>
      <c r="D135">
        <v>0.19789743579999999</v>
      </c>
      <c r="E135" t="s">
        <v>818</v>
      </c>
      <c r="F135">
        <v>2023</v>
      </c>
      <c r="G135" t="str">
        <f>TRIM(RIGHT(Table156[[#This Row],[Item-Codigo]], LEN(Table156[[#This Row],[Item-Codigo]]) - FIND("|", CONCATENATE(B135), FIND("|", CONCATENATE(B135)) + 1)))</f>
        <v>UND</v>
      </c>
      <c r="H13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0111-ME</v>
      </c>
      <c r="I135" s="40" t="s">
        <v>472</v>
      </c>
      <c r="J13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0.19789743579999999</v>
      </c>
      <c r="K135" t="s">
        <v>125</v>
      </c>
    </row>
    <row r="136" spans="1:11" x14ac:dyDescent="0.35">
      <c r="A136" t="s">
        <v>256</v>
      </c>
      <c r="B136" t="s">
        <v>295</v>
      </c>
      <c r="C136" t="s">
        <v>262</v>
      </c>
      <c r="D136">
        <v>0.221</v>
      </c>
      <c r="E136" t="s">
        <v>818</v>
      </c>
      <c r="F136">
        <v>2023</v>
      </c>
      <c r="G136" t="str">
        <f>TRIM(RIGHT(Table156[[#This Row],[Item-Codigo]], LEN(Table156[[#This Row],[Item-Codigo]]) - FIND("|", CONCATENATE(B136), FIND("|", CONCATENATE(B136)) + 1)))</f>
        <v>UND</v>
      </c>
      <c r="H13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0984-ME</v>
      </c>
      <c r="I136" s="40" t="s">
        <v>485</v>
      </c>
      <c r="J13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0.221</v>
      </c>
      <c r="K136" t="s">
        <v>123</v>
      </c>
    </row>
    <row r="137" spans="1:11" x14ac:dyDescent="0.35">
      <c r="A137" t="s">
        <v>256</v>
      </c>
      <c r="B137" t="s">
        <v>296</v>
      </c>
      <c r="C137" t="s">
        <v>263</v>
      </c>
      <c r="D137">
        <v>0.22510208330000001</v>
      </c>
      <c r="E137" t="s">
        <v>818</v>
      </c>
      <c r="F137">
        <v>2023</v>
      </c>
      <c r="G137" t="str">
        <f>TRIM(RIGHT(Table156[[#This Row],[Item-Codigo]], LEN(Table156[[#This Row],[Item-Codigo]]) - FIND("|", CONCATENATE(B137), FIND("|", CONCATENATE(B137)) + 1)))</f>
        <v>UND</v>
      </c>
      <c r="H13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1018-ME</v>
      </c>
      <c r="I137" s="40" t="s">
        <v>496</v>
      </c>
      <c r="J13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0.22510208330000001</v>
      </c>
      <c r="K137" t="s">
        <v>109</v>
      </c>
    </row>
    <row r="138" spans="1:11" x14ac:dyDescent="0.35">
      <c r="A138" t="s">
        <v>256</v>
      </c>
      <c r="B138" t="s">
        <v>297</v>
      </c>
      <c r="C138" t="s">
        <v>263</v>
      </c>
      <c r="D138">
        <v>0.22510047950000001</v>
      </c>
      <c r="E138" t="s">
        <v>818</v>
      </c>
      <c r="F138">
        <v>2023</v>
      </c>
      <c r="G138" t="str">
        <f>TRIM(RIGHT(Table156[[#This Row],[Item-Codigo]], LEN(Table156[[#This Row],[Item-Codigo]]) - FIND("|", CONCATENATE(B138), FIND("|", CONCATENATE(B138)) + 1)))</f>
        <v>UND</v>
      </c>
      <c r="H13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0982-ME</v>
      </c>
      <c r="I138" s="40" t="s">
        <v>483</v>
      </c>
      <c r="J13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0.22510047950000001</v>
      </c>
      <c r="K138" t="s">
        <v>114</v>
      </c>
    </row>
    <row r="139" spans="1:11" x14ac:dyDescent="0.35">
      <c r="A139" t="s">
        <v>256</v>
      </c>
      <c r="B139" t="s">
        <v>298</v>
      </c>
      <c r="C139" t="s">
        <v>263</v>
      </c>
      <c r="D139">
        <v>0.22509983384999999</v>
      </c>
      <c r="E139" t="s">
        <v>818</v>
      </c>
      <c r="F139">
        <v>2023</v>
      </c>
      <c r="G139" t="str">
        <f>TRIM(RIGHT(Table156[[#This Row],[Item-Codigo]], LEN(Table156[[#This Row],[Item-Codigo]]) - FIND("|", CONCATENATE(B139), FIND("|", CONCATENATE(B139)) + 1)))</f>
        <v>UND</v>
      </c>
      <c r="H13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1019-ME</v>
      </c>
      <c r="I139" s="40" t="s">
        <v>497</v>
      </c>
      <c r="J13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0.22509983384999999</v>
      </c>
      <c r="K139" t="s">
        <v>111</v>
      </c>
    </row>
    <row r="140" spans="1:11" x14ac:dyDescent="0.35">
      <c r="A140" t="s">
        <v>256</v>
      </c>
      <c r="B140" t="s">
        <v>299</v>
      </c>
      <c r="C140" t="s">
        <v>263</v>
      </c>
      <c r="D140">
        <v>0.22509917530000001</v>
      </c>
      <c r="E140" t="s">
        <v>818</v>
      </c>
      <c r="F140">
        <v>2023</v>
      </c>
      <c r="G140" t="str">
        <f>TRIM(RIGHT(Table156[[#This Row],[Item-Codigo]], LEN(Table156[[#This Row],[Item-Codigo]]) - FIND("|", CONCATENATE(B140), FIND("|", CONCATENATE(B140)) + 1)))</f>
        <v>UND</v>
      </c>
      <c r="H14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0112-ME</v>
      </c>
      <c r="I140" s="40" t="s">
        <v>473</v>
      </c>
      <c r="J14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0.22509917530000001</v>
      </c>
      <c r="K140" t="s">
        <v>124</v>
      </c>
    </row>
    <row r="141" spans="1:11" x14ac:dyDescent="0.35">
      <c r="A141" t="s">
        <v>256</v>
      </c>
      <c r="B141" t="s">
        <v>300</v>
      </c>
      <c r="C141" t="s">
        <v>262</v>
      </c>
      <c r="D141">
        <v>0.221</v>
      </c>
      <c r="E141" t="s">
        <v>818</v>
      </c>
      <c r="F141">
        <v>2023</v>
      </c>
      <c r="G141" t="str">
        <f>TRIM(RIGHT(Table156[[#This Row],[Item-Codigo]], LEN(Table156[[#This Row],[Item-Codigo]]) - FIND("|", CONCATENATE(B141), FIND("|", CONCATENATE(B141)) + 1)))</f>
        <v>UND</v>
      </c>
      <c r="H14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0751-ME</v>
      </c>
      <c r="I141" s="40" t="s">
        <v>480</v>
      </c>
      <c r="J14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0.221</v>
      </c>
      <c r="K141" t="s">
        <v>110</v>
      </c>
    </row>
    <row r="142" spans="1:11" x14ac:dyDescent="0.35">
      <c r="A142" t="s">
        <v>256</v>
      </c>
      <c r="B142" t="s">
        <v>301</v>
      </c>
      <c r="C142" t="s">
        <v>262</v>
      </c>
      <c r="D142">
        <v>0.22970002950000001</v>
      </c>
      <c r="E142" t="s">
        <v>818</v>
      </c>
      <c r="F142">
        <v>2023</v>
      </c>
      <c r="G142" t="str">
        <f>TRIM(RIGHT(Table156[[#This Row],[Item-Codigo]], LEN(Table156[[#This Row],[Item-Codigo]]) - FIND("|", CONCATENATE(B142), FIND("|", CONCATENATE(B142)) + 1)))</f>
        <v>UND</v>
      </c>
      <c r="H14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0171-ME</v>
      </c>
      <c r="I142" s="40" t="s">
        <v>476</v>
      </c>
      <c r="J14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0.22970002950000001</v>
      </c>
      <c r="K142" t="s">
        <v>107</v>
      </c>
    </row>
    <row r="143" spans="1:11" x14ac:dyDescent="0.35">
      <c r="A143" t="s">
        <v>302</v>
      </c>
      <c r="B143" t="s">
        <v>895</v>
      </c>
      <c r="C143" t="s">
        <v>329</v>
      </c>
      <c r="D143">
        <v>0.81499999999999995</v>
      </c>
      <c r="E143" t="s">
        <v>818</v>
      </c>
      <c r="F143">
        <v>2023</v>
      </c>
      <c r="G143" t="str">
        <f>TRIM(RIGHT(Table156[[#This Row],[Item-Codigo]], LEN(Table156[[#This Row],[Item-Codigo]]) - FIND("|", CONCATENATE(B143), FIND("|", CONCATENATE(B143)) + 1)))</f>
        <v>KG</v>
      </c>
      <c r="H14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720</v>
      </c>
      <c r="I143" s="40">
        <v>720</v>
      </c>
      <c r="J14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815</v>
      </c>
      <c r="K143" t="s">
        <v>1077</v>
      </c>
    </row>
    <row r="144" spans="1:11" x14ac:dyDescent="0.35">
      <c r="A144" t="s">
        <v>302</v>
      </c>
      <c r="B144" t="s">
        <v>896</v>
      </c>
      <c r="C144" t="s">
        <v>897</v>
      </c>
      <c r="D144">
        <v>2980</v>
      </c>
      <c r="E144" t="s">
        <v>818</v>
      </c>
      <c r="F144">
        <v>2023</v>
      </c>
      <c r="G144" t="str">
        <f>TRIM(RIGHT(Table156[[#This Row],[Item-Codigo]], LEN(Table156[[#This Row],[Item-Codigo]]) - FIND("|", CONCATENATE(B144), FIND("|", CONCATENATE(B144)) + 1)))</f>
        <v>TM</v>
      </c>
      <c r="H14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167.16</v>
      </c>
      <c r="I144" s="40" t="s">
        <v>526</v>
      </c>
      <c r="J14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2980</v>
      </c>
      <c r="K144" t="s">
        <v>458</v>
      </c>
    </row>
    <row r="145" spans="1:11" x14ac:dyDescent="0.35">
      <c r="A145" t="s">
        <v>305</v>
      </c>
      <c r="B145" t="s">
        <v>306</v>
      </c>
      <c r="C145" t="s">
        <v>307</v>
      </c>
      <c r="D145">
        <v>5.6</v>
      </c>
      <c r="E145" t="s">
        <v>818</v>
      </c>
      <c r="F145">
        <v>2023</v>
      </c>
      <c r="G145" t="str">
        <f>TRIM(RIGHT(Table156[[#This Row],[Item-Codigo]], LEN(Table156[[#This Row],[Item-Codigo]]) - FIND("|", CONCATENATE(B145), FIND("|", CONCATENATE(B145)) + 1)))</f>
        <v>KG</v>
      </c>
      <c r="H14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732</v>
      </c>
      <c r="I145" s="40">
        <v>732</v>
      </c>
      <c r="J14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145" t="s">
        <v>1227</v>
      </c>
    </row>
    <row r="146" spans="1:11" x14ac:dyDescent="0.35">
      <c r="A146" t="s">
        <v>305</v>
      </c>
      <c r="B146" t="s">
        <v>310</v>
      </c>
      <c r="C146" t="s">
        <v>311</v>
      </c>
      <c r="D146">
        <v>1.92</v>
      </c>
      <c r="E146" t="s">
        <v>818</v>
      </c>
      <c r="F146">
        <v>2023</v>
      </c>
      <c r="G146" t="str">
        <f>TRIM(RIGHT(Table156[[#This Row],[Item-Codigo]], LEN(Table156[[#This Row],[Item-Codigo]]) - FIND("|", CONCATENATE(B146), FIND("|", CONCATENATE(B146)) + 1)))</f>
        <v>KG</v>
      </c>
      <c r="H14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1010</v>
      </c>
      <c r="I146" s="40">
        <v>1010</v>
      </c>
      <c r="J14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1920</v>
      </c>
      <c r="K146" t="s">
        <v>68</v>
      </c>
    </row>
    <row r="147" spans="1:11" x14ac:dyDescent="0.35">
      <c r="A147" t="s">
        <v>305</v>
      </c>
      <c r="B147" t="s">
        <v>312</v>
      </c>
      <c r="C147" t="s">
        <v>377</v>
      </c>
      <c r="D147">
        <v>7.95</v>
      </c>
      <c r="E147" t="s">
        <v>818</v>
      </c>
      <c r="F147">
        <v>2023</v>
      </c>
      <c r="G147" t="str">
        <f>TRIM(RIGHT(Table156[[#This Row],[Item-Codigo]], LEN(Table156[[#This Row],[Item-Codigo]]) - FIND("|", CONCATENATE(B147), FIND("|", CONCATENATE(B147)) + 1)))</f>
        <v>KG</v>
      </c>
      <c r="H14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317</v>
      </c>
      <c r="I147" s="40">
        <v>317</v>
      </c>
      <c r="J14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7950</v>
      </c>
      <c r="K147" t="s">
        <v>69</v>
      </c>
    </row>
    <row r="148" spans="1:11" x14ac:dyDescent="0.35">
      <c r="A148" t="s">
        <v>305</v>
      </c>
      <c r="B148" t="s">
        <v>316</v>
      </c>
      <c r="C148" t="s">
        <v>327</v>
      </c>
      <c r="D148">
        <v>75</v>
      </c>
      <c r="E148" t="s">
        <v>818</v>
      </c>
      <c r="F148">
        <v>2023</v>
      </c>
      <c r="G148" t="str">
        <f>TRIM(RIGHT(Table156[[#This Row],[Item-Codigo]], LEN(Table156[[#This Row],[Item-Codigo]]) - FIND("|", CONCATENATE(B148), FIND("|", CONCATENATE(B148)) + 1)))</f>
        <v>KG</v>
      </c>
      <c r="H14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929</v>
      </c>
      <c r="I148" s="40">
        <v>929</v>
      </c>
      <c r="J14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75000</v>
      </c>
      <c r="K148" t="s">
        <v>71</v>
      </c>
    </row>
    <row r="149" spans="1:11" x14ac:dyDescent="0.35">
      <c r="A149" t="s">
        <v>305</v>
      </c>
      <c r="B149" t="s">
        <v>318</v>
      </c>
      <c r="C149" t="s">
        <v>319</v>
      </c>
      <c r="D149">
        <v>6.1</v>
      </c>
      <c r="E149" t="s">
        <v>818</v>
      </c>
      <c r="F149">
        <v>2023</v>
      </c>
      <c r="G149" t="str">
        <f>TRIM(RIGHT(Table156[[#This Row],[Item-Codigo]], LEN(Table156[[#This Row],[Item-Codigo]]) - FIND("|", CONCATENATE(B149), FIND("|", CONCATENATE(B149)) + 1)))</f>
        <v>KG</v>
      </c>
      <c r="H14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900</v>
      </c>
      <c r="I149" s="40">
        <v>900</v>
      </c>
      <c r="J14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6100</v>
      </c>
      <c r="K149" t="s">
        <v>72</v>
      </c>
    </row>
    <row r="150" spans="1:11" x14ac:dyDescent="0.35">
      <c r="A150" t="s">
        <v>305</v>
      </c>
      <c r="B150" t="s">
        <v>320</v>
      </c>
      <c r="C150" t="s">
        <v>321</v>
      </c>
      <c r="D150">
        <v>8.75</v>
      </c>
      <c r="E150" t="s">
        <v>818</v>
      </c>
      <c r="F150">
        <v>2023</v>
      </c>
      <c r="G150" t="str">
        <f>TRIM(RIGHT(Table156[[#This Row],[Item-Codigo]], LEN(Table156[[#This Row],[Item-Codigo]]) - FIND("|", CONCATENATE(B150), FIND("|", CONCATENATE(B150)) + 1)))</f>
        <v>KG</v>
      </c>
      <c r="H15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1009</v>
      </c>
      <c r="I150" s="40">
        <v>1009</v>
      </c>
      <c r="J15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8750</v>
      </c>
      <c r="K150" t="s">
        <v>73</v>
      </c>
    </row>
    <row r="151" spans="1:11" x14ac:dyDescent="0.35">
      <c r="A151" t="s">
        <v>305</v>
      </c>
      <c r="B151" t="s">
        <v>325</v>
      </c>
      <c r="C151" t="s">
        <v>319</v>
      </c>
      <c r="D151">
        <v>5.6</v>
      </c>
      <c r="E151" t="s">
        <v>818</v>
      </c>
      <c r="F151">
        <v>2023</v>
      </c>
      <c r="G151" t="str">
        <f>TRIM(RIGHT(Table156[[#This Row],[Item-Codigo]], LEN(Table156[[#This Row],[Item-Codigo]]) - FIND("|", CONCATENATE(B151), FIND("|", CONCATENATE(B151)) + 1)))</f>
        <v>KG</v>
      </c>
      <c r="H15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1045</v>
      </c>
      <c r="I151" s="40">
        <v>1045</v>
      </c>
      <c r="J15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151" t="s">
        <v>76</v>
      </c>
    </row>
    <row r="152" spans="1:11" x14ac:dyDescent="0.35">
      <c r="A152" t="s">
        <v>305</v>
      </c>
      <c r="B152" t="s">
        <v>326</v>
      </c>
      <c r="C152" t="s">
        <v>327</v>
      </c>
      <c r="D152">
        <v>5.85</v>
      </c>
      <c r="E152" t="s">
        <v>818</v>
      </c>
      <c r="F152">
        <v>2023</v>
      </c>
      <c r="G152" t="str">
        <f>TRIM(RIGHT(Table156[[#This Row],[Item-Codigo]], LEN(Table156[[#This Row],[Item-Codigo]]) - FIND("|", CONCATENATE(B152), FIND("|", CONCATENATE(B152)) + 1)))</f>
        <v>KG</v>
      </c>
      <c r="H15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470.5</v>
      </c>
      <c r="I152" s="40" t="s">
        <v>536</v>
      </c>
      <c r="J15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5850</v>
      </c>
      <c r="K152" t="s">
        <v>77</v>
      </c>
    </row>
    <row r="153" spans="1:11" x14ac:dyDescent="0.35">
      <c r="A153" t="s">
        <v>305</v>
      </c>
      <c r="B153" t="s">
        <v>902</v>
      </c>
      <c r="C153" t="s">
        <v>903</v>
      </c>
      <c r="D153">
        <v>1.28</v>
      </c>
      <c r="E153" t="s">
        <v>818</v>
      </c>
      <c r="F153">
        <v>2023</v>
      </c>
      <c r="G153" t="str">
        <f>TRIM(RIGHT(Table156[[#This Row],[Item-Codigo]], LEN(Table156[[#This Row],[Item-Codigo]]) - FIND("|", CONCATENATE(B153), FIND("|", CONCATENATE(B153)) + 1)))</f>
        <v>KG</v>
      </c>
      <c r="H15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743</v>
      </c>
      <c r="I153" s="40">
        <v>743</v>
      </c>
      <c r="J15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1280</v>
      </c>
      <c r="K153" t="s">
        <v>79</v>
      </c>
    </row>
    <row r="154" spans="1:11" x14ac:dyDescent="0.35">
      <c r="A154" t="s">
        <v>305</v>
      </c>
      <c r="B154" t="s">
        <v>335</v>
      </c>
      <c r="C154" t="s">
        <v>309</v>
      </c>
      <c r="D154">
        <v>1.6</v>
      </c>
      <c r="E154" t="s">
        <v>818</v>
      </c>
      <c r="F154">
        <v>2023</v>
      </c>
      <c r="G154" t="str">
        <f>TRIM(RIGHT(Table156[[#This Row],[Item-Codigo]], LEN(Table156[[#This Row],[Item-Codigo]]) - FIND("|", CONCATENATE(B154), FIND("|", CONCATENATE(B154)) + 1)))</f>
        <v>KG</v>
      </c>
      <c r="H15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131.3</v>
      </c>
      <c r="I154" s="40" t="s">
        <v>523</v>
      </c>
      <c r="J15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1600</v>
      </c>
      <c r="K154" t="s">
        <v>83</v>
      </c>
    </row>
    <row r="155" spans="1:11" x14ac:dyDescent="0.35">
      <c r="A155" t="s">
        <v>305</v>
      </c>
      <c r="B155" t="s">
        <v>336</v>
      </c>
      <c r="C155" t="s">
        <v>327</v>
      </c>
      <c r="D155">
        <v>5</v>
      </c>
      <c r="E155" t="s">
        <v>818</v>
      </c>
      <c r="F155">
        <v>2023</v>
      </c>
      <c r="G155" t="str">
        <f>TRIM(RIGHT(Table156[[#This Row],[Item-Codigo]], LEN(Table156[[#This Row],[Item-Codigo]]) - FIND("|", CONCATENATE(B155), FIND("|", CONCATENATE(B155)) + 1)))</f>
        <v>KG</v>
      </c>
      <c r="H15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340.1</v>
      </c>
      <c r="I155" s="40" t="s">
        <v>529</v>
      </c>
      <c r="J15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5000</v>
      </c>
      <c r="K155" t="s">
        <v>84</v>
      </c>
    </row>
    <row r="156" spans="1:11" x14ac:dyDescent="0.35">
      <c r="A156" t="s">
        <v>305</v>
      </c>
      <c r="B156" t="s">
        <v>337</v>
      </c>
      <c r="C156" t="s">
        <v>307</v>
      </c>
      <c r="D156">
        <v>13.5</v>
      </c>
      <c r="E156" t="s">
        <v>818</v>
      </c>
      <c r="F156">
        <v>2023</v>
      </c>
      <c r="G156" t="str">
        <f>TRIM(RIGHT(Table156[[#This Row],[Item-Codigo]], LEN(Table156[[#This Row],[Item-Codigo]]) - FIND("|", CONCATENATE(B156), FIND("|", CONCATENATE(B156)) + 1)))</f>
        <v>KG</v>
      </c>
      <c r="H15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936</v>
      </c>
      <c r="I156" s="40">
        <v>936</v>
      </c>
      <c r="J15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13500</v>
      </c>
      <c r="K156" t="s">
        <v>85</v>
      </c>
    </row>
    <row r="157" spans="1:11" x14ac:dyDescent="0.35">
      <c r="A157" t="s">
        <v>305</v>
      </c>
      <c r="B157" t="s">
        <v>338</v>
      </c>
      <c r="C157" t="s">
        <v>307</v>
      </c>
      <c r="D157">
        <v>11</v>
      </c>
      <c r="E157" t="s">
        <v>818</v>
      </c>
      <c r="F157">
        <v>2023</v>
      </c>
      <c r="G157" t="str">
        <f>TRIM(RIGHT(Table156[[#This Row],[Item-Codigo]], LEN(Table156[[#This Row],[Item-Codigo]]) - FIND("|", CONCATENATE(B157), FIND("|", CONCATENATE(B157)) + 1)))</f>
        <v>KG</v>
      </c>
      <c r="H15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937</v>
      </c>
      <c r="I157" s="40">
        <v>937</v>
      </c>
      <c r="J15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11000</v>
      </c>
      <c r="K157" t="s">
        <v>86</v>
      </c>
    </row>
    <row r="158" spans="1:11" x14ac:dyDescent="0.35">
      <c r="A158" t="s">
        <v>305</v>
      </c>
      <c r="B158" t="s">
        <v>340</v>
      </c>
      <c r="C158" t="s">
        <v>327</v>
      </c>
      <c r="D158">
        <v>11.25</v>
      </c>
      <c r="E158" t="s">
        <v>818</v>
      </c>
      <c r="F158">
        <v>2023</v>
      </c>
      <c r="G158" t="str">
        <f>TRIM(RIGHT(Table156[[#This Row],[Item-Codigo]], LEN(Table156[[#This Row],[Item-Codigo]]) - FIND("|", CONCATENATE(B158), FIND("|", CONCATENATE(B158)) + 1)))</f>
        <v>KG</v>
      </c>
      <c r="H15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877</v>
      </c>
      <c r="I158" s="40">
        <v>877</v>
      </c>
      <c r="J15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11250</v>
      </c>
      <c r="K158" t="s">
        <v>1074</v>
      </c>
    </row>
    <row r="159" spans="1:11" x14ac:dyDescent="0.35">
      <c r="A159" t="s">
        <v>305</v>
      </c>
      <c r="B159" t="s">
        <v>341</v>
      </c>
      <c r="C159" t="s">
        <v>385</v>
      </c>
      <c r="D159">
        <v>0.56000000000000005</v>
      </c>
      <c r="E159" t="s">
        <v>818</v>
      </c>
      <c r="F159">
        <v>2023</v>
      </c>
      <c r="G159" t="str">
        <f>TRIM(RIGHT(Table156[[#This Row],[Item-Codigo]], LEN(Table156[[#This Row],[Item-Codigo]]) - FIND("|", CONCATENATE(B159), FIND("|", CONCATENATE(B159)) + 1)))</f>
        <v>KG</v>
      </c>
      <c r="H15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719</v>
      </c>
      <c r="I159" s="40">
        <v>719</v>
      </c>
      <c r="J15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</v>
      </c>
      <c r="K159" t="s">
        <v>1077</v>
      </c>
    </row>
    <row r="160" spans="1:11" x14ac:dyDescent="0.35">
      <c r="A160" t="s">
        <v>305</v>
      </c>
      <c r="B160" t="s">
        <v>343</v>
      </c>
      <c r="C160" t="s">
        <v>215</v>
      </c>
      <c r="D160">
        <v>440</v>
      </c>
      <c r="E160" t="s">
        <v>818</v>
      </c>
      <c r="F160">
        <v>2023</v>
      </c>
      <c r="G160" t="str">
        <f>TRIM(RIGHT(Table156[[#This Row],[Item-Codigo]], LEN(Table156[[#This Row],[Item-Codigo]]) - FIND("|", CONCATENATE(B160), FIND("|", CONCATENATE(B160)) + 1)))</f>
        <v>TM</v>
      </c>
      <c r="H16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719</v>
      </c>
      <c r="I160" s="40">
        <v>719</v>
      </c>
      <c r="J16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440</v>
      </c>
      <c r="K160" t="s">
        <v>1077</v>
      </c>
    </row>
    <row r="161" spans="1:11" x14ac:dyDescent="0.35">
      <c r="A161" t="s">
        <v>305</v>
      </c>
      <c r="B161" t="s">
        <v>344</v>
      </c>
      <c r="C161" t="s">
        <v>345</v>
      </c>
      <c r="D161">
        <v>95</v>
      </c>
      <c r="E161" t="s">
        <v>818</v>
      </c>
      <c r="F161">
        <v>2023</v>
      </c>
      <c r="G161" t="str">
        <f>TRIM(RIGHT(Table156[[#This Row],[Item-Codigo]], LEN(Table156[[#This Row],[Item-Codigo]]) - FIND("|", CONCATENATE(B161), FIND("|", CONCATENATE(B161)) + 1)))</f>
        <v>KG</v>
      </c>
      <c r="H16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912.5</v>
      </c>
      <c r="I161" s="40" t="s">
        <v>555</v>
      </c>
      <c r="J16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95000</v>
      </c>
      <c r="K161" t="s">
        <v>90</v>
      </c>
    </row>
    <row r="162" spans="1:11" x14ac:dyDescent="0.35">
      <c r="A162" t="s">
        <v>305</v>
      </c>
      <c r="B162" t="s">
        <v>346</v>
      </c>
      <c r="C162" t="s">
        <v>327</v>
      </c>
      <c r="D162">
        <v>9</v>
      </c>
      <c r="E162" t="s">
        <v>818</v>
      </c>
      <c r="F162">
        <v>2023</v>
      </c>
      <c r="G162" t="str">
        <f>TRIM(RIGHT(Table156[[#This Row],[Item-Codigo]], LEN(Table156[[#This Row],[Item-Codigo]]) - FIND("|", CONCATENATE(B162), FIND("|", CONCATENATE(B162)) + 1)))</f>
        <v>KG</v>
      </c>
      <c r="H16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492.12</v>
      </c>
      <c r="I162" s="40" t="s">
        <v>539</v>
      </c>
      <c r="J16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162" t="s">
        <v>91</v>
      </c>
    </row>
    <row r="163" spans="1:11" x14ac:dyDescent="0.35">
      <c r="A163" t="s">
        <v>305</v>
      </c>
      <c r="B163" t="s">
        <v>347</v>
      </c>
      <c r="C163" t="s">
        <v>348</v>
      </c>
      <c r="D163">
        <v>19</v>
      </c>
      <c r="E163" t="s">
        <v>818</v>
      </c>
      <c r="F163">
        <v>2023</v>
      </c>
      <c r="G163" t="str">
        <f>TRIM(RIGHT(Table156[[#This Row],[Item-Codigo]], LEN(Table156[[#This Row],[Item-Codigo]]) - FIND("|", CONCATENATE(B163), FIND("|", CONCATENATE(B163)) + 1)))</f>
        <v>KG</v>
      </c>
      <c r="H16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550</v>
      </c>
      <c r="I163" s="40">
        <v>550</v>
      </c>
      <c r="J16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19000</v>
      </c>
      <c r="K163" t="s">
        <v>92</v>
      </c>
    </row>
    <row r="164" spans="1:11" x14ac:dyDescent="0.35">
      <c r="A164" t="s">
        <v>305</v>
      </c>
      <c r="B164" t="s">
        <v>349</v>
      </c>
      <c r="C164" t="s">
        <v>235</v>
      </c>
      <c r="D164">
        <v>2.9</v>
      </c>
      <c r="E164" t="s">
        <v>818</v>
      </c>
      <c r="F164">
        <v>2023</v>
      </c>
      <c r="G164" t="str">
        <f>TRIM(RIGHT(Table156[[#This Row],[Item-Codigo]], LEN(Table156[[#This Row],[Item-Codigo]]) - FIND("|", CONCATENATE(B164), FIND("|", CONCATENATE(B164)) + 1)))</f>
        <v>KG</v>
      </c>
      <c r="H16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160</v>
      </c>
      <c r="I164" s="40">
        <v>160</v>
      </c>
      <c r="J16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2900</v>
      </c>
      <c r="K164" t="s">
        <v>175</v>
      </c>
    </row>
    <row r="165" spans="1:11" x14ac:dyDescent="0.35">
      <c r="A165" t="s">
        <v>305</v>
      </c>
      <c r="B165" t="s">
        <v>350</v>
      </c>
      <c r="C165" t="s">
        <v>351</v>
      </c>
      <c r="D165">
        <v>1.75</v>
      </c>
      <c r="E165" t="s">
        <v>818</v>
      </c>
      <c r="F165">
        <v>2023</v>
      </c>
      <c r="G165" t="str">
        <f>TRIM(RIGHT(Table156[[#This Row],[Item-Codigo]], LEN(Table156[[#This Row],[Item-Codigo]]) - FIND("|", CONCATENATE(B165), FIND("|", CONCATENATE(B165)) + 1)))</f>
        <v>KG</v>
      </c>
      <c r="H16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173</v>
      </c>
      <c r="I165" s="40">
        <v>173</v>
      </c>
      <c r="J16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1750</v>
      </c>
      <c r="K165" t="s">
        <v>138</v>
      </c>
    </row>
    <row r="166" spans="1:11" x14ac:dyDescent="0.35">
      <c r="A166" t="s">
        <v>305</v>
      </c>
      <c r="B166" t="s">
        <v>352</v>
      </c>
      <c r="C166" t="s">
        <v>353</v>
      </c>
      <c r="D166">
        <v>9.35</v>
      </c>
      <c r="E166" t="s">
        <v>818</v>
      </c>
      <c r="F166">
        <v>2023</v>
      </c>
      <c r="G166" t="str">
        <f>TRIM(RIGHT(Table156[[#This Row],[Item-Codigo]], LEN(Table156[[#This Row],[Item-Codigo]]) - FIND("|", CONCATENATE(B166), FIND("|", CONCATENATE(B166)) + 1)))</f>
        <v>KG</v>
      </c>
      <c r="H16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742</v>
      </c>
      <c r="I166" s="40">
        <v>742</v>
      </c>
      <c r="J16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9350</v>
      </c>
      <c r="K166" t="s">
        <v>147</v>
      </c>
    </row>
    <row r="167" spans="1:11" x14ac:dyDescent="0.35">
      <c r="A167" t="s">
        <v>305</v>
      </c>
      <c r="B167" t="s">
        <v>354</v>
      </c>
      <c r="C167" t="s">
        <v>353</v>
      </c>
      <c r="D167">
        <v>9.24</v>
      </c>
      <c r="E167" t="s">
        <v>818</v>
      </c>
      <c r="F167">
        <v>2023</v>
      </c>
      <c r="G167" t="str">
        <f>TRIM(RIGHT(Table156[[#This Row],[Item-Codigo]], LEN(Table156[[#This Row],[Item-Codigo]]) - FIND("|", CONCATENATE(B167), FIND("|", CONCATENATE(B167)) + 1)))</f>
        <v>KG</v>
      </c>
      <c r="H16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741</v>
      </c>
      <c r="I167" s="40">
        <v>741</v>
      </c>
      <c r="J16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9240</v>
      </c>
      <c r="K167" t="s">
        <v>146</v>
      </c>
    </row>
    <row r="168" spans="1:11" x14ac:dyDescent="0.35">
      <c r="A168" t="s">
        <v>305</v>
      </c>
      <c r="B168" t="s">
        <v>355</v>
      </c>
      <c r="C168" t="s">
        <v>353</v>
      </c>
      <c r="D168">
        <v>8.85</v>
      </c>
      <c r="E168" t="s">
        <v>818</v>
      </c>
      <c r="F168">
        <v>2023</v>
      </c>
      <c r="G168" t="str">
        <f>TRIM(RIGHT(Table156[[#This Row],[Item-Codigo]], LEN(Table156[[#This Row],[Item-Codigo]]) - FIND("|", CONCATENATE(B168), FIND("|", CONCATENATE(B168)) + 1)))</f>
        <v>KG</v>
      </c>
      <c r="H16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740</v>
      </c>
      <c r="I168" s="40">
        <v>740</v>
      </c>
      <c r="J16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8850</v>
      </c>
      <c r="K168" t="s">
        <v>143</v>
      </c>
    </row>
    <row r="169" spans="1:11" x14ac:dyDescent="0.35">
      <c r="A169" t="s">
        <v>305</v>
      </c>
      <c r="B169" t="s">
        <v>356</v>
      </c>
      <c r="C169" t="s">
        <v>357</v>
      </c>
      <c r="D169">
        <v>6.6</v>
      </c>
      <c r="E169" t="s">
        <v>818</v>
      </c>
      <c r="F169">
        <v>2023</v>
      </c>
      <c r="G169" t="str">
        <f>TRIM(RIGHT(Table156[[#This Row],[Item-Codigo]], LEN(Table156[[#This Row],[Item-Codigo]]) - FIND("|", CONCATENATE(B169), FIND("|", CONCATENATE(B169)) + 1)))</f>
        <v>KG</v>
      </c>
      <c r="H16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1016</v>
      </c>
      <c r="I169" s="40">
        <v>1016</v>
      </c>
      <c r="J16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6600</v>
      </c>
      <c r="K169" t="s">
        <v>177</v>
      </c>
    </row>
    <row r="170" spans="1:11" x14ac:dyDescent="0.35">
      <c r="A170" t="s">
        <v>305</v>
      </c>
      <c r="B170" t="s">
        <v>362</v>
      </c>
      <c r="C170" t="s">
        <v>363</v>
      </c>
      <c r="D170">
        <v>1.3148</v>
      </c>
      <c r="E170" t="s">
        <v>818</v>
      </c>
      <c r="F170">
        <v>2023</v>
      </c>
      <c r="G170" t="str">
        <f>TRIM(RIGHT(Table156[[#This Row],[Item-Codigo]], LEN(Table156[[#This Row],[Item-Codigo]]) - FIND("|", CONCATENATE(B170), FIND("|", CONCATENATE(B170)) + 1)))</f>
        <v>KG</v>
      </c>
      <c r="H17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439</v>
      </c>
      <c r="I170" s="40">
        <v>439</v>
      </c>
      <c r="J17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1314.8</v>
      </c>
      <c r="K170" t="s">
        <v>137</v>
      </c>
    </row>
    <row r="171" spans="1:11" x14ac:dyDescent="0.35">
      <c r="A171" t="s">
        <v>305</v>
      </c>
      <c r="B171" t="s">
        <v>364</v>
      </c>
      <c r="C171" t="s">
        <v>365</v>
      </c>
      <c r="D171">
        <v>1.43</v>
      </c>
      <c r="E171" t="s">
        <v>818</v>
      </c>
      <c r="F171">
        <v>2023</v>
      </c>
      <c r="G171" t="str">
        <f>TRIM(RIGHT(Table156[[#This Row],[Item-Codigo]], LEN(Table156[[#This Row],[Item-Codigo]]) - FIND("|", CONCATENATE(B171), FIND("|", CONCATENATE(B171)) + 1)))</f>
        <v>KG</v>
      </c>
      <c r="H17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488.1</v>
      </c>
      <c r="I171" s="40" t="s">
        <v>538</v>
      </c>
      <c r="J17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1430</v>
      </c>
      <c r="K171" t="s">
        <v>149</v>
      </c>
    </row>
    <row r="172" spans="1:11" x14ac:dyDescent="0.35">
      <c r="A172" t="s">
        <v>305</v>
      </c>
      <c r="B172" t="s">
        <v>913</v>
      </c>
      <c r="C172" t="s">
        <v>365</v>
      </c>
      <c r="D172">
        <v>3.57</v>
      </c>
      <c r="E172" t="s">
        <v>818</v>
      </c>
      <c r="F172">
        <v>2023</v>
      </c>
      <c r="G172" t="str">
        <f>TRIM(RIGHT(Table156[[#This Row],[Item-Codigo]], LEN(Table156[[#This Row],[Item-Codigo]]) - FIND("|", CONCATENATE(B172), FIND("|", CONCATENATE(B172)) + 1)))</f>
        <v>KG</v>
      </c>
      <c r="H17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499.12</v>
      </c>
      <c r="I172" s="40" t="s">
        <v>544</v>
      </c>
      <c r="J17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3570</v>
      </c>
      <c r="K172" t="s">
        <v>972</v>
      </c>
    </row>
    <row r="173" spans="1:11" x14ac:dyDescent="0.35">
      <c r="A173" t="s">
        <v>305</v>
      </c>
      <c r="B173" t="s">
        <v>367</v>
      </c>
      <c r="C173" t="s">
        <v>321</v>
      </c>
      <c r="D173">
        <v>2.15</v>
      </c>
      <c r="E173" t="s">
        <v>818</v>
      </c>
      <c r="F173">
        <v>2023</v>
      </c>
      <c r="G173" t="str">
        <f>TRIM(RIGHT(Table156[[#This Row],[Item-Codigo]], LEN(Table156[[#This Row],[Item-Codigo]]) - FIND("|", CONCATENATE(B173), FIND("|", CONCATENATE(B173)) + 1)))</f>
        <v>KG</v>
      </c>
      <c r="H17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910</v>
      </c>
      <c r="I173" s="40">
        <v>910</v>
      </c>
      <c r="J17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2150</v>
      </c>
      <c r="K173" t="s">
        <v>136</v>
      </c>
    </row>
    <row r="174" spans="1:11" x14ac:dyDescent="0.35">
      <c r="A174" t="s">
        <v>305</v>
      </c>
      <c r="B174" t="s">
        <v>368</v>
      </c>
      <c r="C174" t="s">
        <v>348</v>
      </c>
      <c r="D174">
        <v>4.5</v>
      </c>
      <c r="E174" t="s">
        <v>818</v>
      </c>
      <c r="F174">
        <v>2023</v>
      </c>
      <c r="G174" t="str">
        <f>TRIM(RIGHT(Table156[[#This Row],[Item-Codigo]], LEN(Table156[[#This Row],[Item-Codigo]]) - FIND("|", CONCATENATE(B174), FIND("|", CONCATENATE(B174)) + 1)))</f>
        <v>KG</v>
      </c>
      <c r="H17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381</v>
      </c>
      <c r="I174" s="40">
        <v>381</v>
      </c>
      <c r="J17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4500</v>
      </c>
      <c r="K174" t="s">
        <v>74</v>
      </c>
    </row>
    <row r="175" spans="1:11" x14ac:dyDescent="0.35">
      <c r="A175" t="s">
        <v>305</v>
      </c>
      <c r="B175" t="s">
        <v>372</v>
      </c>
      <c r="C175" t="s">
        <v>373</v>
      </c>
      <c r="D175">
        <v>1.2</v>
      </c>
      <c r="E175" t="s">
        <v>818</v>
      </c>
      <c r="F175">
        <v>2023</v>
      </c>
      <c r="G175" t="str">
        <f>TRIM(RIGHT(Table156[[#This Row],[Item-Codigo]], LEN(Table156[[#This Row],[Item-Codigo]]) - FIND("|", CONCATENATE(B175), FIND("|", CONCATENATE(B175)) + 1)))</f>
        <v>KG</v>
      </c>
      <c r="H17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701.2</v>
      </c>
      <c r="I175" s="40" t="s">
        <v>553</v>
      </c>
      <c r="J17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1200</v>
      </c>
      <c r="K175" t="s">
        <v>140</v>
      </c>
    </row>
    <row r="176" spans="1:11" x14ac:dyDescent="0.35">
      <c r="A176" t="s">
        <v>305</v>
      </c>
      <c r="B176" t="s">
        <v>374</v>
      </c>
      <c r="C176" t="s">
        <v>317</v>
      </c>
      <c r="D176">
        <v>15.9</v>
      </c>
      <c r="E176" t="s">
        <v>818</v>
      </c>
      <c r="F176">
        <v>2023</v>
      </c>
      <c r="G176" t="str">
        <f>TRIM(RIGHT(Table156[[#This Row],[Item-Codigo]], LEN(Table156[[#This Row],[Item-Codigo]]) - FIND("|", CONCATENATE(B176), FIND("|", CONCATENATE(B176)) + 1)))</f>
        <v>KG</v>
      </c>
      <c r="H17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1051</v>
      </c>
      <c r="I176" s="40">
        <v>1051</v>
      </c>
      <c r="J17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15900</v>
      </c>
      <c r="K176" t="s">
        <v>173</v>
      </c>
    </row>
    <row r="177" spans="1:11" x14ac:dyDescent="0.35">
      <c r="A177" t="s">
        <v>305</v>
      </c>
      <c r="B177" t="s">
        <v>375</v>
      </c>
      <c r="C177" t="s">
        <v>317</v>
      </c>
      <c r="D177">
        <v>6</v>
      </c>
      <c r="E177" t="s">
        <v>818</v>
      </c>
      <c r="F177">
        <v>2023</v>
      </c>
      <c r="G177" t="str">
        <f>TRIM(RIGHT(Table156[[#This Row],[Item-Codigo]], LEN(Table156[[#This Row],[Item-Codigo]]) - FIND("|", CONCATENATE(B177), FIND("|", CONCATENATE(B177)) + 1)))</f>
        <v>KG</v>
      </c>
      <c r="H17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945</v>
      </c>
      <c r="I177" s="40">
        <v>945</v>
      </c>
      <c r="J17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177" t="s">
        <v>148</v>
      </c>
    </row>
    <row r="178" spans="1:11" x14ac:dyDescent="0.35">
      <c r="A178" t="s">
        <v>305</v>
      </c>
      <c r="B178" t="s">
        <v>376</v>
      </c>
      <c r="C178" t="s">
        <v>377</v>
      </c>
      <c r="D178">
        <v>2.15</v>
      </c>
      <c r="E178" t="s">
        <v>818</v>
      </c>
      <c r="F178">
        <v>2023</v>
      </c>
      <c r="G178" t="str">
        <f>TRIM(RIGHT(Table156[[#This Row],[Item-Codigo]], LEN(Table156[[#This Row],[Item-Codigo]]) - FIND("|", CONCATENATE(B178), FIND("|", CONCATENATE(B178)) + 1)))</f>
        <v>KG</v>
      </c>
      <c r="H17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311</v>
      </c>
      <c r="I178" s="40">
        <v>311</v>
      </c>
      <c r="J17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2150</v>
      </c>
      <c r="K178" t="s">
        <v>168</v>
      </c>
    </row>
    <row r="179" spans="1:11" x14ac:dyDescent="0.35">
      <c r="A179" t="s">
        <v>305</v>
      </c>
      <c r="B179" t="s">
        <v>378</v>
      </c>
      <c r="C179" t="s">
        <v>377</v>
      </c>
      <c r="D179">
        <v>2.6</v>
      </c>
      <c r="E179" t="s">
        <v>818</v>
      </c>
      <c r="F179">
        <v>2023</v>
      </c>
      <c r="G179" t="str">
        <f>TRIM(RIGHT(Table156[[#This Row],[Item-Codigo]], LEN(Table156[[#This Row],[Item-Codigo]]) - FIND("|", CONCATENATE(B179), FIND("|", CONCATENATE(B179)) + 1)))</f>
        <v>KG</v>
      </c>
      <c r="H17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316</v>
      </c>
      <c r="I179" s="40">
        <v>316</v>
      </c>
      <c r="J17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2600</v>
      </c>
      <c r="K179" t="s">
        <v>165</v>
      </c>
    </row>
    <row r="180" spans="1:11" x14ac:dyDescent="0.35">
      <c r="A180" t="s">
        <v>305</v>
      </c>
      <c r="B180" t="s">
        <v>916</v>
      </c>
      <c r="C180" t="s">
        <v>377</v>
      </c>
      <c r="D180">
        <v>2.6</v>
      </c>
      <c r="E180" t="s">
        <v>818</v>
      </c>
      <c r="F180">
        <v>2023</v>
      </c>
      <c r="G180" t="str">
        <f>TRIM(RIGHT(Table156[[#This Row],[Item-Codigo]], LEN(Table156[[#This Row],[Item-Codigo]]) - FIND("|", CONCATENATE(B180), FIND("|", CONCATENATE(B180)) + 1)))</f>
        <v>KG</v>
      </c>
      <c r="H18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710</v>
      </c>
      <c r="I180" s="40">
        <v>710</v>
      </c>
      <c r="J18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2600</v>
      </c>
      <c r="K180" t="s">
        <v>571</v>
      </c>
    </row>
    <row r="181" spans="1:11" x14ac:dyDescent="0.35">
      <c r="A181" t="s">
        <v>305</v>
      </c>
      <c r="B181" t="s">
        <v>380</v>
      </c>
      <c r="C181" t="s">
        <v>381</v>
      </c>
      <c r="D181">
        <v>4.2</v>
      </c>
      <c r="E181" t="s">
        <v>818</v>
      </c>
      <c r="F181">
        <v>2023</v>
      </c>
      <c r="G181" t="str">
        <f>TRIM(RIGHT(Table156[[#This Row],[Item-Codigo]], LEN(Table156[[#This Row],[Item-Codigo]]) - FIND("|", CONCATENATE(B181), FIND("|", CONCATENATE(B181)) + 1)))</f>
        <v>KG</v>
      </c>
      <c r="H18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706</v>
      </c>
      <c r="I181" s="40">
        <v>706</v>
      </c>
      <c r="J18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4200</v>
      </c>
      <c r="K181" t="s">
        <v>156</v>
      </c>
    </row>
    <row r="182" spans="1:11" x14ac:dyDescent="0.35">
      <c r="A182" t="s">
        <v>305</v>
      </c>
      <c r="B182" t="s">
        <v>382</v>
      </c>
      <c r="C182" t="s">
        <v>327</v>
      </c>
      <c r="D182">
        <v>8</v>
      </c>
      <c r="E182" t="s">
        <v>818</v>
      </c>
      <c r="F182">
        <v>2023</v>
      </c>
      <c r="G182" t="str">
        <f>TRIM(RIGHT(Table156[[#This Row],[Item-Codigo]], LEN(Table156[[#This Row],[Item-Codigo]]) - FIND("|", CONCATENATE(B182), FIND("|", CONCATENATE(B182)) + 1)))</f>
        <v>KG</v>
      </c>
      <c r="H18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68</v>
      </c>
      <c r="I182" s="40">
        <v>68</v>
      </c>
      <c r="J18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8000</v>
      </c>
      <c r="K182" t="s">
        <v>160</v>
      </c>
    </row>
    <row r="183" spans="1:11" x14ac:dyDescent="0.35">
      <c r="A183" t="s">
        <v>305</v>
      </c>
      <c r="B183" t="s">
        <v>383</v>
      </c>
      <c r="C183" t="s">
        <v>317</v>
      </c>
      <c r="D183">
        <v>7.8</v>
      </c>
      <c r="E183" t="s">
        <v>818</v>
      </c>
      <c r="F183">
        <v>2023</v>
      </c>
      <c r="G183" t="str">
        <f>TRIM(RIGHT(Table156[[#This Row],[Item-Codigo]], LEN(Table156[[#This Row],[Item-Codigo]]) - FIND("|", CONCATENATE(B183), FIND("|", CONCATENATE(B183)) + 1)))</f>
        <v>KG</v>
      </c>
      <c r="H18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1059</v>
      </c>
      <c r="I183" s="40">
        <v>1059</v>
      </c>
      <c r="J18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7800</v>
      </c>
      <c r="K183" t="s">
        <v>151</v>
      </c>
    </row>
    <row r="184" spans="1:11" x14ac:dyDescent="0.35">
      <c r="A184" t="s">
        <v>305</v>
      </c>
      <c r="B184" t="s">
        <v>384</v>
      </c>
      <c r="C184" t="s">
        <v>385</v>
      </c>
      <c r="D184">
        <v>40</v>
      </c>
      <c r="E184" t="s">
        <v>818</v>
      </c>
      <c r="F184">
        <v>2023</v>
      </c>
      <c r="G184" t="str">
        <f>TRIM(RIGHT(Table156[[#This Row],[Item-Codigo]], LEN(Table156[[#This Row],[Item-Codigo]]) - FIND("|", CONCATENATE(B184), FIND("|", CONCATENATE(B184)) + 1)))</f>
        <v>KG</v>
      </c>
      <c r="H18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527.1</v>
      </c>
      <c r="I184" s="40" t="s">
        <v>547</v>
      </c>
      <c r="J18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40000</v>
      </c>
      <c r="K184" t="s">
        <v>1078</v>
      </c>
    </row>
    <row r="185" spans="1:11" x14ac:dyDescent="0.35">
      <c r="A185" t="s">
        <v>305</v>
      </c>
      <c r="B185" t="s">
        <v>386</v>
      </c>
      <c r="C185" t="s">
        <v>351</v>
      </c>
      <c r="D185">
        <v>5.75</v>
      </c>
      <c r="E185" t="s">
        <v>818</v>
      </c>
      <c r="F185">
        <v>2023</v>
      </c>
      <c r="G185" t="str">
        <f>TRIM(RIGHT(Table156[[#This Row],[Item-Codigo]], LEN(Table156[[#This Row],[Item-Codigo]]) - FIND("|", CONCATENATE(B185), FIND("|", CONCATENATE(B185)) + 1)))</f>
        <v>KG</v>
      </c>
      <c r="H18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110.2</v>
      </c>
      <c r="I185" s="40" t="s">
        <v>522</v>
      </c>
      <c r="J18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5750</v>
      </c>
      <c r="K185" t="s">
        <v>170</v>
      </c>
    </row>
    <row r="186" spans="1:11" x14ac:dyDescent="0.35">
      <c r="A186" t="s">
        <v>305</v>
      </c>
      <c r="B186" t="s">
        <v>388</v>
      </c>
      <c r="C186" t="s">
        <v>321</v>
      </c>
      <c r="D186">
        <v>7.4</v>
      </c>
      <c r="E186" t="s">
        <v>818</v>
      </c>
      <c r="F186">
        <v>2023</v>
      </c>
      <c r="G186" t="str">
        <f>TRIM(RIGHT(Table156[[#This Row],[Item-Codigo]], LEN(Table156[[#This Row],[Item-Codigo]]) - FIND("|", CONCATENATE(B186), FIND("|", CONCATENATE(B186)) + 1)))</f>
        <v>KG</v>
      </c>
      <c r="H18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1068</v>
      </c>
      <c r="I186" s="40">
        <v>1068</v>
      </c>
      <c r="J18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7400</v>
      </c>
      <c r="K186" t="s">
        <v>145</v>
      </c>
    </row>
    <row r="187" spans="1:11" x14ac:dyDescent="0.35">
      <c r="A187" t="s">
        <v>305</v>
      </c>
      <c r="B187" t="s">
        <v>389</v>
      </c>
      <c r="C187" t="s">
        <v>390</v>
      </c>
      <c r="D187">
        <v>1.05</v>
      </c>
      <c r="E187" t="s">
        <v>818</v>
      </c>
      <c r="F187">
        <v>2023</v>
      </c>
      <c r="G187" t="str">
        <f>TRIM(RIGHT(Table156[[#This Row],[Item-Codigo]], LEN(Table156[[#This Row],[Item-Codigo]]) - FIND("|", CONCATENATE(B187), FIND("|", CONCATENATE(B187)) + 1)))</f>
        <v>KG</v>
      </c>
      <c r="H18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806</v>
      </c>
      <c r="I187" s="40">
        <v>806</v>
      </c>
      <c r="J18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1050</v>
      </c>
      <c r="K187" t="s">
        <v>134</v>
      </c>
    </row>
    <row r="188" spans="1:11" x14ac:dyDescent="0.35">
      <c r="A188" t="s">
        <v>305</v>
      </c>
      <c r="B188" t="s">
        <v>391</v>
      </c>
      <c r="C188" t="s">
        <v>390</v>
      </c>
      <c r="D188">
        <v>2</v>
      </c>
      <c r="E188" t="s">
        <v>818</v>
      </c>
      <c r="F188">
        <v>2023</v>
      </c>
      <c r="G188" t="str">
        <f>TRIM(RIGHT(Table156[[#This Row],[Item-Codigo]], LEN(Table156[[#This Row],[Item-Codigo]]) - FIND("|", CONCATENATE(B188), FIND("|", CONCATENATE(B188)) + 1)))</f>
        <v>KG</v>
      </c>
      <c r="H18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810</v>
      </c>
      <c r="I188" s="40">
        <v>810</v>
      </c>
      <c r="J18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2000</v>
      </c>
      <c r="K188" t="s">
        <v>144</v>
      </c>
    </row>
    <row r="189" spans="1:11" x14ac:dyDescent="0.35">
      <c r="A189" t="s">
        <v>305</v>
      </c>
      <c r="B189" t="s">
        <v>392</v>
      </c>
      <c r="C189" t="s">
        <v>393</v>
      </c>
      <c r="D189">
        <v>2.8</v>
      </c>
      <c r="E189" t="s">
        <v>818</v>
      </c>
      <c r="F189">
        <v>2023</v>
      </c>
      <c r="G189" t="str">
        <f>TRIM(RIGHT(Table156[[#This Row],[Item-Codigo]], LEN(Table156[[#This Row],[Item-Codigo]]) - FIND("|", CONCATENATE(B189), FIND("|", CONCATENATE(B189)) + 1)))</f>
        <v>KG</v>
      </c>
      <c r="H18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170</v>
      </c>
      <c r="I189" s="40">
        <v>170</v>
      </c>
      <c r="J18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2800</v>
      </c>
      <c r="K189" t="s">
        <v>174</v>
      </c>
    </row>
    <row r="190" spans="1:11" x14ac:dyDescent="0.35">
      <c r="A190" t="s">
        <v>305</v>
      </c>
      <c r="B190" t="s">
        <v>394</v>
      </c>
      <c r="C190" t="s">
        <v>395</v>
      </c>
      <c r="D190">
        <v>19.75</v>
      </c>
      <c r="E190" t="s">
        <v>818</v>
      </c>
      <c r="F190">
        <v>2023</v>
      </c>
      <c r="G190" t="str">
        <f>TRIM(RIGHT(Table156[[#This Row],[Item-Codigo]], LEN(Table156[[#This Row],[Item-Codigo]]) - FIND("|", CONCATENATE(B190), FIND("|", CONCATENATE(B190)) + 1)))</f>
        <v>KG</v>
      </c>
      <c r="H19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</v>
      </c>
      <c r="I190" s="40">
        <v>70</v>
      </c>
      <c r="J19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19750</v>
      </c>
      <c r="K190" t="s">
        <v>159</v>
      </c>
    </row>
    <row r="191" spans="1:11" x14ac:dyDescent="0.35">
      <c r="A191" t="s">
        <v>305</v>
      </c>
      <c r="B191" t="s">
        <v>396</v>
      </c>
      <c r="C191" t="s">
        <v>345</v>
      </c>
      <c r="D191">
        <v>13.4</v>
      </c>
      <c r="E191" t="s">
        <v>818</v>
      </c>
      <c r="F191">
        <v>2023</v>
      </c>
      <c r="G191" t="str">
        <f>TRIM(RIGHT(Table156[[#This Row],[Item-Codigo]], LEN(Table156[[#This Row],[Item-Codigo]]) - FIND("|", CONCATENATE(B191), FIND("|", CONCATENATE(B191)) + 1)))</f>
        <v>KG</v>
      </c>
      <c r="H19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58</v>
      </c>
      <c r="I191" s="40">
        <v>58</v>
      </c>
      <c r="J19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13400</v>
      </c>
      <c r="K191" t="s">
        <v>172</v>
      </c>
    </row>
    <row r="192" spans="1:11" x14ac:dyDescent="0.35">
      <c r="A192" t="s">
        <v>305</v>
      </c>
      <c r="B192" t="s">
        <v>397</v>
      </c>
      <c r="C192" t="s">
        <v>327</v>
      </c>
      <c r="D192">
        <v>9</v>
      </c>
      <c r="E192" t="s">
        <v>818</v>
      </c>
      <c r="F192">
        <v>2023</v>
      </c>
      <c r="G192" t="str">
        <f>TRIM(RIGHT(Table156[[#This Row],[Item-Codigo]], LEN(Table156[[#This Row],[Item-Codigo]]) - FIND("|", CONCATENATE(B192), FIND("|", CONCATENATE(B192)) + 1)))</f>
        <v>KG</v>
      </c>
      <c r="H19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933</v>
      </c>
      <c r="I192" s="40">
        <v>933</v>
      </c>
      <c r="J19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192" t="s">
        <v>163</v>
      </c>
    </row>
    <row r="193" spans="1:11" x14ac:dyDescent="0.35">
      <c r="A193" t="s">
        <v>305</v>
      </c>
      <c r="B193" t="s">
        <v>919</v>
      </c>
      <c r="C193" t="s">
        <v>399</v>
      </c>
      <c r="D193">
        <v>4.0037950664000004</v>
      </c>
      <c r="E193" t="s">
        <v>818</v>
      </c>
      <c r="F193">
        <v>2023</v>
      </c>
      <c r="G193" t="str">
        <f>TRIM(RIGHT(Table156[[#This Row],[Item-Codigo]], LEN(Table156[[#This Row],[Item-Codigo]]) - FIND("|", CONCATENATE(B193), FIND("|", CONCATENATE(B193)) + 1)))</f>
        <v>S 25KG</v>
      </c>
      <c r="H19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704</v>
      </c>
      <c r="I193" s="40">
        <v>704</v>
      </c>
      <c r="J19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4003.7950664000005</v>
      </c>
      <c r="K193" t="s">
        <v>132</v>
      </c>
    </row>
    <row r="194" spans="1:11" x14ac:dyDescent="0.35">
      <c r="A194" t="s">
        <v>305</v>
      </c>
      <c r="B194" t="s">
        <v>921</v>
      </c>
      <c r="C194" t="s">
        <v>348</v>
      </c>
      <c r="D194">
        <v>4</v>
      </c>
      <c r="E194" t="s">
        <v>818</v>
      </c>
      <c r="F194">
        <v>2023</v>
      </c>
      <c r="G194" t="str">
        <f>TRIM(RIGHT(Table156[[#This Row],[Item-Codigo]], LEN(Table156[[#This Row],[Item-Codigo]]) - FIND("|", CONCATENATE(B194), FIND("|", CONCATENATE(B194)) + 1)))</f>
        <v>KG</v>
      </c>
      <c r="H19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475.1</v>
      </c>
      <c r="I194" s="40" t="s">
        <v>537</v>
      </c>
      <c r="J19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</v>
      </c>
      <c r="K194" t="s">
        <v>82</v>
      </c>
    </row>
    <row r="195" spans="1:11" x14ac:dyDescent="0.35">
      <c r="A195" t="s">
        <v>305</v>
      </c>
      <c r="B195" t="s">
        <v>401</v>
      </c>
      <c r="C195" t="s">
        <v>345</v>
      </c>
      <c r="D195">
        <v>33.85</v>
      </c>
      <c r="E195" t="s">
        <v>818</v>
      </c>
      <c r="F195">
        <v>2023</v>
      </c>
      <c r="G195" t="str">
        <f>TRIM(RIGHT(Table156[[#This Row],[Item-Codigo]], LEN(Table156[[#This Row],[Item-Codigo]]) - FIND("|", CONCATENATE(B195), FIND("|", CONCATENATE(B195)) + 1)))</f>
        <v>KG</v>
      </c>
      <c r="H19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1049</v>
      </c>
      <c r="I195" s="40">
        <v>1049</v>
      </c>
      <c r="J19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33850</v>
      </c>
      <c r="K195" t="s">
        <v>973</v>
      </c>
    </row>
    <row r="196" spans="1:11" x14ac:dyDescent="0.35">
      <c r="A196" t="s">
        <v>305</v>
      </c>
      <c r="B196" t="s">
        <v>923</v>
      </c>
      <c r="C196" t="s">
        <v>924</v>
      </c>
      <c r="D196">
        <v>15.88</v>
      </c>
      <c r="E196" t="s">
        <v>818</v>
      </c>
      <c r="F196">
        <v>2023</v>
      </c>
      <c r="G196" t="str">
        <f>TRIM(RIGHT(Table156[[#This Row],[Item-Codigo]], LEN(Table156[[#This Row],[Item-Codigo]]) - FIND("|", CONCATENATE(B196), FIND("|", CONCATENATE(B196)) + 1)))</f>
        <v>KG</v>
      </c>
      <c r="H19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601</v>
      </c>
      <c r="I196" s="40">
        <v>601</v>
      </c>
      <c r="J19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15880</v>
      </c>
      <c r="K196" t="s">
        <v>167</v>
      </c>
    </row>
    <row r="197" spans="1:11" x14ac:dyDescent="0.35">
      <c r="A197" t="s">
        <v>305</v>
      </c>
      <c r="B197" t="s">
        <v>402</v>
      </c>
      <c r="C197" t="s">
        <v>404</v>
      </c>
      <c r="D197">
        <v>3.1</v>
      </c>
      <c r="E197" t="s">
        <v>818</v>
      </c>
      <c r="F197">
        <v>2023</v>
      </c>
      <c r="G197" t="str">
        <f>TRIM(RIGHT(Table156[[#This Row],[Item-Codigo]], LEN(Table156[[#This Row],[Item-Codigo]]) - FIND("|", CONCATENATE(B197), FIND("|", CONCATENATE(B197)) + 1)))</f>
        <v>KG</v>
      </c>
      <c r="H19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716</v>
      </c>
      <c r="I197" s="40">
        <v>716</v>
      </c>
      <c r="J19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3100</v>
      </c>
      <c r="K197" t="s">
        <v>162</v>
      </c>
    </row>
    <row r="198" spans="1:11" x14ac:dyDescent="0.35">
      <c r="A198" t="s">
        <v>305</v>
      </c>
      <c r="B198" t="s">
        <v>405</v>
      </c>
      <c r="C198" t="s">
        <v>215</v>
      </c>
      <c r="D198">
        <v>830</v>
      </c>
      <c r="E198" t="s">
        <v>818</v>
      </c>
      <c r="F198">
        <v>2023</v>
      </c>
      <c r="G198" t="str">
        <f>TRIM(RIGHT(Table156[[#This Row],[Item-Codigo]], LEN(Table156[[#This Row],[Item-Codigo]]) - FIND("|", CONCATENATE(B198), FIND("|", CONCATENATE(B198)) + 1)))</f>
        <v>TM</v>
      </c>
      <c r="H19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497.5</v>
      </c>
      <c r="I198" s="40" t="s">
        <v>540</v>
      </c>
      <c r="J19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830</v>
      </c>
      <c r="K198" t="s">
        <v>133</v>
      </c>
    </row>
    <row r="199" spans="1:11" x14ac:dyDescent="0.35">
      <c r="A199" t="s">
        <v>305</v>
      </c>
      <c r="B199" t="s">
        <v>406</v>
      </c>
      <c r="C199" t="s">
        <v>327</v>
      </c>
      <c r="D199">
        <v>55</v>
      </c>
      <c r="E199" t="s">
        <v>818</v>
      </c>
      <c r="F199">
        <v>2023</v>
      </c>
      <c r="G199" t="str">
        <f>TRIM(RIGHT(Table156[[#This Row],[Item-Codigo]], LEN(Table156[[#This Row],[Item-Codigo]]) - FIND("|", CONCATENATE(B199), FIND("|", CONCATENATE(B199)) + 1)))</f>
        <v>KG</v>
      </c>
      <c r="H19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685</v>
      </c>
      <c r="I199" s="40">
        <v>685</v>
      </c>
      <c r="J19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55000</v>
      </c>
      <c r="K199" t="s">
        <v>169</v>
      </c>
    </row>
    <row r="200" spans="1:11" x14ac:dyDescent="0.35">
      <c r="A200" t="s">
        <v>305</v>
      </c>
      <c r="B200" t="s">
        <v>407</v>
      </c>
      <c r="C200" t="s">
        <v>390</v>
      </c>
      <c r="D200">
        <v>1.18</v>
      </c>
      <c r="E200" t="s">
        <v>818</v>
      </c>
      <c r="F200">
        <v>2023</v>
      </c>
      <c r="G200" t="str">
        <f>TRIM(RIGHT(Table156[[#This Row],[Item-Codigo]], LEN(Table156[[#This Row],[Item-Codigo]]) - FIND("|", CONCATENATE(B200), FIND("|", CONCATENATE(B200)) + 1)))</f>
        <v>KG</v>
      </c>
      <c r="H20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46.5</v>
      </c>
      <c r="I200" s="40" t="s">
        <v>535</v>
      </c>
      <c r="J20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1180</v>
      </c>
      <c r="K200" t="s">
        <v>161</v>
      </c>
    </row>
    <row r="201" spans="1:11" x14ac:dyDescent="0.35">
      <c r="A201" t="s">
        <v>305</v>
      </c>
      <c r="B201" t="s">
        <v>412</v>
      </c>
      <c r="C201" t="s">
        <v>348</v>
      </c>
      <c r="D201">
        <v>30</v>
      </c>
      <c r="E201" t="s">
        <v>818</v>
      </c>
      <c r="F201">
        <v>2023</v>
      </c>
      <c r="G201" t="str">
        <f>TRIM(RIGHT(Table156[[#This Row],[Item-Codigo]], LEN(Table156[[#This Row],[Item-Codigo]]) - FIND("|", CONCATENATE(B201), FIND("|", CONCATENATE(B201)) + 1)))</f>
        <v>KG</v>
      </c>
      <c r="H20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981.2</v>
      </c>
      <c r="I201" s="40" t="s">
        <v>556</v>
      </c>
      <c r="J20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30000</v>
      </c>
      <c r="K201" t="s">
        <v>171</v>
      </c>
    </row>
    <row r="202" spans="1:11" x14ac:dyDescent="0.35">
      <c r="A202" t="s">
        <v>305</v>
      </c>
      <c r="B202" t="s">
        <v>413</v>
      </c>
      <c r="C202" t="s">
        <v>365</v>
      </c>
      <c r="D202">
        <v>2.2999999999999998</v>
      </c>
      <c r="E202" t="s">
        <v>818</v>
      </c>
      <c r="F202">
        <v>2023</v>
      </c>
      <c r="G202" t="str">
        <f>TRIM(RIGHT(Table156[[#This Row],[Item-Codigo]], LEN(Table156[[#This Row],[Item-Codigo]]) - FIND("|", CONCATENATE(B202), FIND("|", CONCATENATE(B202)) + 1)))</f>
        <v>KG</v>
      </c>
      <c r="H20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456.12</v>
      </c>
      <c r="I202" s="40" t="s">
        <v>533</v>
      </c>
      <c r="J20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2300</v>
      </c>
      <c r="K202" t="s">
        <v>153</v>
      </c>
    </row>
    <row r="203" spans="1:11" x14ac:dyDescent="0.35">
      <c r="A203" t="s">
        <v>305</v>
      </c>
      <c r="B203" t="s">
        <v>417</v>
      </c>
      <c r="C203" t="s">
        <v>311</v>
      </c>
      <c r="D203">
        <v>9.2100000000000009</v>
      </c>
      <c r="E203" t="s">
        <v>818</v>
      </c>
      <c r="F203">
        <v>2023</v>
      </c>
      <c r="G203" t="str">
        <f>TRIM(RIGHT(Table156[[#This Row],[Item-Codigo]], LEN(Table156[[#This Row],[Item-Codigo]]) - FIND("|", CONCATENATE(B203), FIND("|", CONCATENATE(B203)) + 1)))</f>
        <v>KG</v>
      </c>
      <c r="H20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461</v>
      </c>
      <c r="I203" s="40">
        <v>461</v>
      </c>
      <c r="J20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9210</v>
      </c>
      <c r="K203" t="s">
        <v>176</v>
      </c>
    </row>
    <row r="204" spans="1:11" x14ac:dyDescent="0.35">
      <c r="A204" t="s">
        <v>198</v>
      </c>
      <c r="B204" t="s">
        <v>219</v>
      </c>
      <c r="C204" t="s">
        <v>220</v>
      </c>
      <c r="D204">
        <v>835</v>
      </c>
      <c r="E204" t="s">
        <v>829</v>
      </c>
      <c r="F204">
        <v>2023</v>
      </c>
      <c r="G204" t="str">
        <f>TRIM(RIGHT(Table156[[#This Row],[Item-Codigo]], LEN(Table156[[#This Row],[Item-Codigo]]) - FIND("|", CONCATENATE(B204), FIND("|", CONCATENATE(B204)) + 1)))</f>
        <v>TM</v>
      </c>
      <c r="H20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204" s="40">
        <v>42</v>
      </c>
      <c r="J20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835</v>
      </c>
      <c r="K204" t="s">
        <v>94</v>
      </c>
    </row>
    <row r="205" spans="1:11" x14ac:dyDescent="0.35">
      <c r="A205" t="s">
        <v>198</v>
      </c>
      <c r="B205" t="s">
        <v>219</v>
      </c>
      <c r="C205" t="s">
        <v>222</v>
      </c>
      <c r="D205">
        <v>855</v>
      </c>
      <c r="E205" t="s">
        <v>829</v>
      </c>
      <c r="F205">
        <v>2023</v>
      </c>
      <c r="G205" t="str">
        <f>TRIM(RIGHT(Table156[[#This Row],[Item-Codigo]], LEN(Table156[[#This Row],[Item-Codigo]]) - FIND("|", CONCATENATE(B205), FIND("|", CONCATENATE(B205)) + 1)))</f>
        <v>TM</v>
      </c>
      <c r="H20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205" s="40">
        <v>42</v>
      </c>
      <c r="J20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855</v>
      </c>
      <c r="K205" t="s">
        <v>94</v>
      </c>
    </row>
    <row r="206" spans="1:11" x14ac:dyDescent="0.35">
      <c r="A206" t="s">
        <v>198</v>
      </c>
      <c r="B206" t="s">
        <v>224</v>
      </c>
      <c r="C206" t="s">
        <v>223</v>
      </c>
      <c r="D206">
        <v>1778</v>
      </c>
      <c r="E206" t="s">
        <v>829</v>
      </c>
      <c r="F206">
        <v>2023</v>
      </c>
      <c r="G206" t="str">
        <f>TRIM(RIGHT(Table156[[#This Row],[Item-Codigo]], LEN(Table156[[#This Row],[Item-Codigo]]) - FIND("|", CONCATENATE(B206), FIND("|", CONCATENATE(B206)) + 1)))</f>
        <v>TM</v>
      </c>
      <c r="H20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40</v>
      </c>
      <c r="I206" s="40">
        <v>40</v>
      </c>
      <c r="J20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1778</v>
      </c>
      <c r="K206" t="s">
        <v>95</v>
      </c>
    </row>
    <row r="207" spans="1:11" x14ac:dyDescent="0.35">
      <c r="A207" t="s">
        <v>198</v>
      </c>
      <c r="B207" t="s">
        <v>225</v>
      </c>
      <c r="C207" t="s">
        <v>226</v>
      </c>
      <c r="D207">
        <v>387.00035720659997</v>
      </c>
      <c r="E207" t="s">
        <v>829</v>
      </c>
      <c r="F207">
        <v>2023</v>
      </c>
      <c r="G207" t="str">
        <f>TRIM(RIGHT(Table156[[#This Row],[Item-Codigo]], LEN(Table156[[#This Row],[Item-Codigo]]) - FIND("|", CONCATENATE(B207), FIND("|", CONCATENATE(B207)) + 1)))</f>
        <v>TM</v>
      </c>
      <c r="H20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301</v>
      </c>
      <c r="I207" s="40">
        <v>301</v>
      </c>
      <c r="J20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387.00035720659997</v>
      </c>
      <c r="K207" t="s">
        <v>96</v>
      </c>
    </row>
    <row r="208" spans="1:11" x14ac:dyDescent="0.35">
      <c r="A208" t="s">
        <v>198</v>
      </c>
      <c r="B208" t="s">
        <v>227</v>
      </c>
      <c r="C208" t="s">
        <v>218</v>
      </c>
      <c r="D208">
        <v>0.32076816003333303</v>
      </c>
      <c r="E208" t="s">
        <v>829</v>
      </c>
      <c r="F208">
        <v>2023</v>
      </c>
      <c r="G208" t="str">
        <f>TRIM(RIGHT(Table156[[#This Row],[Item-Codigo]], LEN(Table156[[#This Row],[Item-Codigo]]) - FIND("|", CONCATENATE(B208), FIND("|", CONCATENATE(B208)) + 1)))</f>
        <v>KG</v>
      </c>
      <c r="H20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208" s="40">
        <v>200</v>
      </c>
      <c r="J20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320.768160033333</v>
      </c>
      <c r="K208" t="s">
        <v>97</v>
      </c>
    </row>
    <row r="209" spans="1:11" x14ac:dyDescent="0.35">
      <c r="A209" t="s">
        <v>198</v>
      </c>
      <c r="B209" t="s">
        <v>230</v>
      </c>
      <c r="C209" t="s">
        <v>231</v>
      </c>
      <c r="D209">
        <v>4.5999999999999999E-2</v>
      </c>
      <c r="E209" t="s">
        <v>829</v>
      </c>
      <c r="F209">
        <v>2023</v>
      </c>
      <c r="G209" t="str">
        <f>TRIM(RIGHT(Table156[[#This Row],[Item-Codigo]], LEN(Table156[[#This Row],[Item-Codigo]]) - FIND("|", CONCATENATE(B209), FIND("|", CONCATENATE(B209)) + 1)))</f>
        <v>KG</v>
      </c>
      <c r="H20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209" s="40">
        <v>701</v>
      </c>
      <c r="J20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46</v>
      </c>
      <c r="K209" t="s">
        <v>98</v>
      </c>
    </row>
    <row r="210" spans="1:11" x14ac:dyDescent="0.35">
      <c r="A210" t="s">
        <v>198</v>
      </c>
      <c r="B210" t="s">
        <v>233</v>
      </c>
      <c r="C210" t="s">
        <v>234</v>
      </c>
      <c r="D210">
        <v>1779.9997984916999</v>
      </c>
      <c r="E210" t="s">
        <v>829</v>
      </c>
      <c r="F210">
        <v>2023</v>
      </c>
      <c r="G210" t="str">
        <f>TRIM(RIGHT(Table156[[#This Row],[Item-Codigo]], LEN(Table156[[#This Row],[Item-Codigo]]) - FIND("|", CONCATENATE(B210), FIND("|", CONCATENATE(B210)) + 1)))</f>
        <v>TM</v>
      </c>
      <c r="H21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156.4</v>
      </c>
      <c r="I210" s="40" t="s">
        <v>524</v>
      </c>
      <c r="J21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1779.9997984916999</v>
      </c>
      <c r="K210" t="s">
        <v>977</v>
      </c>
    </row>
    <row r="211" spans="1:11" x14ac:dyDescent="0.35">
      <c r="A211" t="s">
        <v>198</v>
      </c>
      <c r="B211" t="s">
        <v>233</v>
      </c>
      <c r="C211" t="s">
        <v>236</v>
      </c>
      <c r="D211">
        <v>1822.95879188955</v>
      </c>
      <c r="E211" t="s">
        <v>829</v>
      </c>
      <c r="F211">
        <v>2023</v>
      </c>
      <c r="G211" t="str">
        <f>TRIM(RIGHT(Table156[[#This Row],[Item-Codigo]], LEN(Table156[[#This Row],[Item-Codigo]]) - FIND("|", CONCATENATE(B211), FIND("|", CONCATENATE(B211)) + 1)))</f>
        <v>TM</v>
      </c>
      <c r="H21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156.4</v>
      </c>
      <c r="I211" s="40" t="s">
        <v>524</v>
      </c>
      <c r="J21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1822.95879188955</v>
      </c>
      <c r="K211" t="s">
        <v>977</v>
      </c>
    </row>
    <row r="212" spans="1:11" x14ac:dyDescent="0.35">
      <c r="A212" t="s">
        <v>198</v>
      </c>
      <c r="B212" t="s">
        <v>237</v>
      </c>
      <c r="C212" t="s">
        <v>837</v>
      </c>
      <c r="D212">
        <v>1250</v>
      </c>
      <c r="E212" t="s">
        <v>829</v>
      </c>
      <c r="F212">
        <v>2023</v>
      </c>
      <c r="G212" t="str">
        <f>TRIM(RIGHT(Table156[[#This Row],[Item-Codigo]], LEN(Table156[[#This Row],[Item-Codigo]]) - FIND("|", CONCATENATE(B212), FIND("|", CONCATENATE(B212)) + 1)))</f>
        <v>TM</v>
      </c>
      <c r="H21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212" s="40">
        <v>116</v>
      </c>
      <c r="J21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1250</v>
      </c>
      <c r="K212" t="s">
        <v>99</v>
      </c>
    </row>
    <row r="213" spans="1:11" x14ac:dyDescent="0.35">
      <c r="A213" t="s">
        <v>198</v>
      </c>
      <c r="B213" t="s">
        <v>237</v>
      </c>
      <c r="C213" t="s">
        <v>238</v>
      </c>
      <c r="D213">
        <v>1255</v>
      </c>
      <c r="E213" t="s">
        <v>829</v>
      </c>
      <c r="F213">
        <v>2023</v>
      </c>
      <c r="G213" t="str">
        <f>TRIM(RIGHT(Table156[[#This Row],[Item-Codigo]], LEN(Table156[[#This Row],[Item-Codigo]]) - FIND("|", CONCATENATE(B213), FIND("|", CONCATENATE(B213)) + 1)))</f>
        <v>TM</v>
      </c>
      <c r="H21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213" s="40">
        <v>116</v>
      </c>
      <c r="J21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1255</v>
      </c>
      <c r="K213" t="s">
        <v>99</v>
      </c>
    </row>
    <row r="214" spans="1:11" x14ac:dyDescent="0.35">
      <c r="A214" t="s">
        <v>198</v>
      </c>
      <c r="B214" t="s">
        <v>237</v>
      </c>
      <c r="C214" t="s">
        <v>239</v>
      </c>
      <c r="D214">
        <v>1250.25</v>
      </c>
      <c r="E214" t="s">
        <v>829</v>
      </c>
      <c r="F214">
        <v>2023</v>
      </c>
      <c r="G214" t="str">
        <f>TRIM(RIGHT(Table156[[#This Row],[Item-Codigo]], LEN(Table156[[#This Row],[Item-Codigo]]) - FIND("|", CONCATENATE(B214), FIND("|", CONCATENATE(B214)) + 1)))</f>
        <v>TM</v>
      </c>
      <c r="H21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214" s="40">
        <v>116</v>
      </c>
      <c r="J21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1250.25</v>
      </c>
      <c r="K214" t="s">
        <v>99</v>
      </c>
    </row>
    <row r="215" spans="1:11" x14ac:dyDescent="0.35">
      <c r="A215" t="s">
        <v>198</v>
      </c>
      <c r="B215" t="s">
        <v>240</v>
      </c>
      <c r="C215" t="s">
        <v>239</v>
      </c>
      <c r="D215">
        <v>935.65462843590001</v>
      </c>
      <c r="E215" t="s">
        <v>829</v>
      </c>
      <c r="F215">
        <v>2023</v>
      </c>
      <c r="G215" t="str">
        <f>TRIM(RIGHT(Table156[[#This Row],[Item-Codigo]], LEN(Table156[[#This Row],[Item-Codigo]]) - FIND("|", CONCATENATE(B215), FIND("|", CONCATENATE(B215)) + 1)))</f>
        <v>TM</v>
      </c>
      <c r="H21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111</v>
      </c>
      <c r="I215" s="40">
        <v>111</v>
      </c>
      <c r="J21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935.65462843590001</v>
      </c>
      <c r="K215" t="s">
        <v>184</v>
      </c>
    </row>
    <row r="216" spans="1:11" x14ac:dyDescent="0.35">
      <c r="A216" t="s">
        <v>198</v>
      </c>
      <c r="B216" t="s">
        <v>240</v>
      </c>
      <c r="C216" t="s">
        <v>215</v>
      </c>
      <c r="D216">
        <v>881.55840922669995</v>
      </c>
      <c r="E216" t="s">
        <v>829</v>
      </c>
      <c r="F216">
        <v>2023</v>
      </c>
      <c r="G216" t="str">
        <f>TRIM(RIGHT(Table156[[#This Row],[Item-Codigo]], LEN(Table156[[#This Row],[Item-Codigo]]) - FIND("|", CONCATENATE(B216), FIND("|", CONCATENATE(B216)) + 1)))</f>
        <v>TM</v>
      </c>
      <c r="H21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111</v>
      </c>
      <c r="I216" s="40">
        <v>111</v>
      </c>
      <c r="J21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881.55840922669995</v>
      </c>
      <c r="K216" t="s">
        <v>184</v>
      </c>
    </row>
    <row r="217" spans="1:11" x14ac:dyDescent="0.35">
      <c r="A217" t="s">
        <v>198</v>
      </c>
      <c r="B217" t="s">
        <v>838</v>
      </c>
      <c r="C217" t="s">
        <v>239</v>
      </c>
      <c r="D217">
        <v>935.73447891950002</v>
      </c>
      <c r="E217" t="s">
        <v>829</v>
      </c>
      <c r="F217">
        <v>2023</v>
      </c>
      <c r="G217" t="str">
        <f>TRIM(RIGHT(Table156[[#This Row],[Item-Codigo]], LEN(Table156[[#This Row],[Item-Codigo]]) - FIND("|", CONCATENATE(B217), FIND("|", CONCATENATE(B217)) + 1)))</f>
        <v>TM</v>
      </c>
      <c r="H21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111.5</v>
      </c>
      <c r="I217" s="40" t="s">
        <v>933</v>
      </c>
      <c r="J21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935.73447891950002</v>
      </c>
      <c r="K217" t="s">
        <v>184</v>
      </c>
    </row>
    <row r="218" spans="1:11" x14ac:dyDescent="0.35">
      <c r="A218" t="s">
        <v>198</v>
      </c>
      <c r="B218" t="s">
        <v>245</v>
      </c>
      <c r="C218" t="s">
        <v>246</v>
      </c>
      <c r="D218">
        <v>250</v>
      </c>
      <c r="E218" t="s">
        <v>829</v>
      </c>
      <c r="F218">
        <v>2023</v>
      </c>
      <c r="G218" t="str">
        <f>TRIM(RIGHT(Table156[[#This Row],[Item-Codigo]], LEN(Table156[[#This Row],[Item-Codigo]]) - FIND("|", CONCATENATE(B218), FIND("|", CONCATENATE(B218)) + 1)))</f>
        <v>TM</v>
      </c>
      <c r="H21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14</v>
      </c>
      <c r="I218" s="40">
        <v>14</v>
      </c>
      <c r="J21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250</v>
      </c>
      <c r="K218" t="s">
        <v>187</v>
      </c>
    </row>
    <row r="219" spans="1:11" x14ac:dyDescent="0.35">
      <c r="A219" t="s">
        <v>198</v>
      </c>
      <c r="B219" t="s">
        <v>247</v>
      </c>
      <c r="C219" t="s">
        <v>248</v>
      </c>
      <c r="D219">
        <v>0.26462591639999999</v>
      </c>
      <c r="E219" t="s">
        <v>829</v>
      </c>
      <c r="F219">
        <v>2023</v>
      </c>
      <c r="G219" t="str">
        <f>TRIM(RIGHT(Table156[[#This Row],[Item-Codigo]], LEN(Table156[[#This Row],[Item-Codigo]]) - FIND("|", CONCATENATE(B219), FIND("|", CONCATENATE(B219)) + 1)))</f>
        <v>KG</v>
      </c>
      <c r="H21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214</v>
      </c>
      <c r="I219" s="40">
        <v>214</v>
      </c>
      <c r="J21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264.62591639999999</v>
      </c>
      <c r="K219" t="s">
        <v>186</v>
      </c>
    </row>
    <row r="220" spans="1:11" x14ac:dyDescent="0.35">
      <c r="A220" t="s">
        <v>198</v>
      </c>
      <c r="B220" t="s">
        <v>856</v>
      </c>
      <c r="C220" t="s">
        <v>249</v>
      </c>
      <c r="D220">
        <v>641.49</v>
      </c>
      <c r="E220" t="s">
        <v>829</v>
      </c>
      <c r="F220">
        <v>2023</v>
      </c>
      <c r="G220" t="str">
        <f>TRIM(RIGHT(Table156[[#This Row],[Item-Codigo]], LEN(Table156[[#This Row],[Item-Codigo]]) - FIND("|", CONCATENATE(B220), FIND("|", CONCATENATE(B220)) + 1)))</f>
        <v>TM</v>
      </c>
      <c r="H22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121</v>
      </c>
      <c r="I220" s="40">
        <v>121</v>
      </c>
      <c r="J22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641.49</v>
      </c>
      <c r="K220" t="s">
        <v>180</v>
      </c>
    </row>
    <row r="221" spans="1:11" x14ac:dyDescent="0.35">
      <c r="A221" t="s">
        <v>198</v>
      </c>
      <c r="B221" t="s">
        <v>207</v>
      </c>
      <c r="C221" t="s">
        <v>201</v>
      </c>
      <c r="D221">
        <v>12.999982206025001</v>
      </c>
      <c r="E221" t="s">
        <v>829</v>
      </c>
      <c r="F221">
        <v>2023</v>
      </c>
      <c r="G221" t="str">
        <f>TRIM(RIGHT(Table156[[#This Row],[Item-Codigo]], LEN(Table156[[#This Row],[Item-Codigo]]) - FIND("|", CONCATENATE(B221), FIND("|", CONCATENATE(B221)) + 1)))</f>
        <v>QQ</v>
      </c>
      <c r="H22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221" s="40">
        <v>410</v>
      </c>
      <c r="J221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285.99960853255004</v>
      </c>
      <c r="K221" t="s">
        <v>183</v>
      </c>
    </row>
    <row r="222" spans="1:11" x14ac:dyDescent="0.35">
      <c r="A222" t="s">
        <v>198</v>
      </c>
      <c r="B222" t="s">
        <v>207</v>
      </c>
      <c r="C222" t="s">
        <v>209</v>
      </c>
      <c r="D222">
        <v>11.9999319225</v>
      </c>
      <c r="E222" t="s">
        <v>829</v>
      </c>
      <c r="F222">
        <v>2023</v>
      </c>
      <c r="G222" t="str">
        <f>TRIM(RIGHT(Table156[[#This Row],[Item-Codigo]], LEN(Table156[[#This Row],[Item-Codigo]]) - FIND("|", CONCATENATE(B222), FIND("|", CONCATENATE(B222)) + 1)))</f>
        <v>QQ</v>
      </c>
      <c r="H22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222" s="40">
        <v>410</v>
      </c>
      <c r="J222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263.99850229499998</v>
      </c>
      <c r="K222" t="s">
        <v>183</v>
      </c>
    </row>
    <row r="223" spans="1:11" x14ac:dyDescent="0.35">
      <c r="A223" t="s">
        <v>198</v>
      </c>
      <c r="B223" t="s">
        <v>207</v>
      </c>
      <c r="C223" t="s">
        <v>210</v>
      </c>
      <c r="D223">
        <v>12.9999370293</v>
      </c>
      <c r="E223" t="s">
        <v>829</v>
      </c>
      <c r="F223">
        <v>2023</v>
      </c>
      <c r="G223" t="str">
        <f>TRIM(RIGHT(Table156[[#This Row],[Item-Codigo]], LEN(Table156[[#This Row],[Item-Codigo]]) - FIND("|", CONCATENATE(B223), FIND("|", CONCATENATE(B223)) + 1)))</f>
        <v>QQ</v>
      </c>
      <c r="H22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223" s="40">
        <v>410</v>
      </c>
      <c r="J223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285.99861464460002</v>
      </c>
      <c r="K223" t="s">
        <v>183</v>
      </c>
    </row>
    <row r="224" spans="1:11" x14ac:dyDescent="0.35">
      <c r="A224" t="s">
        <v>198</v>
      </c>
      <c r="B224" t="s">
        <v>207</v>
      </c>
      <c r="C224" t="s">
        <v>211</v>
      </c>
      <c r="D224">
        <v>13.0001147889833</v>
      </c>
      <c r="E224" t="s">
        <v>829</v>
      </c>
      <c r="F224">
        <v>2023</v>
      </c>
      <c r="G224" t="str">
        <f>TRIM(RIGHT(Table156[[#This Row],[Item-Codigo]], LEN(Table156[[#This Row],[Item-Codigo]]) - FIND("|", CONCATENATE(B224), FIND("|", CONCATENATE(B224)) + 1)))</f>
        <v>QQ</v>
      </c>
      <c r="H22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224" s="40">
        <v>410</v>
      </c>
      <c r="J224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286.00252535763258</v>
      </c>
      <c r="K224" t="s">
        <v>183</v>
      </c>
    </row>
    <row r="225" spans="1:11" x14ac:dyDescent="0.35">
      <c r="A225" t="s">
        <v>198</v>
      </c>
      <c r="B225" t="s">
        <v>207</v>
      </c>
      <c r="C225" t="s">
        <v>212</v>
      </c>
      <c r="D225">
        <v>13.6922404397615</v>
      </c>
      <c r="E225" t="s">
        <v>829</v>
      </c>
      <c r="F225">
        <v>2023</v>
      </c>
      <c r="G225" t="str">
        <f>TRIM(RIGHT(Table156[[#This Row],[Item-Codigo]], LEN(Table156[[#This Row],[Item-Codigo]]) - FIND("|", CONCATENATE(B225), FIND("|", CONCATENATE(B225)) + 1)))</f>
        <v>QQ</v>
      </c>
      <c r="H22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225" s="40">
        <v>410</v>
      </c>
      <c r="J225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301.22928967475298</v>
      </c>
      <c r="K225" t="s">
        <v>183</v>
      </c>
    </row>
    <row r="226" spans="1:11" x14ac:dyDescent="0.35">
      <c r="A226" t="s">
        <v>198</v>
      </c>
      <c r="B226" t="s">
        <v>207</v>
      </c>
      <c r="C226" t="s">
        <v>213</v>
      </c>
      <c r="D226">
        <v>13.4444519399222</v>
      </c>
      <c r="E226" t="s">
        <v>829</v>
      </c>
      <c r="F226">
        <v>2023</v>
      </c>
      <c r="G226" t="str">
        <f>TRIM(RIGHT(Table156[[#This Row],[Item-Codigo]], LEN(Table156[[#This Row],[Item-Codigo]]) - FIND("|", CONCATENATE(B226), FIND("|", CONCATENATE(B226)) + 1)))</f>
        <v>QQ</v>
      </c>
      <c r="H22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226" s="40">
        <v>410</v>
      </c>
      <c r="J226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295.77794267828841</v>
      </c>
      <c r="K226" t="s">
        <v>183</v>
      </c>
    </row>
    <row r="227" spans="1:11" x14ac:dyDescent="0.35">
      <c r="A227" t="s">
        <v>198</v>
      </c>
      <c r="B227" t="s">
        <v>869</v>
      </c>
      <c r="C227" t="s">
        <v>870</v>
      </c>
      <c r="D227">
        <v>30.9999974075</v>
      </c>
      <c r="E227" t="s">
        <v>829</v>
      </c>
      <c r="F227">
        <v>2023</v>
      </c>
      <c r="G227" t="str">
        <f>TRIM(RIGHT(Table156[[#This Row],[Item-Codigo]], LEN(Table156[[#This Row],[Item-Codigo]]) - FIND("|", CONCATENATE(B227), FIND("|", CONCATENATE(B227)) + 1)))</f>
        <v>QQ</v>
      </c>
      <c r="H22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</v>
      </c>
      <c r="I227" s="40">
        <v>100</v>
      </c>
      <c r="J227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681.99994296500006</v>
      </c>
      <c r="K227" t="s">
        <v>869</v>
      </c>
    </row>
    <row r="228" spans="1:11" x14ac:dyDescent="0.35">
      <c r="A228" t="s">
        <v>198</v>
      </c>
      <c r="B228" t="s">
        <v>869</v>
      </c>
      <c r="C228" t="s">
        <v>871</v>
      </c>
      <c r="D228">
        <v>30.0000245154</v>
      </c>
      <c r="E228" t="s">
        <v>829</v>
      </c>
      <c r="F228">
        <v>2023</v>
      </c>
      <c r="G228" t="str">
        <f>TRIM(RIGHT(Table156[[#This Row],[Item-Codigo]], LEN(Table156[[#This Row],[Item-Codigo]]) - FIND("|", CONCATENATE(B228), FIND("|", CONCATENATE(B228)) + 1)))</f>
        <v>QQ</v>
      </c>
      <c r="H22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</v>
      </c>
      <c r="I228" s="40">
        <v>100</v>
      </c>
      <c r="J228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660.00053933879997</v>
      </c>
      <c r="K228" t="s">
        <v>869</v>
      </c>
    </row>
    <row r="229" spans="1:11" x14ac:dyDescent="0.35">
      <c r="A229" t="s">
        <v>198</v>
      </c>
      <c r="B229" t="s">
        <v>869</v>
      </c>
      <c r="C229" t="s">
        <v>872</v>
      </c>
      <c r="D229">
        <v>30.9999815362</v>
      </c>
      <c r="E229" t="s">
        <v>829</v>
      </c>
      <c r="F229">
        <v>2023</v>
      </c>
      <c r="G229" t="str">
        <f>TRIM(RIGHT(Table156[[#This Row],[Item-Codigo]], LEN(Table156[[#This Row],[Item-Codigo]]) - FIND("|", CONCATENATE(B229), FIND("|", CONCATENATE(B229)) + 1)))</f>
        <v>QQ</v>
      </c>
      <c r="H22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</v>
      </c>
      <c r="I229" s="40">
        <v>100</v>
      </c>
      <c r="J229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681.99959379639995</v>
      </c>
      <c r="K229" t="s">
        <v>869</v>
      </c>
    </row>
    <row r="230" spans="1:11" x14ac:dyDescent="0.35">
      <c r="A230" t="s">
        <v>256</v>
      </c>
      <c r="B230" t="s">
        <v>876</v>
      </c>
      <c r="C230" t="s">
        <v>262</v>
      </c>
      <c r="D230">
        <v>0.1497</v>
      </c>
      <c r="E230" t="s">
        <v>829</v>
      </c>
      <c r="F230">
        <v>2023</v>
      </c>
      <c r="G230" t="str">
        <f>TRIM(RIGHT(Table156[[#This Row],[Item-Codigo]], LEN(Table156[[#This Row],[Item-Codigo]]) - FIND("|", CONCATENATE(B230), FIND("|", CONCATENATE(B230)) + 1)))</f>
        <v>UND</v>
      </c>
      <c r="H23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1022-ME</v>
      </c>
      <c r="I230" s="40" t="s">
        <v>499</v>
      </c>
      <c r="J23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0.1497</v>
      </c>
      <c r="K230" t="s">
        <v>42</v>
      </c>
    </row>
    <row r="231" spans="1:11" x14ac:dyDescent="0.35">
      <c r="A231" t="s">
        <v>256</v>
      </c>
      <c r="B231" t="s">
        <v>261</v>
      </c>
      <c r="C231" t="s">
        <v>263</v>
      </c>
      <c r="D231">
        <v>0.14879999999999999</v>
      </c>
      <c r="E231" t="s">
        <v>829</v>
      </c>
      <c r="F231">
        <v>2023</v>
      </c>
      <c r="G231" t="str">
        <f>TRIM(RIGHT(Table156[[#This Row],[Item-Codigo]], LEN(Table156[[#This Row],[Item-Codigo]]) - FIND("|", CONCATENATE(B231), FIND("|", CONCATENATE(B231)) + 1)))</f>
        <v>UND</v>
      </c>
      <c r="H23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231" s="40" t="s">
        <v>500</v>
      </c>
      <c r="J23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0.14879999999999999</v>
      </c>
      <c r="K231" t="s">
        <v>43</v>
      </c>
    </row>
    <row r="232" spans="1:11" x14ac:dyDescent="0.35">
      <c r="A232" t="s">
        <v>256</v>
      </c>
      <c r="B232" t="s">
        <v>264</v>
      </c>
      <c r="C232" t="s">
        <v>263</v>
      </c>
      <c r="D232">
        <v>0.14879999999999999</v>
      </c>
      <c r="E232" t="s">
        <v>829</v>
      </c>
      <c r="F232">
        <v>2023</v>
      </c>
      <c r="G232" t="str">
        <f>TRIM(RIGHT(Table156[[#This Row],[Item-Codigo]], LEN(Table156[[#This Row],[Item-Codigo]]) - FIND("|", CONCATENATE(B232), FIND("|", CONCATENATE(B232)) + 1)))</f>
        <v>UND</v>
      </c>
      <c r="H23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1024-ME</v>
      </c>
      <c r="I232" s="40" t="s">
        <v>501</v>
      </c>
      <c r="J23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0.14879999999999999</v>
      </c>
      <c r="K232" t="s">
        <v>44</v>
      </c>
    </row>
    <row r="233" spans="1:11" x14ac:dyDescent="0.35">
      <c r="A233" t="s">
        <v>256</v>
      </c>
      <c r="B233" t="s">
        <v>265</v>
      </c>
      <c r="C233" t="s">
        <v>262</v>
      </c>
      <c r="D233">
        <v>0.1497</v>
      </c>
      <c r="E233" t="s">
        <v>829</v>
      </c>
      <c r="F233">
        <v>2023</v>
      </c>
      <c r="G233" t="str">
        <f>TRIM(RIGHT(Table156[[#This Row],[Item-Codigo]], LEN(Table156[[#This Row],[Item-Codigo]]) - FIND("|", CONCATENATE(B233), FIND("|", CONCATENATE(B233)) + 1)))</f>
        <v>UND</v>
      </c>
      <c r="H23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1025-ME</v>
      </c>
      <c r="I233" s="40" t="s">
        <v>502</v>
      </c>
      <c r="J23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0.1497</v>
      </c>
      <c r="K233" t="s">
        <v>45</v>
      </c>
    </row>
    <row r="234" spans="1:11" x14ac:dyDescent="0.35">
      <c r="A234" t="s">
        <v>256</v>
      </c>
      <c r="B234" t="s">
        <v>265</v>
      </c>
      <c r="C234" t="s">
        <v>263</v>
      </c>
      <c r="D234">
        <v>0.14879996409999999</v>
      </c>
      <c r="E234" t="s">
        <v>829</v>
      </c>
      <c r="F234">
        <v>2023</v>
      </c>
      <c r="G234" t="str">
        <f>TRIM(RIGHT(Table156[[#This Row],[Item-Codigo]], LEN(Table156[[#This Row],[Item-Codigo]]) - FIND("|", CONCATENATE(B234), FIND("|", CONCATENATE(B234)) + 1)))</f>
        <v>UND</v>
      </c>
      <c r="H23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1025-ME</v>
      </c>
      <c r="I234" s="40" t="s">
        <v>502</v>
      </c>
      <c r="J23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0.14879996409999999</v>
      </c>
      <c r="K234" t="s">
        <v>45</v>
      </c>
    </row>
    <row r="235" spans="1:11" x14ac:dyDescent="0.35">
      <c r="A235" t="s">
        <v>256</v>
      </c>
      <c r="B235" t="s">
        <v>266</v>
      </c>
      <c r="C235" t="s">
        <v>267</v>
      </c>
      <c r="D235">
        <v>0.1683333333</v>
      </c>
      <c r="E235" t="s">
        <v>829</v>
      </c>
      <c r="F235">
        <v>2023</v>
      </c>
      <c r="G235" t="str">
        <f>TRIM(RIGHT(Table156[[#This Row],[Item-Codigo]], LEN(Table156[[#This Row],[Item-Codigo]]) - FIND("|", CONCATENATE(B235), FIND("|", CONCATENATE(B235)) + 1)))</f>
        <v>UND</v>
      </c>
      <c r="H23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1026-ME</v>
      </c>
      <c r="I235" s="40" t="s">
        <v>503</v>
      </c>
      <c r="J23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0.1683333333</v>
      </c>
      <c r="K235" t="s">
        <v>46</v>
      </c>
    </row>
    <row r="236" spans="1:11" x14ac:dyDescent="0.35">
      <c r="A236" t="s">
        <v>256</v>
      </c>
      <c r="B236" t="s">
        <v>877</v>
      </c>
      <c r="C236" t="s">
        <v>262</v>
      </c>
      <c r="D236">
        <v>0.17</v>
      </c>
      <c r="E236" t="s">
        <v>829</v>
      </c>
      <c r="F236">
        <v>2023</v>
      </c>
      <c r="G236" t="str">
        <f>TRIM(RIGHT(Table156[[#This Row],[Item-Codigo]], LEN(Table156[[#This Row],[Item-Codigo]]) - FIND("|", CONCATENATE(B236), FIND("|", CONCATENATE(B236)) + 1)))</f>
        <v>UND</v>
      </c>
      <c r="H23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1027-ME</v>
      </c>
      <c r="I236" s="40" t="s">
        <v>504</v>
      </c>
      <c r="J23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</v>
      </c>
      <c r="K236" t="s">
        <v>47</v>
      </c>
    </row>
    <row r="237" spans="1:11" x14ac:dyDescent="0.35">
      <c r="A237" t="s">
        <v>256</v>
      </c>
      <c r="B237" t="s">
        <v>268</v>
      </c>
      <c r="C237" t="s">
        <v>267</v>
      </c>
      <c r="D237">
        <v>0.1683112903</v>
      </c>
      <c r="E237" t="s">
        <v>829</v>
      </c>
      <c r="F237">
        <v>2023</v>
      </c>
      <c r="G237" t="str">
        <f>TRIM(RIGHT(Table156[[#This Row],[Item-Codigo]], LEN(Table156[[#This Row],[Item-Codigo]]) - FIND("|", CONCATENATE(B237), FIND("|", CONCATENATE(B237)) + 1)))</f>
        <v>UND</v>
      </c>
      <c r="H23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1028-ME</v>
      </c>
      <c r="I237" s="40" t="s">
        <v>505</v>
      </c>
      <c r="J23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0.1683112903</v>
      </c>
      <c r="K237" t="s">
        <v>48</v>
      </c>
    </row>
    <row r="238" spans="1:11" x14ac:dyDescent="0.35">
      <c r="A238" t="s">
        <v>256</v>
      </c>
      <c r="B238" t="s">
        <v>272</v>
      </c>
      <c r="C238" t="s">
        <v>263</v>
      </c>
      <c r="D238">
        <v>0.14879999999999999</v>
      </c>
      <c r="E238" t="s">
        <v>829</v>
      </c>
      <c r="F238">
        <v>2023</v>
      </c>
      <c r="G238" t="str">
        <f>TRIM(RIGHT(Table156[[#This Row],[Item-Codigo]], LEN(Table156[[#This Row],[Item-Codigo]]) - FIND("|", CONCATENATE(B238), FIND("|", CONCATENATE(B238)) + 1)))</f>
        <v>UND</v>
      </c>
      <c r="H23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1029-ME</v>
      </c>
      <c r="I238" s="40" t="s">
        <v>506</v>
      </c>
      <c r="J23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0.14879999999999999</v>
      </c>
      <c r="K238" t="s">
        <v>51</v>
      </c>
    </row>
    <row r="239" spans="1:11" x14ac:dyDescent="0.35">
      <c r="A239" t="s">
        <v>256</v>
      </c>
      <c r="B239" t="s">
        <v>273</v>
      </c>
      <c r="C239" t="s">
        <v>263</v>
      </c>
      <c r="D239">
        <v>0.14880012444999999</v>
      </c>
      <c r="E239" t="s">
        <v>829</v>
      </c>
      <c r="F239">
        <v>2023</v>
      </c>
      <c r="G239" t="str">
        <f>TRIM(RIGHT(Table156[[#This Row],[Item-Codigo]], LEN(Table156[[#This Row],[Item-Codigo]]) - FIND("|", CONCATENATE(B239), FIND("|", CONCATENATE(B239)) + 1)))</f>
        <v>UND</v>
      </c>
      <c r="H23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1030-ME</v>
      </c>
      <c r="I239" s="40" t="s">
        <v>507</v>
      </c>
      <c r="J23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0.14880012444999999</v>
      </c>
      <c r="K239" t="s">
        <v>52</v>
      </c>
    </row>
    <row r="240" spans="1:11" x14ac:dyDescent="0.35">
      <c r="A240" t="s">
        <v>256</v>
      </c>
      <c r="B240" t="s">
        <v>277</v>
      </c>
      <c r="C240" t="s">
        <v>276</v>
      </c>
      <c r="D240">
        <v>0.5</v>
      </c>
      <c r="E240" t="s">
        <v>829</v>
      </c>
      <c r="F240">
        <v>2023</v>
      </c>
      <c r="G240" t="str">
        <f>TRIM(RIGHT(Table156[[#This Row],[Item-Codigo]], LEN(Table156[[#This Row],[Item-Codigo]]) - FIND("|", CONCATENATE(B240), FIND("|", CONCATENATE(B240)) + 1)))</f>
        <v>UND</v>
      </c>
      <c r="H24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1043-ME</v>
      </c>
      <c r="I240" s="40" t="s">
        <v>813</v>
      </c>
      <c r="J24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0.5</v>
      </c>
      <c r="K240" t="s">
        <v>277</v>
      </c>
    </row>
    <row r="241" spans="1:11" x14ac:dyDescent="0.35">
      <c r="A241" t="s">
        <v>256</v>
      </c>
      <c r="B241" t="s">
        <v>885</v>
      </c>
      <c r="C241" t="s">
        <v>276</v>
      </c>
      <c r="D241">
        <v>0.7</v>
      </c>
      <c r="E241" t="s">
        <v>829</v>
      </c>
      <c r="F241">
        <v>2023</v>
      </c>
      <c r="G241" t="str">
        <f>TRIM(RIGHT(Table156[[#This Row],[Item-Codigo]], LEN(Table156[[#This Row],[Item-Codigo]]) - FIND("|", CONCATENATE(B241), FIND("|", CONCATENATE(B241)) + 1)))</f>
        <v>UND</v>
      </c>
      <c r="H24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1046-ME</v>
      </c>
      <c r="I241" s="40" t="s">
        <v>935</v>
      </c>
      <c r="J24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0.7</v>
      </c>
      <c r="K241" t="s">
        <v>885</v>
      </c>
    </row>
    <row r="242" spans="1:11" x14ac:dyDescent="0.35">
      <c r="A242" t="s">
        <v>256</v>
      </c>
      <c r="B242" t="s">
        <v>283</v>
      </c>
      <c r="C242" t="s">
        <v>267</v>
      </c>
      <c r="D242">
        <v>0.2150982625</v>
      </c>
      <c r="E242" t="s">
        <v>829</v>
      </c>
      <c r="F242">
        <v>2023</v>
      </c>
      <c r="G242" t="str">
        <f>TRIM(RIGHT(Table156[[#This Row],[Item-Codigo]], LEN(Table156[[#This Row],[Item-Codigo]]) - FIND("|", CONCATENATE(B242), FIND("|", CONCATENATE(B242)) + 1)))</f>
        <v>UND</v>
      </c>
      <c r="H24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0754-ME</v>
      </c>
      <c r="I242" s="40" t="s">
        <v>482</v>
      </c>
      <c r="J24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0.2150982625</v>
      </c>
      <c r="K242" t="s">
        <v>112</v>
      </c>
    </row>
    <row r="243" spans="1:11" x14ac:dyDescent="0.35">
      <c r="A243" t="s">
        <v>256</v>
      </c>
      <c r="B243" t="s">
        <v>287</v>
      </c>
      <c r="C243" t="s">
        <v>267</v>
      </c>
      <c r="D243">
        <v>0.2151045104</v>
      </c>
      <c r="E243" t="s">
        <v>829</v>
      </c>
      <c r="F243">
        <v>2023</v>
      </c>
      <c r="G243" t="str">
        <f>TRIM(RIGHT(Table156[[#This Row],[Item-Codigo]], LEN(Table156[[#This Row],[Item-Codigo]]) - FIND("|", CONCATENATE(B243), FIND("|", CONCATENATE(B243)) + 1)))</f>
        <v>UND</v>
      </c>
      <c r="H24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0115-ME</v>
      </c>
      <c r="I243" s="40" t="s">
        <v>474</v>
      </c>
      <c r="J24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0.2151045104</v>
      </c>
      <c r="K243" t="s">
        <v>115</v>
      </c>
    </row>
    <row r="244" spans="1:11" x14ac:dyDescent="0.35">
      <c r="A244" t="s">
        <v>256</v>
      </c>
      <c r="B244" t="s">
        <v>288</v>
      </c>
      <c r="C244" t="s">
        <v>267</v>
      </c>
      <c r="D244">
        <v>0.2150939771</v>
      </c>
      <c r="E244" t="s">
        <v>829</v>
      </c>
      <c r="F244">
        <v>2023</v>
      </c>
      <c r="G244" t="str">
        <f>TRIM(RIGHT(Table156[[#This Row],[Item-Codigo]], LEN(Table156[[#This Row],[Item-Codigo]]) - FIND("|", CONCATENATE(B244), FIND("|", CONCATENATE(B244)) + 1)))</f>
        <v>UND</v>
      </c>
      <c r="H24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0993-ME</v>
      </c>
      <c r="I244" s="40" t="s">
        <v>490</v>
      </c>
      <c r="J24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0.2150939771</v>
      </c>
      <c r="K244" t="s">
        <v>106</v>
      </c>
    </row>
    <row r="245" spans="1:11" x14ac:dyDescent="0.35">
      <c r="A245" t="s">
        <v>256</v>
      </c>
      <c r="B245" t="s">
        <v>890</v>
      </c>
      <c r="C245" t="s">
        <v>262</v>
      </c>
      <c r="D245">
        <v>0.221</v>
      </c>
      <c r="E245" t="s">
        <v>829</v>
      </c>
      <c r="F245">
        <v>2023</v>
      </c>
      <c r="G245" t="str">
        <f>TRIM(RIGHT(Table156[[#This Row],[Item-Codigo]], LEN(Table156[[#This Row],[Item-Codigo]]) - FIND("|", CONCATENATE(B245), FIND("|", CONCATENATE(B245)) + 1)))</f>
        <v>UND</v>
      </c>
      <c r="H24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0996-ME</v>
      </c>
      <c r="I245" s="40" t="s">
        <v>493</v>
      </c>
      <c r="J24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0.221</v>
      </c>
      <c r="K245" t="s">
        <v>121</v>
      </c>
    </row>
    <row r="246" spans="1:11" x14ac:dyDescent="0.35">
      <c r="A246" t="s">
        <v>256</v>
      </c>
      <c r="B246" t="s">
        <v>292</v>
      </c>
      <c r="C246" t="s">
        <v>267</v>
      </c>
      <c r="D246">
        <v>0.2238590909</v>
      </c>
      <c r="E246" t="s">
        <v>829</v>
      </c>
      <c r="F246">
        <v>2023</v>
      </c>
      <c r="G246" t="str">
        <f>TRIM(RIGHT(Table156[[#This Row],[Item-Codigo]], LEN(Table156[[#This Row],[Item-Codigo]]) - FIND("|", CONCATENATE(B246), FIND("|", CONCATENATE(B246)) + 1)))</f>
        <v>UND</v>
      </c>
      <c r="H24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0987-ME</v>
      </c>
      <c r="I246" s="40" t="s">
        <v>488</v>
      </c>
      <c r="J24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0.2238590909</v>
      </c>
      <c r="K246" t="s">
        <v>117</v>
      </c>
    </row>
    <row r="247" spans="1:11" x14ac:dyDescent="0.35">
      <c r="A247" t="s">
        <v>256</v>
      </c>
      <c r="B247" t="s">
        <v>293</v>
      </c>
      <c r="C247" t="s">
        <v>263</v>
      </c>
      <c r="D247">
        <v>0.21</v>
      </c>
      <c r="E247" t="s">
        <v>829</v>
      </c>
      <c r="F247">
        <v>2023</v>
      </c>
      <c r="G247" t="str">
        <f>TRIM(RIGHT(Table156[[#This Row],[Item-Codigo]], LEN(Table156[[#This Row],[Item-Codigo]]) - FIND("|", CONCATENATE(B247), FIND("|", CONCATENATE(B247)) + 1)))</f>
        <v>UND</v>
      </c>
      <c r="H24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0201-ME</v>
      </c>
      <c r="I247" s="40" t="s">
        <v>478</v>
      </c>
      <c r="J24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</v>
      </c>
      <c r="K247" t="s">
        <v>105</v>
      </c>
    </row>
    <row r="248" spans="1:11" x14ac:dyDescent="0.35">
      <c r="A248" t="s">
        <v>256</v>
      </c>
      <c r="B248" t="s">
        <v>296</v>
      </c>
      <c r="C248" t="s">
        <v>262</v>
      </c>
      <c r="D248">
        <v>0.221</v>
      </c>
      <c r="E248" t="s">
        <v>829</v>
      </c>
      <c r="F248">
        <v>2023</v>
      </c>
      <c r="G248" t="str">
        <f>TRIM(RIGHT(Table156[[#This Row],[Item-Codigo]], LEN(Table156[[#This Row],[Item-Codigo]]) - FIND("|", CONCATENATE(B248), FIND("|", CONCATENATE(B248)) + 1)))</f>
        <v>UND</v>
      </c>
      <c r="H24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1018-ME</v>
      </c>
      <c r="I248" s="40" t="s">
        <v>496</v>
      </c>
      <c r="J24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0.221</v>
      </c>
      <c r="K248" t="s">
        <v>109</v>
      </c>
    </row>
    <row r="249" spans="1:11" x14ac:dyDescent="0.35">
      <c r="A249" t="s">
        <v>256</v>
      </c>
      <c r="B249" t="s">
        <v>297</v>
      </c>
      <c r="C249" t="s">
        <v>267</v>
      </c>
      <c r="D249">
        <v>0.22750000000000001</v>
      </c>
      <c r="E249" t="s">
        <v>829</v>
      </c>
      <c r="F249">
        <v>2023</v>
      </c>
      <c r="G249" t="str">
        <f>TRIM(RIGHT(Table156[[#This Row],[Item-Codigo]], LEN(Table156[[#This Row],[Item-Codigo]]) - FIND("|", CONCATENATE(B249), FIND("|", CONCATENATE(B249)) + 1)))</f>
        <v>UND</v>
      </c>
      <c r="H24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0982-ME</v>
      </c>
      <c r="I249" s="40" t="s">
        <v>483</v>
      </c>
      <c r="J24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0.22750000000000001</v>
      </c>
      <c r="K249" t="s">
        <v>114</v>
      </c>
    </row>
    <row r="250" spans="1:11" x14ac:dyDescent="0.35">
      <c r="A250" t="s">
        <v>256</v>
      </c>
      <c r="B250" t="s">
        <v>298</v>
      </c>
      <c r="C250" t="s">
        <v>262</v>
      </c>
      <c r="D250">
        <v>0.221</v>
      </c>
      <c r="E250" t="s">
        <v>829</v>
      </c>
      <c r="F250">
        <v>2023</v>
      </c>
      <c r="G250" t="str">
        <f>TRIM(RIGHT(Table156[[#This Row],[Item-Codigo]], LEN(Table156[[#This Row],[Item-Codigo]]) - FIND("|", CONCATENATE(B250), FIND("|", CONCATENATE(B250)) + 1)))</f>
        <v>UND</v>
      </c>
      <c r="H25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1019-ME</v>
      </c>
      <c r="I250" s="40" t="s">
        <v>497</v>
      </c>
      <c r="J25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0.221</v>
      </c>
      <c r="K250" t="s">
        <v>111</v>
      </c>
    </row>
    <row r="251" spans="1:11" x14ac:dyDescent="0.35">
      <c r="A251" t="s">
        <v>256</v>
      </c>
      <c r="B251" t="s">
        <v>301</v>
      </c>
      <c r="C251" t="s">
        <v>262</v>
      </c>
      <c r="D251">
        <v>0.22969999999999999</v>
      </c>
      <c r="E251" t="s">
        <v>829</v>
      </c>
      <c r="F251">
        <v>2023</v>
      </c>
      <c r="G251" t="str">
        <f>TRIM(RIGHT(Table156[[#This Row],[Item-Codigo]], LEN(Table156[[#This Row],[Item-Codigo]]) - FIND("|", CONCATENATE(B251), FIND("|", CONCATENATE(B251)) + 1)))</f>
        <v>UND</v>
      </c>
      <c r="H25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0171-ME</v>
      </c>
      <c r="I251" s="40" t="s">
        <v>476</v>
      </c>
      <c r="J25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0.22969999999999999</v>
      </c>
      <c r="K251" t="s">
        <v>107</v>
      </c>
    </row>
    <row r="252" spans="1:11" x14ac:dyDescent="0.35">
      <c r="A252" t="s">
        <v>256</v>
      </c>
      <c r="B252" t="s">
        <v>301</v>
      </c>
      <c r="C252" t="s">
        <v>267</v>
      </c>
      <c r="D252">
        <v>0.22600000000000001</v>
      </c>
      <c r="E252" t="s">
        <v>829</v>
      </c>
      <c r="F252">
        <v>2023</v>
      </c>
      <c r="G252" t="str">
        <f>TRIM(RIGHT(Table156[[#This Row],[Item-Codigo]], LEN(Table156[[#This Row],[Item-Codigo]]) - FIND("|", CONCATENATE(B252), FIND("|", CONCATENATE(B252)) + 1)))</f>
        <v>UND</v>
      </c>
      <c r="H25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0171-ME</v>
      </c>
      <c r="I252" s="40" t="s">
        <v>476</v>
      </c>
      <c r="J25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0.22600000000000001</v>
      </c>
      <c r="K252" t="s">
        <v>107</v>
      </c>
    </row>
    <row r="253" spans="1:11" x14ac:dyDescent="0.35">
      <c r="A253" t="s">
        <v>302</v>
      </c>
      <c r="B253" t="s">
        <v>303</v>
      </c>
      <c r="C253" t="s">
        <v>304</v>
      </c>
      <c r="D253">
        <v>2.83</v>
      </c>
      <c r="E253" t="s">
        <v>829</v>
      </c>
      <c r="F253">
        <v>2023</v>
      </c>
      <c r="G253" t="str">
        <f>TRIM(RIGHT(Table156[[#This Row],[Item-Codigo]], LEN(Table156[[#This Row],[Item-Codigo]]) - FIND("|", CONCATENATE(B253), FIND("|", CONCATENATE(B253)) + 1)))</f>
        <v>KG</v>
      </c>
      <c r="H25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511.2</v>
      </c>
      <c r="I253" s="40" t="s">
        <v>545</v>
      </c>
      <c r="J25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2830</v>
      </c>
      <c r="K253" t="s">
        <v>130</v>
      </c>
    </row>
    <row r="254" spans="1:11" x14ac:dyDescent="0.35">
      <c r="A254" t="s">
        <v>305</v>
      </c>
      <c r="B254" t="s">
        <v>310</v>
      </c>
      <c r="C254" t="s">
        <v>311</v>
      </c>
      <c r="D254">
        <v>1.92</v>
      </c>
      <c r="E254" t="s">
        <v>829</v>
      </c>
      <c r="F254">
        <v>2023</v>
      </c>
      <c r="G254" t="str">
        <f>TRIM(RIGHT(Table156[[#This Row],[Item-Codigo]], LEN(Table156[[#This Row],[Item-Codigo]]) - FIND("|", CONCATENATE(B254), FIND("|", CONCATENATE(B254)) + 1)))</f>
        <v>KG</v>
      </c>
      <c r="H25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1010</v>
      </c>
      <c r="I254" s="40">
        <v>1010</v>
      </c>
      <c r="J25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1920</v>
      </c>
      <c r="K254" t="s">
        <v>68</v>
      </c>
    </row>
    <row r="255" spans="1:11" x14ac:dyDescent="0.35">
      <c r="A255" t="s">
        <v>305</v>
      </c>
      <c r="B255" t="s">
        <v>318</v>
      </c>
      <c r="C255" t="s">
        <v>319</v>
      </c>
      <c r="D255">
        <v>5.52</v>
      </c>
      <c r="E255" t="s">
        <v>829</v>
      </c>
      <c r="F255">
        <v>2023</v>
      </c>
      <c r="G255" t="str">
        <f>TRIM(RIGHT(Table156[[#This Row],[Item-Codigo]], LEN(Table156[[#This Row],[Item-Codigo]]) - FIND("|", CONCATENATE(B255), FIND("|", CONCATENATE(B255)) + 1)))</f>
        <v>KG</v>
      </c>
      <c r="H25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900</v>
      </c>
      <c r="I255" s="40">
        <v>900</v>
      </c>
      <c r="J25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5520</v>
      </c>
      <c r="K255" t="s">
        <v>72</v>
      </c>
    </row>
    <row r="256" spans="1:11" x14ac:dyDescent="0.35">
      <c r="A256" t="s">
        <v>305</v>
      </c>
      <c r="B256" t="s">
        <v>320</v>
      </c>
      <c r="C256" t="s">
        <v>321</v>
      </c>
      <c r="D256">
        <v>8.75</v>
      </c>
      <c r="E256" t="s">
        <v>829</v>
      </c>
      <c r="F256">
        <v>2023</v>
      </c>
      <c r="G256" t="str">
        <f>TRIM(RIGHT(Table156[[#This Row],[Item-Codigo]], LEN(Table156[[#This Row],[Item-Codigo]]) - FIND("|", CONCATENATE(B256), FIND("|", CONCATENATE(B256)) + 1)))</f>
        <v>KG</v>
      </c>
      <c r="H25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1009</v>
      </c>
      <c r="I256" s="40">
        <v>1009</v>
      </c>
      <c r="J25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8750</v>
      </c>
      <c r="K256" t="s">
        <v>73</v>
      </c>
    </row>
    <row r="257" spans="1:11" x14ac:dyDescent="0.35">
      <c r="A257" t="s">
        <v>305</v>
      </c>
      <c r="B257" t="s">
        <v>325</v>
      </c>
      <c r="C257" t="s">
        <v>319</v>
      </c>
      <c r="D257">
        <v>5.6</v>
      </c>
      <c r="E257" t="s">
        <v>829</v>
      </c>
      <c r="F257">
        <v>2023</v>
      </c>
      <c r="G257" t="str">
        <f>TRIM(RIGHT(Table156[[#This Row],[Item-Codigo]], LEN(Table156[[#This Row],[Item-Codigo]]) - FIND("|", CONCATENATE(B257), FIND("|", CONCATENATE(B257)) + 1)))</f>
        <v>KG</v>
      </c>
      <c r="H25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1045</v>
      </c>
      <c r="I257" s="40">
        <v>1045</v>
      </c>
      <c r="J25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257" t="s">
        <v>76</v>
      </c>
    </row>
    <row r="258" spans="1:11" x14ac:dyDescent="0.35">
      <c r="A258" t="s">
        <v>305</v>
      </c>
      <c r="B258" t="s">
        <v>326</v>
      </c>
      <c r="C258" t="s">
        <v>327</v>
      </c>
      <c r="D258">
        <v>5.85</v>
      </c>
      <c r="E258" t="s">
        <v>829</v>
      </c>
      <c r="F258">
        <v>2023</v>
      </c>
      <c r="G258" t="str">
        <f>TRIM(RIGHT(Table156[[#This Row],[Item-Codigo]], LEN(Table156[[#This Row],[Item-Codigo]]) - FIND("|", CONCATENATE(B258), FIND("|", CONCATENATE(B258)) + 1)))</f>
        <v>KG</v>
      </c>
      <c r="H25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470.5</v>
      </c>
      <c r="I258" s="40" t="s">
        <v>536</v>
      </c>
      <c r="J25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5850</v>
      </c>
      <c r="K258" t="s">
        <v>77</v>
      </c>
    </row>
    <row r="259" spans="1:11" x14ac:dyDescent="0.35">
      <c r="A259" t="s">
        <v>305</v>
      </c>
      <c r="B259" t="s">
        <v>328</v>
      </c>
      <c r="C259" t="s">
        <v>385</v>
      </c>
      <c r="D259">
        <v>1.6</v>
      </c>
      <c r="E259" t="s">
        <v>829</v>
      </c>
      <c r="F259">
        <v>2023</v>
      </c>
      <c r="G259" t="str">
        <f>TRIM(RIGHT(Table156[[#This Row],[Item-Codigo]], LEN(Table156[[#This Row],[Item-Codigo]]) - FIND("|", CONCATENATE(B259), FIND("|", CONCATENATE(B259)) + 1)))</f>
        <v>KG</v>
      </c>
      <c r="H25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495</v>
      </c>
      <c r="I259" s="40">
        <v>495</v>
      </c>
      <c r="J25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1600</v>
      </c>
      <c r="K259" t="s">
        <v>78</v>
      </c>
    </row>
    <row r="260" spans="1:11" x14ac:dyDescent="0.35">
      <c r="A260" t="s">
        <v>305</v>
      </c>
      <c r="B260" t="s">
        <v>335</v>
      </c>
      <c r="C260" t="s">
        <v>309</v>
      </c>
      <c r="D260">
        <v>1.45</v>
      </c>
      <c r="E260" t="s">
        <v>829</v>
      </c>
      <c r="F260">
        <v>2023</v>
      </c>
      <c r="G260" t="str">
        <f>TRIM(RIGHT(Table156[[#This Row],[Item-Codigo]], LEN(Table156[[#This Row],[Item-Codigo]]) - FIND("|", CONCATENATE(B260), FIND("|", CONCATENATE(B260)) + 1)))</f>
        <v>KG</v>
      </c>
      <c r="H26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131.3</v>
      </c>
      <c r="I260" s="40" t="s">
        <v>523</v>
      </c>
      <c r="J26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1450</v>
      </c>
      <c r="K260" t="s">
        <v>83</v>
      </c>
    </row>
    <row r="261" spans="1:11" x14ac:dyDescent="0.35">
      <c r="A261" t="s">
        <v>305</v>
      </c>
      <c r="B261" t="s">
        <v>336</v>
      </c>
      <c r="C261" t="s">
        <v>327</v>
      </c>
      <c r="D261">
        <v>5</v>
      </c>
      <c r="E261" t="s">
        <v>829</v>
      </c>
      <c r="F261">
        <v>2023</v>
      </c>
      <c r="G261" t="str">
        <f>TRIM(RIGHT(Table156[[#This Row],[Item-Codigo]], LEN(Table156[[#This Row],[Item-Codigo]]) - FIND("|", CONCATENATE(B261), FIND("|", CONCATENATE(B261)) + 1)))</f>
        <v>KG</v>
      </c>
      <c r="H26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340.1</v>
      </c>
      <c r="I261" s="40" t="s">
        <v>529</v>
      </c>
      <c r="J26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5000</v>
      </c>
      <c r="K261" t="s">
        <v>84</v>
      </c>
    </row>
    <row r="262" spans="1:11" x14ac:dyDescent="0.35">
      <c r="A262" t="s">
        <v>305</v>
      </c>
      <c r="B262" t="s">
        <v>337</v>
      </c>
      <c r="C262" t="s">
        <v>307</v>
      </c>
      <c r="D262">
        <v>12.95</v>
      </c>
      <c r="E262" t="s">
        <v>829</v>
      </c>
      <c r="F262">
        <v>2023</v>
      </c>
      <c r="G262" t="str">
        <f>TRIM(RIGHT(Table156[[#This Row],[Item-Codigo]], LEN(Table156[[#This Row],[Item-Codigo]]) - FIND("|", CONCATENATE(B262), FIND("|", CONCATENATE(B262)) + 1)))</f>
        <v>KG</v>
      </c>
      <c r="H26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936</v>
      </c>
      <c r="I262" s="40">
        <v>936</v>
      </c>
      <c r="J26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12950</v>
      </c>
      <c r="K262" t="s">
        <v>85</v>
      </c>
    </row>
    <row r="263" spans="1:11" x14ac:dyDescent="0.35">
      <c r="A263" t="s">
        <v>305</v>
      </c>
      <c r="B263" t="s">
        <v>340</v>
      </c>
      <c r="C263" t="s">
        <v>327</v>
      </c>
      <c r="D263">
        <v>11.25</v>
      </c>
      <c r="E263" t="s">
        <v>829</v>
      </c>
      <c r="F263">
        <v>2023</v>
      </c>
      <c r="G263" t="str">
        <f>TRIM(RIGHT(Table156[[#This Row],[Item-Codigo]], LEN(Table156[[#This Row],[Item-Codigo]]) - FIND("|", CONCATENATE(B263), FIND("|", CONCATENATE(B263)) + 1)))</f>
        <v>KG</v>
      </c>
      <c r="H26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877</v>
      </c>
      <c r="I263" s="40">
        <v>877</v>
      </c>
      <c r="J26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11250</v>
      </c>
      <c r="K263" t="s">
        <v>1074</v>
      </c>
    </row>
    <row r="264" spans="1:11" x14ac:dyDescent="0.35">
      <c r="A264" t="s">
        <v>305</v>
      </c>
      <c r="B264" t="s">
        <v>344</v>
      </c>
      <c r="C264" t="s">
        <v>345</v>
      </c>
      <c r="D264">
        <v>95</v>
      </c>
      <c r="E264" t="s">
        <v>829</v>
      </c>
      <c r="F264">
        <v>2023</v>
      </c>
      <c r="G264" t="str">
        <f>TRIM(RIGHT(Table156[[#This Row],[Item-Codigo]], LEN(Table156[[#This Row],[Item-Codigo]]) - FIND("|", CONCATENATE(B264), FIND("|", CONCATENATE(B264)) + 1)))</f>
        <v>KG</v>
      </c>
      <c r="H26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912.5</v>
      </c>
      <c r="I264" s="40" t="s">
        <v>555</v>
      </c>
      <c r="J26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95000</v>
      </c>
      <c r="K264" t="s">
        <v>90</v>
      </c>
    </row>
    <row r="265" spans="1:11" x14ac:dyDescent="0.35">
      <c r="A265" t="s">
        <v>305</v>
      </c>
      <c r="B265" t="s">
        <v>346</v>
      </c>
      <c r="C265" t="s">
        <v>327</v>
      </c>
      <c r="D265">
        <v>8.5</v>
      </c>
      <c r="E265" t="s">
        <v>829</v>
      </c>
      <c r="F265">
        <v>2023</v>
      </c>
      <c r="G265" t="str">
        <f>TRIM(RIGHT(Table156[[#This Row],[Item-Codigo]], LEN(Table156[[#This Row],[Item-Codigo]]) - FIND("|", CONCATENATE(B265), FIND("|", CONCATENATE(B265)) + 1)))</f>
        <v>KG</v>
      </c>
      <c r="H26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492.12</v>
      </c>
      <c r="I265" s="40" t="s">
        <v>539</v>
      </c>
      <c r="J26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8500</v>
      </c>
      <c r="K265" t="s">
        <v>91</v>
      </c>
    </row>
    <row r="266" spans="1:11" x14ac:dyDescent="0.35">
      <c r="A266" t="s">
        <v>305</v>
      </c>
      <c r="B266" t="s">
        <v>349</v>
      </c>
      <c r="C266" t="s">
        <v>235</v>
      </c>
      <c r="D266">
        <v>2.9366764705000001</v>
      </c>
      <c r="E266" t="s">
        <v>829</v>
      </c>
      <c r="F266">
        <v>2023</v>
      </c>
      <c r="G266" t="str">
        <f>TRIM(RIGHT(Table156[[#This Row],[Item-Codigo]], LEN(Table156[[#This Row],[Item-Codigo]]) - FIND("|", CONCATENATE(B266), FIND("|", CONCATENATE(B266)) + 1)))</f>
        <v>KG</v>
      </c>
      <c r="H26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160</v>
      </c>
      <c r="I266" s="40">
        <v>160</v>
      </c>
      <c r="J26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2936.6764705000001</v>
      </c>
      <c r="K266" t="s">
        <v>175</v>
      </c>
    </row>
    <row r="267" spans="1:11" x14ac:dyDescent="0.35">
      <c r="A267" t="s">
        <v>305</v>
      </c>
      <c r="B267" t="s">
        <v>350</v>
      </c>
      <c r="C267" t="s">
        <v>239</v>
      </c>
      <c r="D267">
        <v>1.86</v>
      </c>
      <c r="E267" t="s">
        <v>829</v>
      </c>
      <c r="F267">
        <v>2023</v>
      </c>
      <c r="G267" t="str">
        <f>TRIM(RIGHT(Table156[[#This Row],[Item-Codigo]], LEN(Table156[[#This Row],[Item-Codigo]]) - FIND("|", CONCATENATE(B267), FIND("|", CONCATENATE(B267)) + 1)))</f>
        <v>KG</v>
      </c>
      <c r="H26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173</v>
      </c>
      <c r="I267" s="40">
        <v>173</v>
      </c>
      <c r="J26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1860</v>
      </c>
      <c r="K267" t="s">
        <v>138</v>
      </c>
    </row>
    <row r="268" spans="1:11" x14ac:dyDescent="0.35">
      <c r="A268" t="s">
        <v>305</v>
      </c>
      <c r="B268" t="s">
        <v>352</v>
      </c>
      <c r="C268" t="s">
        <v>353</v>
      </c>
      <c r="D268">
        <v>9.35</v>
      </c>
      <c r="E268" t="s">
        <v>829</v>
      </c>
      <c r="F268">
        <v>2023</v>
      </c>
      <c r="G268" t="str">
        <f>TRIM(RIGHT(Table156[[#This Row],[Item-Codigo]], LEN(Table156[[#This Row],[Item-Codigo]]) - FIND("|", CONCATENATE(B268), FIND("|", CONCATENATE(B268)) + 1)))</f>
        <v>KG</v>
      </c>
      <c r="H26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742</v>
      </c>
      <c r="I268" s="40">
        <v>742</v>
      </c>
      <c r="J26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9350</v>
      </c>
      <c r="K268" t="s">
        <v>147</v>
      </c>
    </row>
    <row r="269" spans="1:11" x14ac:dyDescent="0.35">
      <c r="A269" t="s">
        <v>305</v>
      </c>
      <c r="B269" t="s">
        <v>354</v>
      </c>
      <c r="C269" t="s">
        <v>353</v>
      </c>
      <c r="D269">
        <v>9.24</v>
      </c>
      <c r="E269" t="s">
        <v>829</v>
      </c>
      <c r="F269">
        <v>2023</v>
      </c>
      <c r="G269" t="str">
        <f>TRIM(RIGHT(Table156[[#This Row],[Item-Codigo]], LEN(Table156[[#This Row],[Item-Codigo]]) - FIND("|", CONCATENATE(B269), FIND("|", CONCATENATE(B269)) + 1)))</f>
        <v>KG</v>
      </c>
      <c r="H26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741</v>
      </c>
      <c r="I269" s="40">
        <v>741</v>
      </c>
      <c r="J26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9240</v>
      </c>
      <c r="K269" t="s">
        <v>146</v>
      </c>
    </row>
    <row r="270" spans="1:11" x14ac:dyDescent="0.35">
      <c r="A270" t="s">
        <v>305</v>
      </c>
      <c r="B270" t="s">
        <v>355</v>
      </c>
      <c r="C270" t="s">
        <v>353</v>
      </c>
      <c r="D270">
        <v>8.85</v>
      </c>
      <c r="E270" t="s">
        <v>829</v>
      </c>
      <c r="F270">
        <v>2023</v>
      </c>
      <c r="G270" t="str">
        <f>TRIM(RIGHT(Table156[[#This Row],[Item-Codigo]], LEN(Table156[[#This Row],[Item-Codigo]]) - FIND("|", CONCATENATE(B270), FIND("|", CONCATENATE(B270)) + 1)))</f>
        <v>KG</v>
      </c>
      <c r="H27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740</v>
      </c>
      <c r="I270" s="40">
        <v>740</v>
      </c>
      <c r="J27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8850</v>
      </c>
      <c r="K270" t="s">
        <v>143</v>
      </c>
    </row>
    <row r="271" spans="1:11" x14ac:dyDescent="0.35">
      <c r="A271" t="s">
        <v>305</v>
      </c>
      <c r="B271" t="s">
        <v>359</v>
      </c>
      <c r="C271" t="s">
        <v>249</v>
      </c>
      <c r="D271">
        <v>1.35</v>
      </c>
      <c r="E271" t="s">
        <v>829</v>
      </c>
      <c r="F271">
        <v>2023</v>
      </c>
      <c r="G271" t="str">
        <f>TRIM(RIGHT(Table156[[#This Row],[Item-Codigo]], LEN(Table156[[#This Row],[Item-Codigo]]) - FIND("|", CONCATENATE(B271), FIND("|", CONCATENATE(B271)) + 1)))</f>
        <v>KG</v>
      </c>
      <c r="H27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</v>
      </c>
      <c r="I271" s="40">
        <v>45</v>
      </c>
      <c r="J27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1350</v>
      </c>
      <c r="K271" t="s">
        <v>131</v>
      </c>
    </row>
    <row r="272" spans="1:11" x14ac:dyDescent="0.35">
      <c r="A272" t="s">
        <v>305</v>
      </c>
      <c r="B272" t="s">
        <v>362</v>
      </c>
      <c r="C272" t="s">
        <v>363</v>
      </c>
      <c r="D272">
        <v>1.31</v>
      </c>
      <c r="E272" t="s">
        <v>829</v>
      </c>
      <c r="F272">
        <v>2023</v>
      </c>
      <c r="G272" t="str">
        <f>TRIM(RIGHT(Table156[[#This Row],[Item-Codigo]], LEN(Table156[[#This Row],[Item-Codigo]]) - FIND("|", CONCATENATE(B272), FIND("|", CONCATENATE(B272)) + 1)))</f>
        <v>KG</v>
      </c>
      <c r="H27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439</v>
      </c>
      <c r="I272" s="40">
        <v>439</v>
      </c>
      <c r="J27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1310</v>
      </c>
      <c r="K272" t="s">
        <v>137</v>
      </c>
    </row>
    <row r="273" spans="1:11" x14ac:dyDescent="0.35">
      <c r="A273" t="s">
        <v>305</v>
      </c>
      <c r="B273" t="s">
        <v>364</v>
      </c>
      <c r="C273" t="s">
        <v>365</v>
      </c>
      <c r="D273">
        <v>1.07</v>
      </c>
      <c r="E273" t="s">
        <v>829</v>
      </c>
      <c r="F273">
        <v>2023</v>
      </c>
      <c r="G273" t="str">
        <f>TRIM(RIGHT(Table156[[#This Row],[Item-Codigo]], LEN(Table156[[#This Row],[Item-Codigo]]) - FIND("|", CONCATENATE(B273), FIND("|", CONCATENATE(B273)) + 1)))</f>
        <v>KG</v>
      </c>
      <c r="H27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488.1</v>
      </c>
      <c r="I273" s="40" t="s">
        <v>538</v>
      </c>
      <c r="J27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1070</v>
      </c>
      <c r="K273" t="s">
        <v>149</v>
      </c>
    </row>
    <row r="274" spans="1:11" x14ac:dyDescent="0.35">
      <c r="A274" t="s">
        <v>305</v>
      </c>
      <c r="B274" t="s">
        <v>366</v>
      </c>
      <c r="C274" t="s">
        <v>365</v>
      </c>
      <c r="D274">
        <v>2.67</v>
      </c>
      <c r="E274" t="s">
        <v>829</v>
      </c>
      <c r="F274">
        <v>2023</v>
      </c>
      <c r="G274" t="str">
        <f>TRIM(RIGHT(Table156[[#This Row],[Item-Codigo]], LEN(Table156[[#This Row],[Item-Codigo]]) - FIND("|", CONCATENATE(B274), FIND("|", CONCATENATE(B274)) + 1)))</f>
        <v>KG</v>
      </c>
      <c r="H27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499.11</v>
      </c>
      <c r="I274" s="40" t="s">
        <v>543</v>
      </c>
      <c r="J27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2670</v>
      </c>
      <c r="K274" t="s">
        <v>142</v>
      </c>
    </row>
    <row r="275" spans="1:11" x14ac:dyDescent="0.35">
      <c r="A275" t="s">
        <v>305</v>
      </c>
      <c r="B275" t="s">
        <v>367</v>
      </c>
      <c r="C275" t="s">
        <v>321</v>
      </c>
      <c r="D275">
        <v>2.15</v>
      </c>
      <c r="E275" t="s">
        <v>829</v>
      </c>
      <c r="F275">
        <v>2023</v>
      </c>
      <c r="G275" t="str">
        <f>TRIM(RIGHT(Table156[[#This Row],[Item-Codigo]], LEN(Table156[[#This Row],[Item-Codigo]]) - FIND("|", CONCATENATE(B275), FIND("|", CONCATENATE(B275)) + 1)))</f>
        <v>KG</v>
      </c>
      <c r="H27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910</v>
      </c>
      <c r="I275" s="40">
        <v>910</v>
      </c>
      <c r="J27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2150</v>
      </c>
      <c r="K275" t="s">
        <v>136</v>
      </c>
    </row>
    <row r="276" spans="1:11" x14ac:dyDescent="0.35">
      <c r="A276" t="s">
        <v>305</v>
      </c>
      <c r="B276" t="s">
        <v>372</v>
      </c>
      <c r="C276" t="s">
        <v>373</v>
      </c>
      <c r="D276">
        <v>1.2</v>
      </c>
      <c r="E276" t="s">
        <v>829</v>
      </c>
      <c r="F276">
        <v>2023</v>
      </c>
      <c r="G276" t="str">
        <f>TRIM(RIGHT(Table156[[#This Row],[Item-Codigo]], LEN(Table156[[#This Row],[Item-Codigo]]) - FIND("|", CONCATENATE(B276), FIND("|", CONCATENATE(B276)) + 1)))</f>
        <v>KG</v>
      </c>
      <c r="H27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701.2</v>
      </c>
      <c r="I276" s="40" t="s">
        <v>553</v>
      </c>
      <c r="J27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1200</v>
      </c>
      <c r="K276" t="s">
        <v>140</v>
      </c>
    </row>
    <row r="277" spans="1:11" x14ac:dyDescent="0.35">
      <c r="A277" t="s">
        <v>305</v>
      </c>
      <c r="B277" t="s">
        <v>374</v>
      </c>
      <c r="C277" t="s">
        <v>317</v>
      </c>
      <c r="D277">
        <v>15.9</v>
      </c>
      <c r="E277" t="s">
        <v>829</v>
      </c>
      <c r="F277">
        <v>2023</v>
      </c>
      <c r="G277" t="str">
        <f>TRIM(RIGHT(Table156[[#This Row],[Item-Codigo]], LEN(Table156[[#This Row],[Item-Codigo]]) - FIND("|", CONCATENATE(B277), FIND("|", CONCATENATE(B277)) + 1)))</f>
        <v>KG</v>
      </c>
      <c r="H27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1051</v>
      </c>
      <c r="I277" s="40">
        <v>1051</v>
      </c>
      <c r="J27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15900</v>
      </c>
      <c r="K277" t="s">
        <v>173</v>
      </c>
    </row>
    <row r="278" spans="1:11" x14ac:dyDescent="0.35">
      <c r="A278" t="s">
        <v>305</v>
      </c>
      <c r="B278" t="s">
        <v>375</v>
      </c>
      <c r="C278" t="s">
        <v>317</v>
      </c>
      <c r="D278">
        <v>6</v>
      </c>
      <c r="E278" t="s">
        <v>829</v>
      </c>
      <c r="F278">
        <v>2023</v>
      </c>
      <c r="G278" t="str">
        <f>TRIM(RIGHT(Table156[[#This Row],[Item-Codigo]], LEN(Table156[[#This Row],[Item-Codigo]]) - FIND("|", CONCATENATE(B278), FIND("|", CONCATENATE(B278)) + 1)))</f>
        <v>KG</v>
      </c>
      <c r="H27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945</v>
      </c>
      <c r="I278" s="40">
        <v>945</v>
      </c>
      <c r="J27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278" t="s">
        <v>148</v>
      </c>
    </row>
    <row r="279" spans="1:11" x14ac:dyDescent="0.35">
      <c r="A279" t="s">
        <v>305</v>
      </c>
      <c r="B279" t="s">
        <v>376</v>
      </c>
      <c r="C279" t="s">
        <v>377</v>
      </c>
      <c r="D279">
        <v>2.6</v>
      </c>
      <c r="E279" t="s">
        <v>829</v>
      </c>
      <c r="F279">
        <v>2023</v>
      </c>
      <c r="G279" t="str">
        <f>TRIM(RIGHT(Table156[[#This Row],[Item-Codigo]], LEN(Table156[[#This Row],[Item-Codigo]]) - FIND("|", CONCATENATE(B279), FIND("|", CONCATENATE(B279)) + 1)))</f>
        <v>KG</v>
      </c>
      <c r="H27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311</v>
      </c>
      <c r="I279" s="40">
        <v>311</v>
      </c>
      <c r="J27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2600</v>
      </c>
      <c r="K279" t="s">
        <v>168</v>
      </c>
    </row>
    <row r="280" spans="1:11" x14ac:dyDescent="0.35">
      <c r="A280" t="s">
        <v>305</v>
      </c>
      <c r="B280" t="s">
        <v>378</v>
      </c>
      <c r="C280" t="s">
        <v>377</v>
      </c>
      <c r="D280">
        <v>2.15</v>
      </c>
      <c r="E280" t="s">
        <v>829</v>
      </c>
      <c r="F280">
        <v>2023</v>
      </c>
      <c r="G280" t="str">
        <f>TRIM(RIGHT(Table156[[#This Row],[Item-Codigo]], LEN(Table156[[#This Row],[Item-Codigo]]) - FIND("|", CONCATENATE(B280), FIND("|", CONCATENATE(B280)) + 1)))</f>
        <v>KG</v>
      </c>
      <c r="H28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316</v>
      </c>
      <c r="I280" s="40">
        <v>316</v>
      </c>
      <c r="J28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2150</v>
      </c>
      <c r="K280" t="s">
        <v>165</v>
      </c>
    </row>
    <row r="281" spans="1:11" x14ac:dyDescent="0.35">
      <c r="A281" t="s">
        <v>305</v>
      </c>
      <c r="B281" t="s">
        <v>380</v>
      </c>
      <c r="C281" t="s">
        <v>381</v>
      </c>
      <c r="D281">
        <v>4</v>
      </c>
      <c r="E281" t="s">
        <v>829</v>
      </c>
      <c r="F281">
        <v>2023</v>
      </c>
      <c r="G281" t="str">
        <f>TRIM(RIGHT(Table156[[#This Row],[Item-Codigo]], LEN(Table156[[#This Row],[Item-Codigo]]) - FIND("|", CONCATENATE(B281), FIND("|", CONCATENATE(B281)) + 1)))</f>
        <v>KG</v>
      </c>
      <c r="H28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706</v>
      </c>
      <c r="I281" s="40">
        <v>706</v>
      </c>
      <c r="J28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</v>
      </c>
      <c r="K281" t="s">
        <v>156</v>
      </c>
    </row>
    <row r="282" spans="1:11" x14ac:dyDescent="0.35">
      <c r="A282" t="s">
        <v>305</v>
      </c>
      <c r="B282" t="s">
        <v>382</v>
      </c>
      <c r="C282" t="s">
        <v>327</v>
      </c>
      <c r="D282">
        <v>8</v>
      </c>
      <c r="E282" t="s">
        <v>829</v>
      </c>
      <c r="F282">
        <v>2023</v>
      </c>
      <c r="G282" t="str">
        <f>TRIM(RIGHT(Table156[[#This Row],[Item-Codigo]], LEN(Table156[[#This Row],[Item-Codigo]]) - FIND("|", CONCATENATE(B282), FIND("|", CONCATENATE(B282)) + 1)))</f>
        <v>KG</v>
      </c>
      <c r="H28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68</v>
      </c>
      <c r="I282" s="40">
        <v>68</v>
      </c>
      <c r="J28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8000</v>
      </c>
      <c r="K282" t="s">
        <v>160</v>
      </c>
    </row>
    <row r="283" spans="1:11" x14ac:dyDescent="0.35">
      <c r="A283" t="s">
        <v>305</v>
      </c>
      <c r="B283" t="s">
        <v>383</v>
      </c>
      <c r="C283" t="s">
        <v>317</v>
      </c>
      <c r="D283">
        <v>7.8</v>
      </c>
      <c r="E283" t="s">
        <v>829</v>
      </c>
      <c r="F283">
        <v>2023</v>
      </c>
      <c r="G283" t="str">
        <f>TRIM(RIGHT(Table156[[#This Row],[Item-Codigo]], LEN(Table156[[#This Row],[Item-Codigo]]) - FIND("|", CONCATENATE(B283), FIND("|", CONCATENATE(B283)) + 1)))</f>
        <v>KG</v>
      </c>
      <c r="H28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1059</v>
      </c>
      <c r="I283" s="40">
        <v>1059</v>
      </c>
      <c r="J28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7800</v>
      </c>
      <c r="K283" t="s">
        <v>151</v>
      </c>
    </row>
    <row r="284" spans="1:11" x14ac:dyDescent="0.35">
      <c r="A284" t="s">
        <v>305</v>
      </c>
      <c r="B284" t="s">
        <v>384</v>
      </c>
      <c r="C284" t="s">
        <v>385</v>
      </c>
      <c r="D284">
        <v>40</v>
      </c>
      <c r="E284" t="s">
        <v>829</v>
      </c>
      <c r="F284">
        <v>2023</v>
      </c>
      <c r="G284" t="str">
        <f>TRIM(RIGHT(Table156[[#This Row],[Item-Codigo]], LEN(Table156[[#This Row],[Item-Codigo]]) - FIND("|", CONCATENATE(B284), FIND("|", CONCATENATE(B284)) + 1)))</f>
        <v>KG</v>
      </c>
      <c r="H28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527.1</v>
      </c>
      <c r="I284" s="40" t="s">
        <v>547</v>
      </c>
      <c r="J28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40000</v>
      </c>
      <c r="K284" t="s">
        <v>1078</v>
      </c>
    </row>
    <row r="285" spans="1:11" x14ac:dyDescent="0.35">
      <c r="A285" t="s">
        <v>305</v>
      </c>
      <c r="B285" t="s">
        <v>386</v>
      </c>
      <c r="C285" t="s">
        <v>387</v>
      </c>
      <c r="D285">
        <v>5.8</v>
      </c>
      <c r="E285" t="s">
        <v>829</v>
      </c>
      <c r="F285">
        <v>2023</v>
      </c>
      <c r="G285" t="str">
        <f>TRIM(RIGHT(Table156[[#This Row],[Item-Codigo]], LEN(Table156[[#This Row],[Item-Codigo]]) - FIND("|", CONCATENATE(B285), FIND("|", CONCATENATE(B285)) + 1)))</f>
        <v>KG</v>
      </c>
      <c r="H28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110.2</v>
      </c>
      <c r="I285" s="40" t="s">
        <v>522</v>
      </c>
      <c r="J28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5800</v>
      </c>
      <c r="K285" t="s">
        <v>170</v>
      </c>
    </row>
    <row r="286" spans="1:11" x14ac:dyDescent="0.35">
      <c r="A286" t="s">
        <v>305</v>
      </c>
      <c r="B286" t="s">
        <v>388</v>
      </c>
      <c r="C286" t="s">
        <v>321</v>
      </c>
      <c r="D286">
        <v>7.4</v>
      </c>
      <c r="E286" t="s">
        <v>829</v>
      </c>
      <c r="F286">
        <v>2023</v>
      </c>
      <c r="G286" t="str">
        <f>TRIM(RIGHT(Table156[[#This Row],[Item-Codigo]], LEN(Table156[[#This Row],[Item-Codigo]]) - FIND("|", CONCATENATE(B286), FIND("|", CONCATENATE(B286)) + 1)))</f>
        <v>KG</v>
      </c>
      <c r="H28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1068</v>
      </c>
      <c r="I286" s="40">
        <v>1068</v>
      </c>
      <c r="J28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7400</v>
      </c>
      <c r="K286" t="s">
        <v>145</v>
      </c>
    </row>
    <row r="287" spans="1:11" x14ac:dyDescent="0.35">
      <c r="A287" t="s">
        <v>305</v>
      </c>
      <c r="B287" t="s">
        <v>389</v>
      </c>
      <c r="C287" t="s">
        <v>390</v>
      </c>
      <c r="D287">
        <v>1.05</v>
      </c>
      <c r="E287" t="s">
        <v>829</v>
      </c>
      <c r="F287">
        <v>2023</v>
      </c>
      <c r="G287" t="str">
        <f>TRIM(RIGHT(Table156[[#This Row],[Item-Codigo]], LEN(Table156[[#This Row],[Item-Codigo]]) - FIND("|", CONCATENATE(B287), FIND("|", CONCATENATE(B287)) + 1)))</f>
        <v>KG</v>
      </c>
      <c r="H28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806</v>
      </c>
      <c r="I287" s="40">
        <v>806</v>
      </c>
      <c r="J28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1050</v>
      </c>
      <c r="K287" t="s">
        <v>134</v>
      </c>
    </row>
    <row r="288" spans="1:11" x14ac:dyDescent="0.35">
      <c r="A288" t="s">
        <v>305</v>
      </c>
      <c r="B288" t="s">
        <v>391</v>
      </c>
      <c r="C288" t="s">
        <v>390</v>
      </c>
      <c r="D288">
        <v>2</v>
      </c>
      <c r="E288" t="s">
        <v>829</v>
      </c>
      <c r="F288">
        <v>2023</v>
      </c>
      <c r="G288" t="str">
        <f>TRIM(RIGHT(Table156[[#This Row],[Item-Codigo]], LEN(Table156[[#This Row],[Item-Codigo]]) - FIND("|", CONCATENATE(B288), FIND("|", CONCATENATE(B288)) + 1)))</f>
        <v>KG</v>
      </c>
      <c r="H28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810</v>
      </c>
      <c r="I288" s="40">
        <v>810</v>
      </c>
      <c r="J28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2000</v>
      </c>
      <c r="K288" t="s">
        <v>144</v>
      </c>
    </row>
    <row r="289" spans="1:11" x14ac:dyDescent="0.35">
      <c r="A289" t="s">
        <v>305</v>
      </c>
      <c r="B289" t="s">
        <v>396</v>
      </c>
      <c r="C289" t="s">
        <v>345</v>
      </c>
      <c r="D289">
        <v>13.4</v>
      </c>
      <c r="E289" t="s">
        <v>829</v>
      </c>
      <c r="F289">
        <v>2023</v>
      </c>
      <c r="G289" t="str">
        <f>TRIM(RIGHT(Table156[[#This Row],[Item-Codigo]], LEN(Table156[[#This Row],[Item-Codigo]]) - FIND("|", CONCATENATE(B289), FIND("|", CONCATENATE(B289)) + 1)))</f>
        <v>KG</v>
      </c>
      <c r="H28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58</v>
      </c>
      <c r="I289" s="40">
        <v>58</v>
      </c>
      <c r="J28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13400</v>
      </c>
      <c r="K289" t="s">
        <v>172</v>
      </c>
    </row>
    <row r="290" spans="1:11" x14ac:dyDescent="0.35">
      <c r="A290" t="s">
        <v>305</v>
      </c>
      <c r="B290" t="s">
        <v>919</v>
      </c>
      <c r="C290" t="s">
        <v>399</v>
      </c>
      <c r="D290">
        <v>4.0891472868000003</v>
      </c>
      <c r="E290" t="s">
        <v>829</v>
      </c>
      <c r="F290">
        <v>2023</v>
      </c>
      <c r="G290" t="str">
        <f>TRIM(RIGHT(Table156[[#This Row],[Item-Codigo]], LEN(Table156[[#This Row],[Item-Codigo]]) - FIND("|", CONCATENATE(B290), FIND("|", CONCATENATE(B290)) + 1)))</f>
        <v>S 25KG</v>
      </c>
      <c r="H29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704</v>
      </c>
      <c r="I290" s="40">
        <v>704</v>
      </c>
      <c r="J29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4089.1472868000001</v>
      </c>
      <c r="K290" t="s">
        <v>132</v>
      </c>
    </row>
    <row r="291" spans="1:11" x14ac:dyDescent="0.35">
      <c r="A291" t="s">
        <v>305</v>
      </c>
      <c r="B291" t="s">
        <v>921</v>
      </c>
      <c r="C291" t="s">
        <v>348</v>
      </c>
      <c r="D291">
        <v>4</v>
      </c>
      <c r="E291" t="s">
        <v>829</v>
      </c>
      <c r="F291">
        <v>2023</v>
      </c>
      <c r="G291" t="str">
        <f>TRIM(RIGHT(Table156[[#This Row],[Item-Codigo]], LEN(Table156[[#This Row],[Item-Codigo]]) - FIND("|", CONCATENATE(B291), FIND("|", CONCATENATE(B291)) + 1)))</f>
        <v>KG</v>
      </c>
      <c r="H29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475.1</v>
      </c>
      <c r="I291" s="40" t="s">
        <v>537</v>
      </c>
      <c r="J29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</v>
      </c>
      <c r="K291" t="s">
        <v>82</v>
      </c>
    </row>
    <row r="292" spans="1:11" x14ac:dyDescent="0.35">
      <c r="A292" t="s">
        <v>305</v>
      </c>
      <c r="B292" t="s">
        <v>400</v>
      </c>
      <c r="C292" t="s">
        <v>319</v>
      </c>
      <c r="D292">
        <v>13.2</v>
      </c>
      <c r="E292" t="s">
        <v>829</v>
      </c>
      <c r="F292">
        <v>2023</v>
      </c>
      <c r="G292" t="str">
        <f>TRIM(RIGHT(Table156[[#This Row],[Item-Codigo]], LEN(Table156[[#This Row],[Item-Codigo]]) - FIND("|", CONCATENATE(B292), FIND("|", CONCATENATE(B292)) + 1)))</f>
        <v>KG</v>
      </c>
      <c r="H29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907</v>
      </c>
      <c r="I292" s="40">
        <v>907</v>
      </c>
      <c r="J29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13200</v>
      </c>
      <c r="K292" t="s">
        <v>155</v>
      </c>
    </row>
    <row r="293" spans="1:11" x14ac:dyDescent="0.35">
      <c r="A293" t="s">
        <v>305</v>
      </c>
      <c r="B293" t="s">
        <v>401</v>
      </c>
      <c r="C293" t="s">
        <v>345</v>
      </c>
      <c r="D293">
        <v>33.85</v>
      </c>
      <c r="E293" t="s">
        <v>829</v>
      </c>
      <c r="F293">
        <v>2023</v>
      </c>
      <c r="G293" t="str">
        <f>TRIM(RIGHT(Table156[[#This Row],[Item-Codigo]], LEN(Table156[[#This Row],[Item-Codigo]]) - FIND("|", CONCATENATE(B293), FIND("|", CONCATENATE(B293)) + 1)))</f>
        <v>KG</v>
      </c>
      <c r="H29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1049</v>
      </c>
      <c r="I293" s="40">
        <v>1049</v>
      </c>
      <c r="J29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33850</v>
      </c>
      <c r="K293" t="s">
        <v>973</v>
      </c>
    </row>
    <row r="294" spans="1:11" x14ac:dyDescent="0.35">
      <c r="A294" t="s">
        <v>305</v>
      </c>
      <c r="B294" t="s">
        <v>403</v>
      </c>
      <c r="C294" t="s">
        <v>404</v>
      </c>
      <c r="D294">
        <v>0.98</v>
      </c>
      <c r="E294" t="s">
        <v>829</v>
      </c>
      <c r="F294">
        <v>2023</v>
      </c>
      <c r="G294" t="str">
        <f>TRIM(RIGHT(Table156[[#This Row],[Item-Codigo]], LEN(Table156[[#This Row],[Item-Codigo]]) - FIND("|", CONCATENATE(B294), FIND("|", CONCATENATE(B294)) + 1)))</f>
        <v>KG</v>
      </c>
      <c r="H29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497.5</v>
      </c>
      <c r="I294" s="40" t="s">
        <v>540</v>
      </c>
      <c r="J29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980</v>
      </c>
      <c r="K294" t="s">
        <v>133</v>
      </c>
    </row>
    <row r="295" spans="1:11" x14ac:dyDescent="0.35">
      <c r="A295" t="s">
        <v>305</v>
      </c>
      <c r="B295" t="s">
        <v>407</v>
      </c>
      <c r="C295" t="s">
        <v>390</v>
      </c>
      <c r="D295">
        <v>1.18</v>
      </c>
      <c r="E295" t="s">
        <v>829</v>
      </c>
      <c r="F295">
        <v>2023</v>
      </c>
      <c r="G295" t="str">
        <f>TRIM(RIGHT(Table156[[#This Row],[Item-Codigo]], LEN(Table156[[#This Row],[Item-Codigo]]) - FIND("|", CONCATENATE(B295), FIND("|", CONCATENATE(B295)) + 1)))</f>
        <v>KG</v>
      </c>
      <c r="H29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46.5</v>
      </c>
      <c r="I295" s="40" t="s">
        <v>535</v>
      </c>
      <c r="J29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1180</v>
      </c>
      <c r="K295" t="s">
        <v>161</v>
      </c>
    </row>
    <row r="296" spans="1:11" x14ac:dyDescent="0.35">
      <c r="A296" t="s">
        <v>305</v>
      </c>
      <c r="B296" t="s">
        <v>408</v>
      </c>
      <c r="C296" t="s">
        <v>315</v>
      </c>
      <c r="D296">
        <v>2.02</v>
      </c>
      <c r="E296" t="s">
        <v>829</v>
      </c>
      <c r="F296">
        <v>2023</v>
      </c>
      <c r="G296" t="str">
        <f>TRIM(RIGHT(Table156[[#This Row],[Item-Codigo]], LEN(Table156[[#This Row],[Item-Codigo]]) - FIND("|", CONCATENATE(B296), FIND("|", CONCATENATE(B296)) + 1)))</f>
        <v>KG</v>
      </c>
      <c r="H29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379</v>
      </c>
      <c r="I296" s="40">
        <v>379</v>
      </c>
      <c r="J29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2020</v>
      </c>
      <c r="K296" t="s">
        <v>139</v>
      </c>
    </row>
    <row r="297" spans="1:11" x14ac:dyDescent="0.35">
      <c r="A297" t="s">
        <v>305</v>
      </c>
      <c r="B297" t="s">
        <v>410</v>
      </c>
      <c r="C297" t="s">
        <v>315</v>
      </c>
      <c r="D297">
        <v>4.45</v>
      </c>
      <c r="E297" t="s">
        <v>829</v>
      </c>
      <c r="F297">
        <v>2023</v>
      </c>
      <c r="G297" t="str">
        <f>TRIM(RIGHT(Table156[[#This Row],[Item-Codigo]], LEN(Table156[[#This Row],[Item-Codigo]]) - FIND("|", CONCATENATE(B297), FIND("|", CONCATENATE(B297)) + 1)))</f>
        <v>KG</v>
      </c>
      <c r="H29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508</v>
      </c>
      <c r="I297" s="40">
        <v>508</v>
      </c>
      <c r="J29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4450</v>
      </c>
      <c r="K297" t="s">
        <v>154</v>
      </c>
    </row>
    <row r="298" spans="1:11" x14ac:dyDescent="0.35">
      <c r="A298" t="s">
        <v>305</v>
      </c>
      <c r="B298" t="s">
        <v>412</v>
      </c>
      <c r="C298" t="s">
        <v>348</v>
      </c>
      <c r="D298">
        <v>29</v>
      </c>
      <c r="E298" t="s">
        <v>829</v>
      </c>
      <c r="F298">
        <v>2023</v>
      </c>
      <c r="G298" t="str">
        <f>TRIM(RIGHT(Table156[[#This Row],[Item-Codigo]], LEN(Table156[[#This Row],[Item-Codigo]]) - FIND("|", CONCATENATE(B298), FIND("|", CONCATENATE(B298)) + 1)))</f>
        <v>KG</v>
      </c>
      <c r="H29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981.2</v>
      </c>
      <c r="I298" s="40" t="s">
        <v>556</v>
      </c>
      <c r="J29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29000</v>
      </c>
      <c r="K298" t="s">
        <v>171</v>
      </c>
    </row>
    <row r="299" spans="1:11" x14ac:dyDescent="0.35">
      <c r="A299" t="s">
        <v>305</v>
      </c>
      <c r="B299" t="s">
        <v>414</v>
      </c>
      <c r="C299" t="s">
        <v>415</v>
      </c>
      <c r="D299">
        <v>6.96</v>
      </c>
      <c r="E299" t="s">
        <v>829</v>
      </c>
      <c r="F299">
        <v>2023</v>
      </c>
      <c r="G299" t="str">
        <f>TRIM(RIGHT(Table156[[#This Row],[Item-Codigo]], LEN(Table156[[#This Row],[Item-Codigo]]) - FIND("|", CONCATENATE(B299), FIND("|", CONCATENATE(B299)) + 1)))</f>
        <v>KG</v>
      </c>
      <c r="H29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455.3</v>
      </c>
      <c r="I299" s="40" t="s">
        <v>532</v>
      </c>
      <c r="J29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6960</v>
      </c>
      <c r="K299" t="s">
        <v>150</v>
      </c>
    </row>
    <row r="300" spans="1:11" x14ac:dyDescent="0.35">
      <c r="A300" t="s">
        <v>196</v>
      </c>
      <c r="B300" t="s">
        <v>823</v>
      </c>
      <c r="C300" t="s">
        <v>215</v>
      </c>
      <c r="D300">
        <v>800.21533721319997</v>
      </c>
      <c r="E300" t="s">
        <v>197</v>
      </c>
      <c r="F300">
        <v>2023</v>
      </c>
      <c r="G300" t="str">
        <f>TRIM(RIGHT(Table156[[#This Row],[Item-Codigo]], LEN(Table156[[#This Row],[Item-Codigo]]) - FIND("|", CONCATENATE(B300), FIND("|", CONCATENATE(B300)) + 1)))</f>
        <v>TM</v>
      </c>
      <c r="H30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114</v>
      </c>
      <c r="I300" s="40">
        <v>114</v>
      </c>
      <c r="J30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800.21533721319997</v>
      </c>
      <c r="K300" t="s">
        <v>184</v>
      </c>
    </row>
    <row r="301" spans="1:11" x14ac:dyDescent="0.35">
      <c r="A301" t="s">
        <v>196</v>
      </c>
      <c r="B301" t="s">
        <v>824</v>
      </c>
      <c r="C301" t="s">
        <v>817</v>
      </c>
      <c r="D301">
        <v>18.999942765299998</v>
      </c>
      <c r="E301" t="s">
        <v>197</v>
      </c>
      <c r="F301">
        <v>2023</v>
      </c>
      <c r="G301" t="str">
        <f>TRIM(RIGHT(Table156[[#This Row],[Item-Codigo]], LEN(Table156[[#This Row],[Item-Codigo]]) - FIND("|", CONCATENATE(B301), FIND("|", CONCATENATE(B301)) + 1)))</f>
        <v>QQ</v>
      </c>
      <c r="H30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808</v>
      </c>
      <c r="I301" s="40">
        <v>808</v>
      </c>
      <c r="J301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417.99874083659995</v>
      </c>
      <c r="K301" t="s">
        <v>182</v>
      </c>
    </row>
    <row r="302" spans="1:11" x14ac:dyDescent="0.35">
      <c r="A302" t="s">
        <v>198</v>
      </c>
      <c r="B302" t="s">
        <v>219</v>
      </c>
      <c r="C302" t="s">
        <v>222</v>
      </c>
      <c r="D302">
        <v>960</v>
      </c>
      <c r="E302" t="s">
        <v>197</v>
      </c>
      <c r="F302">
        <v>2023</v>
      </c>
      <c r="G302" t="str">
        <f>TRIM(RIGHT(Table156[[#This Row],[Item-Codigo]], LEN(Table156[[#This Row],[Item-Codigo]]) - FIND("|", CONCATENATE(B302), FIND("|", CONCATENATE(B302)) + 1)))</f>
        <v>TM</v>
      </c>
      <c r="H30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302" s="40">
        <v>42</v>
      </c>
      <c r="J30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960</v>
      </c>
      <c r="K302" t="s">
        <v>94</v>
      </c>
    </row>
    <row r="303" spans="1:11" x14ac:dyDescent="0.35">
      <c r="A303" t="s">
        <v>198</v>
      </c>
      <c r="B303" t="s">
        <v>224</v>
      </c>
      <c r="C303" t="s">
        <v>223</v>
      </c>
      <c r="D303">
        <v>1870</v>
      </c>
      <c r="E303" t="s">
        <v>197</v>
      </c>
      <c r="F303">
        <v>2023</v>
      </c>
      <c r="G303" t="str">
        <f>TRIM(RIGHT(Table156[[#This Row],[Item-Codigo]], LEN(Table156[[#This Row],[Item-Codigo]]) - FIND("|", CONCATENATE(B303), FIND("|", CONCATENATE(B303)) + 1)))</f>
        <v>TM</v>
      </c>
      <c r="H30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40</v>
      </c>
      <c r="I303" s="40">
        <v>40</v>
      </c>
      <c r="J30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1870</v>
      </c>
      <c r="K303" t="s">
        <v>95</v>
      </c>
    </row>
    <row r="304" spans="1:11" x14ac:dyDescent="0.35">
      <c r="A304" t="s">
        <v>198</v>
      </c>
      <c r="B304" t="s">
        <v>224</v>
      </c>
      <c r="C304" t="s">
        <v>831</v>
      </c>
      <c r="D304">
        <v>1850</v>
      </c>
      <c r="E304" t="s">
        <v>197</v>
      </c>
      <c r="F304">
        <v>2023</v>
      </c>
      <c r="G304" t="str">
        <f>TRIM(RIGHT(Table156[[#This Row],[Item-Codigo]], LEN(Table156[[#This Row],[Item-Codigo]]) - FIND("|", CONCATENATE(B304), FIND("|", CONCATENATE(B304)) + 1)))</f>
        <v>TM</v>
      </c>
      <c r="H30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40</v>
      </c>
      <c r="I304" s="40">
        <v>40</v>
      </c>
      <c r="J30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1850</v>
      </c>
      <c r="K304" t="s">
        <v>95</v>
      </c>
    </row>
    <row r="305" spans="1:11" x14ac:dyDescent="0.35">
      <c r="A305" t="s">
        <v>198</v>
      </c>
      <c r="B305" t="s">
        <v>228</v>
      </c>
      <c r="C305" t="s">
        <v>832</v>
      </c>
      <c r="D305">
        <v>385.29049680309998</v>
      </c>
      <c r="E305" t="s">
        <v>197</v>
      </c>
      <c r="F305">
        <v>2023</v>
      </c>
      <c r="G305" t="str">
        <f>TRIM(RIGHT(Table156[[#This Row],[Item-Codigo]], LEN(Table156[[#This Row],[Item-Codigo]]) - FIND("|", CONCATENATE(B305), FIND("|", CONCATENATE(B305)) + 1)))</f>
        <v>TM</v>
      </c>
      <c r="H30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305" s="40">
        <v>200</v>
      </c>
      <c r="J30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385.29049680309998</v>
      </c>
      <c r="K305" t="s">
        <v>97</v>
      </c>
    </row>
    <row r="306" spans="1:11" x14ac:dyDescent="0.35">
      <c r="A306" t="s">
        <v>198</v>
      </c>
      <c r="B306" t="s">
        <v>228</v>
      </c>
      <c r="C306" t="s">
        <v>833</v>
      </c>
      <c r="D306">
        <v>410</v>
      </c>
      <c r="E306" t="s">
        <v>197</v>
      </c>
      <c r="F306">
        <v>2023</v>
      </c>
      <c r="G306" t="str">
        <f>TRIM(RIGHT(Table156[[#This Row],[Item-Codigo]], LEN(Table156[[#This Row],[Item-Codigo]]) - FIND("|", CONCATENATE(B306), FIND("|", CONCATENATE(B306)) + 1)))</f>
        <v>TM</v>
      </c>
      <c r="H30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306" s="40">
        <v>200</v>
      </c>
      <c r="J30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410</v>
      </c>
      <c r="K306" t="s">
        <v>97</v>
      </c>
    </row>
    <row r="307" spans="1:11" x14ac:dyDescent="0.35">
      <c r="A307" t="s">
        <v>198</v>
      </c>
      <c r="B307" t="s">
        <v>228</v>
      </c>
      <c r="C307" t="s">
        <v>218</v>
      </c>
      <c r="D307">
        <v>393.90550162836399</v>
      </c>
      <c r="E307" t="s">
        <v>197</v>
      </c>
      <c r="F307">
        <v>2023</v>
      </c>
      <c r="G307" t="str">
        <f>TRIM(RIGHT(Table156[[#This Row],[Item-Codigo]], LEN(Table156[[#This Row],[Item-Codigo]]) - FIND("|", CONCATENATE(B307), FIND("|", CONCATENATE(B307)) + 1)))</f>
        <v>TM</v>
      </c>
      <c r="H30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307" s="40">
        <v>200</v>
      </c>
      <c r="J30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393.90550162836399</v>
      </c>
      <c r="K307" t="s">
        <v>97</v>
      </c>
    </row>
    <row r="308" spans="1:11" x14ac:dyDescent="0.35">
      <c r="A308" t="s">
        <v>198</v>
      </c>
      <c r="B308" t="s">
        <v>835</v>
      </c>
      <c r="C308" t="s">
        <v>231</v>
      </c>
      <c r="D308">
        <v>2.2999999999999998</v>
      </c>
      <c r="E308" t="s">
        <v>197</v>
      </c>
      <c r="F308">
        <v>2023</v>
      </c>
      <c r="G308" t="str">
        <f>TRIM(RIGHT(Table156[[#This Row],[Item-Codigo]], LEN(Table156[[#This Row],[Item-Codigo]]) - FIND("|", CONCATENATE(B308), FIND("|", CONCATENATE(B308)) + 1)))</f>
        <v>S 50KG</v>
      </c>
      <c r="H30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308" s="40">
        <v>701</v>
      </c>
      <c r="J30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2300</v>
      </c>
      <c r="K308" t="s">
        <v>98</v>
      </c>
    </row>
    <row r="309" spans="1:11" x14ac:dyDescent="0.35">
      <c r="A309" t="s">
        <v>198</v>
      </c>
      <c r="B309" t="s">
        <v>232</v>
      </c>
      <c r="C309" t="s">
        <v>231</v>
      </c>
      <c r="D309">
        <v>46</v>
      </c>
      <c r="E309" t="s">
        <v>197</v>
      </c>
      <c r="F309">
        <v>2023</v>
      </c>
      <c r="G309" t="str">
        <f>TRIM(RIGHT(Table156[[#This Row],[Item-Codigo]], LEN(Table156[[#This Row],[Item-Codigo]]) - FIND("|", CONCATENATE(B309), FIND("|", CONCATENATE(B309)) + 1)))</f>
        <v>TM</v>
      </c>
      <c r="H30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309" s="40">
        <v>701</v>
      </c>
      <c r="J30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46</v>
      </c>
      <c r="K309" t="s">
        <v>98</v>
      </c>
    </row>
    <row r="310" spans="1:11" x14ac:dyDescent="0.35">
      <c r="A310" t="s">
        <v>198</v>
      </c>
      <c r="B310" t="s">
        <v>232</v>
      </c>
      <c r="C310" t="s">
        <v>834</v>
      </c>
      <c r="D310">
        <v>45.053868756100002</v>
      </c>
      <c r="E310" t="s">
        <v>197</v>
      </c>
      <c r="F310">
        <v>2023</v>
      </c>
      <c r="G310" t="str">
        <f>TRIM(RIGHT(Table156[[#This Row],[Item-Codigo]], LEN(Table156[[#This Row],[Item-Codigo]]) - FIND("|", CONCATENATE(B310), FIND("|", CONCATENATE(B310)) + 1)))</f>
        <v>TM</v>
      </c>
      <c r="H31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310" s="40">
        <v>701</v>
      </c>
      <c r="J31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45.053868756100002</v>
      </c>
      <c r="K310" t="s">
        <v>98</v>
      </c>
    </row>
    <row r="311" spans="1:11" x14ac:dyDescent="0.35">
      <c r="A311" t="s">
        <v>198</v>
      </c>
      <c r="B311" t="s">
        <v>237</v>
      </c>
      <c r="C311" t="s">
        <v>239</v>
      </c>
      <c r="D311">
        <v>1235.50008220975</v>
      </c>
      <c r="E311" t="s">
        <v>197</v>
      </c>
      <c r="F311">
        <v>2023</v>
      </c>
      <c r="G311" t="str">
        <f>TRIM(RIGHT(Table156[[#This Row],[Item-Codigo]], LEN(Table156[[#This Row],[Item-Codigo]]) - FIND("|", CONCATENATE(B311), FIND("|", CONCATENATE(B311)) + 1)))</f>
        <v>TM</v>
      </c>
      <c r="H31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311" s="40">
        <v>116</v>
      </c>
      <c r="J31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1235.50008220975</v>
      </c>
      <c r="K311" t="s">
        <v>99</v>
      </c>
    </row>
    <row r="312" spans="1:11" x14ac:dyDescent="0.35">
      <c r="A312" t="s">
        <v>198</v>
      </c>
      <c r="B312" t="s">
        <v>841</v>
      </c>
      <c r="C312" t="s">
        <v>842</v>
      </c>
      <c r="D312">
        <v>779.99608044139995</v>
      </c>
      <c r="E312" t="s">
        <v>197</v>
      </c>
      <c r="F312">
        <v>2023</v>
      </c>
      <c r="G312" t="str">
        <f>TRIM(RIGHT(Table156[[#This Row],[Item-Codigo]], LEN(Table156[[#This Row],[Item-Codigo]]) - FIND("|", CONCATENATE(B312), FIND("|", CONCATENATE(B312)) + 1)))</f>
        <v>TM</v>
      </c>
      <c r="H31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159</v>
      </c>
      <c r="I312" s="40">
        <v>159</v>
      </c>
      <c r="J31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779.99608044139995</v>
      </c>
      <c r="K312" t="s">
        <v>191</v>
      </c>
    </row>
    <row r="313" spans="1:11" x14ac:dyDescent="0.35">
      <c r="A313" t="s">
        <v>198</v>
      </c>
      <c r="B313" t="s">
        <v>243</v>
      </c>
      <c r="C313" t="s">
        <v>218</v>
      </c>
      <c r="D313">
        <v>501.00200400799997</v>
      </c>
      <c r="E313" t="s">
        <v>197</v>
      </c>
      <c r="F313">
        <v>2023</v>
      </c>
      <c r="G313" t="str">
        <f>TRIM(RIGHT(Table156[[#This Row],[Item-Codigo]], LEN(Table156[[#This Row],[Item-Codigo]]) - FIND("|", CONCATENATE(B313), FIND("|", CONCATENATE(B313)) + 1)))</f>
        <v>TM</v>
      </c>
      <c r="H31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211</v>
      </c>
      <c r="I313" s="40">
        <v>211</v>
      </c>
      <c r="J31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501.00200400799997</v>
      </c>
      <c r="K313" t="s">
        <v>188</v>
      </c>
    </row>
    <row r="314" spans="1:11" x14ac:dyDescent="0.35">
      <c r="A314" t="s">
        <v>198</v>
      </c>
      <c r="B314" t="s">
        <v>245</v>
      </c>
      <c r="C314" t="s">
        <v>246</v>
      </c>
      <c r="D314">
        <v>318.33333333333297</v>
      </c>
      <c r="E314" t="s">
        <v>197</v>
      </c>
      <c r="F314">
        <v>2023</v>
      </c>
      <c r="G314" t="str">
        <f>TRIM(RIGHT(Table156[[#This Row],[Item-Codigo]], LEN(Table156[[#This Row],[Item-Codigo]]) - FIND("|", CONCATENATE(B314), FIND("|", CONCATENATE(B314)) + 1)))</f>
        <v>TM</v>
      </c>
      <c r="H31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14</v>
      </c>
      <c r="I314" s="40">
        <v>14</v>
      </c>
      <c r="J31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318.33333333333297</v>
      </c>
      <c r="K314" t="s">
        <v>187</v>
      </c>
    </row>
    <row r="315" spans="1:11" x14ac:dyDescent="0.35">
      <c r="A315" t="s">
        <v>198</v>
      </c>
      <c r="B315" t="s">
        <v>854</v>
      </c>
      <c r="C315" t="s">
        <v>248</v>
      </c>
      <c r="D315">
        <v>374.89919405199998</v>
      </c>
      <c r="E315" t="s">
        <v>197</v>
      </c>
      <c r="F315">
        <v>2023</v>
      </c>
      <c r="G315" t="str">
        <f>TRIM(RIGHT(Table156[[#This Row],[Item-Codigo]], LEN(Table156[[#This Row],[Item-Codigo]]) - FIND("|", CONCATENATE(B315), FIND("|", CONCATENATE(B315)) + 1)))</f>
        <v>TM</v>
      </c>
      <c r="H31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214</v>
      </c>
      <c r="I315" s="40">
        <v>214</v>
      </c>
      <c r="J31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374.89919405199998</v>
      </c>
      <c r="K315" t="s">
        <v>186</v>
      </c>
    </row>
    <row r="316" spans="1:11" x14ac:dyDescent="0.35">
      <c r="A316" t="s">
        <v>198</v>
      </c>
      <c r="B316" t="s">
        <v>207</v>
      </c>
      <c r="C316" t="s">
        <v>857</v>
      </c>
      <c r="D316">
        <v>18.3120671607176</v>
      </c>
      <c r="E316" t="s">
        <v>197</v>
      </c>
      <c r="F316">
        <v>2023</v>
      </c>
      <c r="G316" t="str">
        <f>TRIM(RIGHT(Table156[[#This Row],[Item-Codigo]], LEN(Table156[[#This Row],[Item-Codigo]]) - FIND("|", CONCATENATE(B316), FIND("|", CONCATENATE(B316)) + 1)))</f>
        <v>QQ</v>
      </c>
      <c r="H31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316" s="40">
        <v>410</v>
      </c>
      <c r="J316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402.86547753578719</v>
      </c>
      <c r="K316" t="s">
        <v>183</v>
      </c>
    </row>
    <row r="317" spans="1:11" x14ac:dyDescent="0.35">
      <c r="A317" t="s">
        <v>198</v>
      </c>
      <c r="B317" t="s">
        <v>207</v>
      </c>
      <c r="C317" t="s">
        <v>858</v>
      </c>
      <c r="D317">
        <v>18.024846631799999</v>
      </c>
      <c r="E317" t="s">
        <v>197</v>
      </c>
      <c r="F317">
        <v>2023</v>
      </c>
      <c r="G317" t="str">
        <f>TRIM(RIGHT(Table156[[#This Row],[Item-Codigo]], LEN(Table156[[#This Row],[Item-Codigo]]) - FIND("|", CONCATENATE(B317), FIND("|", CONCATENATE(B317)) + 1)))</f>
        <v>QQ</v>
      </c>
      <c r="H31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317" s="40">
        <v>410</v>
      </c>
      <c r="J317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396.54662589959997</v>
      </c>
      <c r="K317" t="s">
        <v>183</v>
      </c>
    </row>
    <row r="318" spans="1:11" x14ac:dyDescent="0.35">
      <c r="A318" t="s">
        <v>198</v>
      </c>
      <c r="B318" t="s">
        <v>207</v>
      </c>
      <c r="C318" t="s">
        <v>859</v>
      </c>
      <c r="D318">
        <v>17.779529591900001</v>
      </c>
      <c r="E318" t="s">
        <v>197</v>
      </c>
      <c r="F318">
        <v>2023</v>
      </c>
      <c r="G318" t="str">
        <f>TRIM(RIGHT(Table156[[#This Row],[Item-Codigo]], LEN(Table156[[#This Row],[Item-Codigo]]) - FIND("|", CONCATENATE(B318), FIND("|", CONCATENATE(B318)) + 1)))</f>
        <v>QQ</v>
      </c>
      <c r="H31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318" s="40">
        <v>410</v>
      </c>
      <c r="J318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391.14965102180003</v>
      </c>
      <c r="K318" t="s">
        <v>183</v>
      </c>
    </row>
    <row r="319" spans="1:11" x14ac:dyDescent="0.35">
      <c r="A319" t="s">
        <v>198</v>
      </c>
      <c r="B319" t="s">
        <v>207</v>
      </c>
      <c r="C319" t="s">
        <v>208</v>
      </c>
      <c r="D319">
        <v>18.359785978249999</v>
      </c>
      <c r="E319" t="s">
        <v>197</v>
      </c>
      <c r="F319">
        <v>2023</v>
      </c>
      <c r="G319" t="str">
        <f>TRIM(RIGHT(Table156[[#This Row],[Item-Codigo]], LEN(Table156[[#This Row],[Item-Codigo]]) - FIND("|", CONCATENATE(B319), FIND("|", CONCATENATE(B319)) + 1)))</f>
        <v>QQ</v>
      </c>
      <c r="H31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319" s="40">
        <v>410</v>
      </c>
      <c r="J319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403.91529152149997</v>
      </c>
      <c r="K319" t="s">
        <v>183</v>
      </c>
    </row>
    <row r="320" spans="1:11" x14ac:dyDescent="0.35">
      <c r="A320" t="s">
        <v>198</v>
      </c>
      <c r="B320" t="s">
        <v>207</v>
      </c>
      <c r="C320" t="s">
        <v>860</v>
      </c>
      <c r="D320">
        <v>18.322152801160001</v>
      </c>
      <c r="E320" t="s">
        <v>197</v>
      </c>
      <c r="F320">
        <v>2023</v>
      </c>
      <c r="G320" t="str">
        <f>TRIM(RIGHT(Table156[[#This Row],[Item-Codigo]], LEN(Table156[[#This Row],[Item-Codigo]]) - FIND("|", CONCATENATE(B320), FIND("|", CONCATENATE(B320)) + 1)))</f>
        <v>QQ</v>
      </c>
      <c r="H32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320" s="40">
        <v>410</v>
      </c>
      <c r="J320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403.08736162552003</v>
      </c>
      <c r="K320" t="s">
        <v>183</v>
      </c>
    </row>
    <row r="321" spans="1:11" x14ac:dyDescent="0.35">
      <c r="A321" t="s">
        <v>198</v>
      </c>
      <c r="B321" t="s">
        <v>207</v>
      </c>
      <c r="C321" t="s">
        <v>833</v>
      </c>
      <c r="D321">
        <v>18.3652581391</v>
      </c>
      <c r="E321" t="s">
        <v>197</v>
      </c>
      <c r="F321">
        <v>2023</v>
      </c>
      <c r="G321" t="str">
        <f>TRIM(RIGHT(Table156[[#This Row],[Item-Codigo]], LEN(Table156[[#This Row],[Item-Codigo]]) - FIND("|", CONCATENATE(B321), FIND("|", CONCATENATE(B321)) + 1)))</f>
        <v>QQ</v>
      </c>
      <c r="H32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321" s="40">
        <v>410</v>
      </c>
      <c r="J321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404.03567906019998</v>
      </c>
      <c r="K321" t="s">
        <v>183</v>
      </c>
    </row>
    <row r="322" spans="1:11" x14ac:dyDescent="0.35">
      <c r="A322" t="s">
        <v>198</v>
      </c>
      <c r="B322" t="s">
        <v>207</v>
      </c>
      <c r="C322" t="s">
        <v>209</v>
      </c>
      <c r="D322">
        <v>18.1970141404462</v>
      </c>
      <c r="E322" t="s">
        <v>197</v>
      </c>
      <c r="F322">
        <v>2023</v>
      </c>
      <c r="G322" t="str">
        <f>TRIM(RIGHT(Table156[[#This Row],[Item-Codigo]], LEN(Table156[[#This Row],[Item-Codigo]]) - FIND("|", CONCATENATE(B322), FIND("|", CONCATENATE(B322)) + 1)))</f>
        <v>QQ</v>
      </c>
      <c r="H32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322" s="40">
        <v>410</v>
      </c>
      <c r="J322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400.33431108981642</v>
      </c>
      <c r="K322" t="s">
        <v>183</v>
      </c>
    </row>
    <row r="323" spans="1:11" x14ac:dyDescent="0.35">
      <c r="A323" t="s">
        <v>198</v>
      </c>
      <c r="B323" t="s">
        <v>207</v>
      </c>
      <c r="C323" t="s">
        <v>864</v>
      </c>
      <c r="D323">
        <v>18.460035678000001</v>
      </c>
      <c r="E323" t="s">
        <v>197</v>
      </c>
      <c r="F323">
        <v>2023</v>
      </c>
      <c r="G323" t="str">
        <f>TRIM(RIGHT(Table156[[#This Row],[Item-Codigo]], LEN(Table156[[#This Row],[Item-Codigo]]) - FIND("|", CONCATENATE(B323), FIND("|", CONCATENATE(B323)) + 1)))</f>
        <v>QQ</v>
      </c>
      <c r="H32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323" s="40">
        <v>410</v>
      </c>
      <c r="J323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406.12078491599999</v>
      </c>
      <c r="K323" t="s">
        <v>183</v>
      </c>
    </row>
    <row r="324" spans="1:11" x14ac:dyDescent="0.35">
      <c r="A324" t="s">
        <v>198</v>
      </c>
      <c r="B324" t="s">
        <v>207</v>
      </c>
      <c r="C324" t="s">
        <v>211</v>
      </c>
      <c r="D324">
        <v>18.269984703271401</v>
      </c>
      <c r="E324" t="s">
        <v>197</v>
      </c>
      <c r="F324">
        <v>2023</v>
      </c>
      <c r="G324" t="str">
        <f>TRIM(RIGHT(Table156[[#This Row],[Item-Codigo]], LEN(Table156[[#This Row],[Item-Codigo]]) - FIND("|", CONCATENATE(B324), FIND("|", CONCATENATE(B324)) + 1)))</f>
        <v>QQ</v>
      </c>
      <c r="H32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324" s="40">
        <v>410</v>
      </c>
      <c r="J324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401.93966347197085</v>
      </c>
      <c r="K324" t="s">
        <v>183</v>
      </c>
    </row>
    <row r="325" spans="1:11" x14ac:dyDescent="0.35">
      <c r="A325" t="s">
        <v>198</v>
      </c>
      <c r="B325" t="s">
        <v>207</v>
      </c>
      <c r="C325" t="s">
        <v>866</v>
      </c>
      <c r="D325">
        <v>18.105026001083299</v>
      </c>
      <c r="E325" t="s">
        <v>197</v>
      </c>
      <c r="F325">
        <v>2023</v>
      </c>
      <c r="G325" t="str">
        <f>TRIM(RIGHT(Table156[[#This Row],[Item-Codigo]], LEN(Table156[[#This Row],[Item-Codigo]]) - FIND("|", CONCATENATE(B325), FIND("|", CONCATENATE(B325)) + 1)))</f>
        <v>QQ</v>
      </c>
      <c r="H32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325" s="40">
        <v>410</v>
      </c>
      <c r="J325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398.31057202383261</v>
      </c>
      <c r="K325" t="s">
        <v>183</v>
      </c>
    </row>
    <row r="326" spans="1:11" x14ac:dyDescent="0.35">
      <c r="A326" t="s">
        <v>198</v>
      </c>
      <c r="B326" t="s">
        <v>207</v>
      </c>
      <c r="C326" t="s">
        <v>212</v>
      </c>
      <c r="D326">
        <v>18.1067901026667</v>
      </c>
      <c r="E326" t="s">
        <v>197</v>
      </c>
      <c r="F326">
        <v>2023</v>
      </c>
      <c r="G326" t="str">
        <f>TRIM(RIGHT(Table156[[#This Row],[Item-Codigo]], LEN(Table156[[#This Row],[Item-Codigo]]) - FIND("|", CONCATENATE(B326), FIND("|", CONCATENATE(B326)) + 1)))</f>
        <v>QQ</v>
      </c>
      <c r="H32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326" s="40">
        <v>410</v>
      </c>
      <c r="J326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398.34938225866739</v>
      </c>
      <c r="K326" t="s">
        <v>183</v>
      </c>
    </row>
    <row r="327" spans="1:11" x14ac:dyDescent="0.35">
      <c r="A327" t="s">
        <v>198</v>
      </c>
      <c r="B327" t="s">
        <v>207</v>
      </c>
      <c r="C327" t="s">
        <v>867</v>
      </c>
      <c r="D327">
        <v>18.825888054205901</v>
      </c>
      <c r="E327" t="s">
        <v>197</v>
      </c>
      <c r="F327">
        <v>2023</v>
      </c>
      <c r="G327" t="str">
        <f>TRIM(RIGHT(Table156[[#This Row],[Item-Codigo]], LEN(Table156[[#This Row],[Item-Codigo]]) - FIND("|", CONCATENATE(B327), FIND("|", CONCATENATE(B327)) + 1)))</f>
        <v>QQ</v>
      </c>
      <c r="H32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327" s="40">
        <v>410</v>
      </c>
      <c r="J327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414.16953719252984</v>
      </c>
      <c r="K327" t="s">
        <v>183</v>
      </c>
    </row>
    <row r="328" spans="1:11" x14ac:dyDescent="0.35">
      <c r="A328" t="s">
        <v>256</v>
      </c>
      <c r="B328" t="s">
        <v>876</v>
      </c>
      <c r="C328" t="s">
        <v>267</v>
      </c>
      <c r="D328">
        <v>0.14719988489999999</v>
      </c>
      <c r="E328" t="s">
        <v>197</v>
      </c>
      <c r="F328">
        <v>2023</v>
      </c>
      <c r="G328" t="str">
        <f>TRIM(RIGHT(Table156[[#This Row],[Item-Codigo]], LEN(Table156[[#This Row],[Item-Codigo]]) - FIND("|", CONCATENATE(B328), FIND("|", CONCATENATE(B328)) + 1)))</f>
        <v>UND</v>
      </c>
      <c r="H32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1022-ME</v>
      </c>
      <c r="I328" s="40" t="s">
        <v>499</v>
      </c>
      <c r="J32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0.14719988489999999</v>
      </c>
      <c r="K328" t="s">
        <v>42</v>
      </c>
    </row>
    <row r="329" spans="1:11" x14ac:dyDescent="0.35">
      <c r="A329" t="s">
        <v>256</v>
      </c>
      <c r="B329" t="s">
        <v>261</v>
      </c>
      <c r="C329" t="s">
        <v>262</v>
      </c>
      <c r="D329">
        <v>0.1708000653</v>
      </c>
      <c r="E329" t="s">
        <v>197</v>
      </c>
      <c r="F329">
        <v>2023</v>
      </c>
      <c r="G329" t="str">
        <f>TRIM(RIGHT(Table156[[#This Row],[Item-Codigo]], LEN(Table156[[#This Row],[Item-Codigo]]) - FIND("|", CONCATENATE(B329), FIND("|", CONCATENATE(B329)) + 1)))</f>
        <v>UND</v>
      </c>
      <c r="H32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329" s="40" t="s">
        <v>500</v>
      </c>
      <c r="J32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0.1708000653</v>
      </c>
      <c r="K329" t="s">
        <v>43</v>
      </c>
    </row>
    <row r="330" spans="1:11" x14ac:dyDescent="0.35">
      <c r="A330" t="s">
        <v>256</v>
      </c>
      <c r="B330" t="s">
        <v>261</v>
      </c>
      <c r="C330" t="s">
        <v>263</v>
      </c>
      <c r="D330">
        <v>0.17639878910000001</v>
      </c>
      <c r="E330" t="s">
        <v>197</v>
      </c>
      <c r="F330">
        <v>2023</v>
      </c>
      <c r="G330" t="str">
        <f>TRIM(RIGHT(Table156[[#This Row],[Item-Codigo]], LEN(Table156[[#This Row],[Item-Codigo]]) - FIND("|", CONCATENATE(B330), FIND("|", CONCATENATE(B330)) + 1)))</f>
        <v>UND</v>
      </c>
      <c r="H33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330" s="40" t="s">
        <v>500</v>
      </c>
      <c r="J33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0.17639878910000001</v>
      </c>
      <c r="K330" t="s">
        <v>43</v>
      </c>
    </row>
    <row r="331" spans="1:11" x14ac:dyDescent="0.35">
      <c r="A331" t="s">
        <v>256</v>
      </c>
      <c r="B331" t="s">
        <v>264</v>
      </c>
      <c r="C331" t="s">
        <v>262</v>
      </c>
      <c r="D331">
        <v>0.17080019299999999</v>
      </c>
      <c r="E331" t="s">
        <v>197</v>
      </c>
      <c r="F331">
        <v>2023</v>
      </c>
      <c r="G331" t="str">
        <f>TRIM(RIGHT(Table156[[#This Row],[Item-Codigo]], LEN(Table156[[#This Row],[Item-Codigo]]) - FIND("|", CONCATENATE(B331), FIND("|", CONCATENATE(B331)) + 1)))</f>
        <v>UND</v>
      </c>
      <c r="H33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1024-ME</v>
      </c>
      <c r="I331" s="40" t="s">
        <v>501</v>
      </c>
      <c r="J33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0.17080019299999999</v>
      </c>
      <c r="K331" t="s">
        <v>44</v>
      </c>
    </row>
    <row r="332" spans="1:11" x14ac:dyDescent="0.35">
      <c r="A332" t="s">
        <v>256</v>
      </c>
      <c r="B332" t="s">
        <v>264</v>
      </c>
      <c r="C332" t="s">
        <v>267</v>
      </c>
      <c r="D332">
        <v>0.15290000000000001</v>
      </c>
      <c r="E332" t="s">
        <v>197</v>
      </c>
      <c r="F332">
        <v>2023</v>
      </c>
      <c r="G332" t="str">
        <f>TRIM(RIGHT(Table156[[#This Row],[Item-Codigo]], LEN(Table156[[#This Row],[Item-Codigo]]) - FIND("|", CONCATENATE(B332), FIND("|", CONCATENATE(B332)) + 1)))</f>
        <v>UND</v>
      </c>
      <c r="H33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1024-ME</v>
      </c>
      <c r="I332" s="40" t="s">
        <v>501</v>
      </c>
      <c r="J33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0.15290000000000001</v>
      </c>
      <c r="K332" t="s">
        <v>44</v>
      </c>
    </row>
    <row r="333" spans="1:11" x14ac:dyDescent="0.35">
      <c r="A333" t="s">
        <v>256</v>
      </c>
      <c r="B333" t="s">
        <v>265</v>
      </c>
      <c r="C333" t="s">
        <v>262</v>
      </c>
      <c r="D333">
        <v>0.17080000000000001</v>
      </c>
      <c r="E333" t="s">
        <v>197</v>
      </c>
      <c r="F333">
        <v>2023</v>
      </c>
      <c r="G333" t="str">
        <f>TRIM(RIGHT(Table156[[#This Row],[Item-Codigo]], LEN(Table156[[#This Row],[Item-Codigo]]) - FIND("|", CONCATENATE(B333), FIND("|", CONCATENATE(B333)) + 1)))</f>
        <v>UND</v>
      </c>
      <c r="H33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1025-ME</v>
      </c>
      <c r="I333" s="40" t="s">
        <v>502</v>
      </c>
      <c r="J33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0.17080000000000001</v>
      </c>
      <c r="K333" t="s">
        <v>45</v>
      </c>
    </row>
    <row r="334" spans="1:11" x14ac:dyDescent="0.35">
      <c r="A334" t="s">
        <v>256</v>
      </c>
      <c r="B334" t="s">
        <v>268</v>
      </c>
      <c r="C334" t="s">
        <v>262</v>
      </c>
      <c r="D334">
        <v>0.20069968129999999</v>
      </c>
      <c r="E334" t="s">
        <v>197</v>
      </c>
      <c r="F334">
        <v>2023</v>
      </c>
      <c r="G334" t="str">
        <f>TRIM(RIGHT(Table156[[#This Row],[Item-Codigo]], LEN(Table156[[#This Row],[Item-Codigo]]) - FIND("|", CONCATENATE(B334), FIND("|", CONCATENATE(B334)) + 1)))</f>
        <v>UND</v>
      </c>
      <c r="H33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1028-ME</v>
      </c>
      <c r="I334" s="40" t="s">
        <v>505</v>
      </c>
      <c r="J33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0.20069968129999999</v>
      </c>
      <c r="K334" t="s">
        <v>48</v>
      </c>
    </row>
    <row r="335" spans="1:11" x14ac:dyDescent="0.35">
      <c r="A335" t="s">
        <v>256</v>
      </c>
      <c r="B335" t="s">
        <v>272</v>
      </c>
      <c r="C335" t="s">
        <v>263</v>
      </c>
      <c r="D335">
        <v>0.1764</v>
      </c>
      <c r="E335" t="s">
        <v>197</v>
      </c>
      <c r="F335">
        <v>2023</v>
      </c>
      <c r="G335" t="str">
        <f>TRIM(RIGHT(Table156[[#This Row],[Item-Codigo]], LEN(Table156[[#This Row],[Item-Codigo]]) - FIND("|", CONCATENATE(B335), FIND("|", CONCATENATE(B335)) + 1)))</f>
        <v>UND</v>
      </c>
      <c r="H33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1029-ME</v>
      </c>
      <c r="I335" s="40" t="s">
        <v>506</v>
      </c>
      <c r="J33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0.1764</v>
      </c>
      <c r="K335" t="s">
        <v>51</v>
      </c>
    </row>
    <row r="336" spans="1:11" x14ac:dyDescent="0.35">
      <c r="A336" t="s">
        <v>256</v>
      </c>
      <c r="B336" t="s">
        <v>273</v>
      </c>
      <c r="C336" t="s">
        <v>262</v>
      </c>
      <c r="D336">
        <v>0.17079961145</v>
      </c>
      <c r="E336" t="s">
        <v>197</v>
      </c>
      <c r="F336">
        <v>2023</v>
      </c>
      <c r="G336" t="str">
        <f>TRIM(RIGHT(Table156[[#This Row],[Item-Codigo]], LEN(Table156[[#This Row],[Item-Codigo]]) - FIND("|", CONCATENATE(B336), FIND("|", CONCATENATE(B336)) + 1)))</f>
        <v>UND</v>
      </c>
      <c r="H33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1030-ME</v>
      </c>
      <c r="I336" s="40" t="s">
        <v>507</v>
      </c>
      <c r="J33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0.17079961145</v>
      </c>
      <c r="K336" t="s">
        <v>52</v>
      </c>
    </row>
    <row r="337" spans="1:11" x14ac:dyDescent="0.35">
      <c r="A337" t="s">
        <v>256</v>
      </c>
      <c r="B337" t="s">
        <v>273</v>
      </c>
      <c r="C337" t="s">
        <v>263</v>
      </c>
      <c r="D337">
        <v>0.17641429775</v>
      </c>
      <c r="E337" t="s">
        <v>197</v>
      </c>
      <c r="F337">
        <v>2023</v>
      </c>
      <c r="G337" t="str">
        <f>TRIM(RIGHT(Table156[[#This Row],[Item-Codigo]], LEN(Table156[[#This Row],[Item-Codigo]]) - FIND("|", CONCATENATE(B337), FIND("|", CONCATENATE(B337)) + 1)))</f>
        <v>UND</v>
      </c>
      <c r="H33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1030-ME</v>
      </c>
      <c r="I337" s="40" t="s">
        <v>507</v>
      </c>
      <c r="J33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0.17641429775</v>
      </c>
      <c r="K337" t="s">
        <v>52</v>
      </c>
    </row>
    <row r="338" spans="1:11" x14ac:dyDescent="0.35">
      <c r="A338" t="s">
        <v>256</v>
      </c>
      <c r="B338" t="s">
        <v>283</v>
      </c>
      <c r="C338" t="s">
        <v>267</v>
      </c>
      <c r="D338">
        <v>0.2271009635</v>
      </c>
      <c r="E338" t="s">
        <v>197</v>
      </c>
      <c r="F338">
        <v>2023</v>
      </c>
      <c r="G338" t="str">
        <f>TRIM(RIGHT(Table156[[#This Row],[Item-Codigo]], LEN(Table156[[#This Row],[Item-Codigo]]) - FIND("|", CONCATENATE(B338), FIND("|", CONCATENATE(B338)) + 1)))</f>
        <v>UND</v>
      </c>
      <c r="H33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0754-ME</v>
      </c>
      <c r="I338" s="40" t="s">
        <v>482</v>
      </c>
      <c r="J33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0.2271009635</v>
      </c>
      <c r="K338" t="s">
        <v>112</v>
      </c>
    </row>
    <row r="339" spans="1:11" x14ac:dyDescent="0.35">
      <c r="A339" t="s">
        <v>256</v>
      </c>
      <c r="B339" t="s">
        <v>288</v>
      </c>
      <c r="C339" t="s">
        <v>263</v>
      </c>
      <c r="D339">
        <v>0.26460106379999998</v>
      </c>
      <c r="E339" t="s">
        <v>197</v>
      </c>
      <c r="F339">
        <v>2023</v>
      </c>
      <c r="G339" t="str">
        <f>TRIM(RIGHT(Table156[[#This Row],[Item-Codigo]], LEN(Table156[[#This Row],[Item-Codigo]]) - FIND("|", CONCATENATE(B339), FIND("|", CONCATENATE(B339)) + 1)))</f>
        <v>UND</v>
      </c>
      <c r="H33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0993-ME</v>
      </c>
      <c r="I339" s="40" t="s">
        <v>490</v>
      </c>
      <c r="J33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0.26460106379999998</v>
      </c>
      <c r="K339" t="s">
        <v>106</v>
      </c>
    </row>
    <row r="340" spans="1:11" x14ac:dyDescent="0.35">
      <c r="A340" t="s">
        <v>256</v>
      </c>
      <c r="B340" t="s">
        <v>289</v>
      </c>
      <c r="C340" t="s">
        <v>267</v>
      </c>
      <c r="D340">
        <v>0.21510022270000001</v>
      </c>
      <c r="E340" t="s">
        <v>197</v>
      </c>
      <c r="F340">
        <v>2023</v>
      </c>
      <c r="G340" t="str">
        <f>TRIM(RIGHT(Table156[[#This Row],[Item-Codigo]], LEN(Table156[[#This Row],[Item-Codigo]]) - FIND("|", CONCATENATE(B340), FIND("|", CONCATENATE(B340)) + 1)))</f>
        <v>UND</v>
      </c>
      <c r="H34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0994-ME</v>
      </c>
      <c r="I340" s="40" t="s">
        <v>491</v>
      </c>
      <c r="J34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0.21510022270000001</v>
      </c>
      <c r="K340" t="s">
        <v>118</v>
      </c>
    </row>
    <row r="341" spans="1:11" x14ac:dyDescent="0.35">
      <c r="A341" t="s">
        <v>256</v>
      </c>
      <c r="B341" t="s">
        <v>290</v>
      </c>
      <c r="C341" t="s">
        <v>267</v>
      </c>
      <c r="D341">
        <v>0.2238997268</v>
      </c>
      <c r="E341" t="s">
        <v>197</v>
      </c>
      <c r="F341">
        <v>2023</v>
      </c>
      <c r="G341" t="str">
        <f>TRIM(RIGHT(Table156[[#This Row],[Item-Codigo]], LEN(Table156[[#This Row],[Item-Codigo]]) - FIND("|", CONCATENATE(B341), FIND("|", CONCATENATE(B341)) + 1)))</f>
        <v>UND</v>
      </c>
      <c r="H34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0995-ME</v>
      </c>
      <c r="I341" s="40" t="s">
        <v>492</v>
      </c>
      <c r="J34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0.2238997268</v>
      </c>
      <c r="K341" t="s">
        <v>108</v>
      </c>
    </row>
    <row r="342" spans="1:11" x14ac:dyDescent="0.35">
      <c r="A342" t="s">
        <v>256</v>
      </c>
      <c r="B342" t="s">
        <v>291</v>
      </c>
      <c r="C342" t="s">
        <v>267</v>
      </c>
      <c r="D342">
        <v>0.22710047059999999</v>
      </c>
      <c r="E342" t="s">
        <v>197</v>
      </c>
      <c r="F342">
        <v>2023</v>
      </c>
      <c r="G342" t="str">
        <f>TRIM(RIGHT(Table156[[#This Row],[Item-Codigo]], LEN(Table156[[#This Row],[Item-Codigo]]) - FIND("|", CONCATENATE(B342), FIND("|", CONCATENATE(B342)) + 1)))</f>
        <v>UND</v>
      </c>
      <c r="H34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0988-ME</v>
      </c>
      <c r="I342" s="40" t="s">
        <v>489</v>
      </c>
      <c r="J34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0.22710047059999999</v>
      </c>
      <c r="K342" t="s">
        <v>119</v>
      </c>
    </row>
    <row r="343" spans="1:11" x14ac:dyDescent="0.35">
      <c r="A343" t="s">
        <v>256</v>
      </c>
      <c r="B343" t="s">
        <v>292</v>
      </c>
      <c r="C343" t="s">
        <v>267</v>
      </c>
      <c r="D343">
        <v>0.23630040250000001</v>
      </c>
      <c r="E343" t="s">
        <v>197</v>
      </c>
      <c r="F343">
        <v>2023</v>
      </c>
      <c r="G343" t="str">
        <f>TRIM(RIGHT(Table156[[#This Row],[Item-Codigo]], LEN(Table156[[#This Row],[Item-Codigo]]) - FIND("|", CONCATENATE(B343), FIND("|", CONCATENATE(B343)) + 1)))</f>
        <v>UND</v>
      </c>
      <c r="H34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0987-ME</v>
      </c>
      <c r="I343" s="40" t="s">
        <v>488</v>
      </c>
      <c r="J34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0.23630040250000001</v>
      </c>
      <c r="K343" t="s">
        <v>117</v>
      </c>
    </row>
    <row r="344" spans="1:11" x14ac:dyDescent="0.35">
      <c r="A344" t="s">
        <v>256</v>
      </c>
      <c r="B344" t="s">
        <v>293</v>
      </c>
      <c r="C344" t="s">
        <v>262</v>
      </c>
      <c r="D344">
        <v>0.25510023999999998</v>
      </c>
      <c r="E344" t="s">
        <v>197</v>
      </c>
      <c r="F344">
        <v>2023</v>
      </c>
      <c r="G344" t="str">
        <f>TRIM(RIGHT(Table156[[#This Row],[Item-Codigo]], LEN(Table156[[#This Row],[Item-Codigo]]) - FIND("|", CONCATENATE(B344), FIND("|", CONCATENATE(B344)) + 1)))</f>
        <v>UND</v>
      </c>
      <c r="H34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0201-ME</v>
      </c>
      <c r="I344" s="40" t="s">
        <v>478</v>
      </c>
      <c r="J34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0.25510023999999998</v>
      </c>
      <c r="K344" t="s">
        <v>105</v>
      </c>
    </row>
    <row r="345" spans="1:11" x14ac:dyDescent="0.35">
      <c r="A345" t="s">
        <v>256</v>
      </c>
      <c r="B345" t="s">
        <v>293</v>
      </c>
      <c r="C345" t="s">
        <v>263</v>
      </c>
      <c r="D345">
        <v>0.24776748309999999</v>
      </c>
      <c r="E345" t="s">
        <v>197</v>
      </c>
      <c r="F345">
        <v>2023</v>
      </c>
      <c r="G345" t="str">
        <f>TRIM(RIGHT(Table156[[#This Row],[Item-Codigo]], LEN(Table156[[#This Row],[Item-Codigo]]) - FIND("|", CONCATENATE(B345), FIND("|", CONCATENATE(B345)) + 1)))</f>
        <v>UND</v>
      </c>
      <c r="H34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0201-ME</v>
      </c>
      <c r="I345" s="40" t="s">
        <v>478</v>
      </c>
      <c r="J34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0.24776748309999999</v>
      </c>
      <c r="K345" t="s">
        <v>105</v>
      </c>
    </row>
    <row r="346" spans="1:11" x14ac:dyDescent="0.35">
      <c r="A346" t="s">
        <v>256</v>
      </c>
      <c r="B346" t="s">
        <v>293</v>
      </c>
      <c r="C346" t="s">
        <v>267</v>
      </c>
      <c r="D346">
        <v>0.20590014810000001</v>
      </c>
      <c r="E346" t="s">
        <v>197</v>
      </c>
      <c r="F346">
        <v>2023</v>
      </c>
      <c r="G346" t="str">
        <f>TRIM(RIGHT(Table156[[#This Row],[Item-Codigo]], LEN(Table156[[#This Row],[Item-Codigo]]) - FIND("|", CONCATENATE(B346), FIND("|", CONCATENATE(B346)) + 1)))</f>
        <v>UND</v>
      </c>
      <c r="H34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0201-ME</v>
      </c>
      <c r="I346" s="40" t="s">
        <v>478</v>
      </c>
      <c r="J34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0.20590014810000001</v>
      </c>
      <c r="K346" t="s">
        <v>105</v>
      </c>
    </row>
    <row r="347" spans="1:11" x14ac:dyDescent="0.35">
      <c r="A347" t="s">
        <v>256</v>
      </c>
      <c r="B347" t="s">
        <v>891</v>
      </c>
      <c r="C347" t="s">
        <v>262</v>
      </c>
      <c r="D347">
        <v>0.2430007102</v>
      </c>
      <c r="E347" t="s">
        <v>197</v>
      </c>
      <c r="F347">
        <v>2023</v>
      </c>
      <c r="G347" t="str">
        <f>TRIM(RIGHT(Table156[[#This Row],[Item-Codigo]], LEN(Table156[[#This Row],[Item-Codigo]]) - FIND("|", CONCATENATE(B347), FIND("|", CONCATENATE(B347)) + 1)))</f>
        <v>UND</v>
      </c>
      <c r="H34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0202-ME</v>
      </c>
      <c r="I347" s="40" t="s">
        <v>479</v>
      </c>
      <c r="J34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0.2430007102</v>
      </c>
      <c r="K347" t="s">
        <v>128</v>
      </c>
    </row>
    <row r="348" spans="1:11" x14ac:dyDescent="0.35">
      <c r="A348" t="s">
        <v>256</v>
      </c>
      <c r="B348" t="s">
        <v>294</v>
      </c>
      <c r="C348" t="s">
        <v>263</v>
      </c>
      <c r="D348">
        <v>0.21551799999999999</v>
      </c>
      <c r="E348" t="s">
        <v>197</v>
      </c>
      <c r="F348">
        <v>2023</v>
      </c>
      <c r="G348" t="str">
        <f>TRIM(RIGHT(Table156[[#This Row],[Item-Codigo]], LEN(Table156[[#This Row],[Item-Codigo]]) - FIND("|", CONCATENATE(B348), FIND("|", CONCATENATE(B348)) + 1)))</f>
        <v>UND</v>
      </c>
      <c r="H34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0111-ME</v>
      </c>
      <c r="I348" s="40" t="s">
        <v>472</v>
      </c>
      <c r="J34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0.21551799999999999</v>
      </c>
      <c r="K348" t="s">
        <v>125</v>
      </c>
    </row>
    <row r="349" spans="1:11" x14ac:dyDescent="0.35">
      <c r="A349" t="s">
        <v>256</v>
      </c>
      <c r="B349" t="s">
        <v>296</v>
      </c>
      <c r="C349" t="s">
        <v>262</v>
      </c>
      <c r="D349">
        <v>0.25510040160000003</v>
      </c>
      <c r="E349" t="s">
        <v>197</v>
      </c>
      <c r="F349">
        <v>2023</v>
      </c>
      <c r="G349" t="str">
        <f>TRIM(RIGHT(Table156[[#This Row],[Item-Codigo]], LEN(Table156[[#This Row],[Item-Codigo]]) - FIND("|", CONCATENATE(B349), FIND("|", CONCATENATE(B349)) + 1)))</f>
        <v>UND</v>
      </c>
      <c r="H34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1018-ME</v>
      </c>
      <c r="I349" s="40" t="s">
        <v>496</v>
      </c>
      <c r="J34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0.25510040160000003</v>
      </c>
      <c r="K349" t="s">
        <v>109</v>
      </c>
    </row>
    <row r="350" spans="1:11" x14ac:dyDescent="0.35">
      <c r="A350" t="s">
        <v>256</v>
      </c>
      <c r="B350" t="s">
        <v>296</v>
      </c>
      <c r="C350" t="s">
        <v>263</v>
      </c>
      <c r="D350">
        <v>0.24776847390000001</v>
      </c>
      <c r="E350" t="s">
        <v>197</v>
      </c>
      <c r="F350">
        <v>2023</v>
      </c>
      <c r="G350" t="str">
        <f>TRIM(RIGHT(Table156[[#This Row],[Item-Codigo]], LEN(Table156[[#This Row],[Item-Codigo]]) - FIND("|", CONCATENATE(B350), FIND("|", CONCATENATE(B350)) + 1)))</f>
        <v>UND</v>
      </c>
      <c r="H35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1018-ME</v>
      </c>
      <c r="I350" s="40" t="s">
        <v>496</v>
      </c>
      <c r="J35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0.24776847390000001</v>
      </c>
      <c r="K350" t="s">
        <v>109</v>
      </c>
    </row>
    <row r="351" spans="1:11" x14ac:dyDescent="0.35">
      <c r="A351" t="s">
        <v>256</v>
      </c>
      <c r="B351" t="s">
        <v>893</v>
      </c>
      <c r="C351" t="s">
        <v>263</v>
      </c>
      <c r="D351">
        <v>0.2477975016</v>
      </c>
      <c r="E351" t="s">
        <v>197</v>
      </c>
      <c r="F351">
        <v>2023</v>
      </c>
      <c r="G351" t="str">
        <f>TRIM(RIGHT(Table156[[#This Row],[Item-Codigo]], LEN(Table156[[#This Row],[Item-Codigo]]) - FIND("|", CONCATENATE(B351), FIND("|", CONCATENATE(B351)) + 1)))</f>
        <v>UND</v>
      </c>
      <c r="H35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0983-ME</v>
      </c>
      <c r="I351" s="40" t="s">
        <v>484</v>
      </c>
      <c r="J35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0.2477975016</v>
      </c>
      <c r="K351" t="s">
        <v>113</v>
      </c>
    </row>
    <row r="352" spans="1:11" x14ac:dyDescent="0.35">
      <c r="A352" t="s">
        <v>256</v>
      </c>
      <c r="B352" t="s">
        <v>298</v>
      </c>
      <c r="C352" t="s">
        <v>262</v>
      </c>
      <c r="D352">
        <v>0.25510088489999999</v>
      </c>
      <c r="E352" t="s">
        <v>197</v>
      </c>
      <c r="F352">
        <v>2023</v>
      </c>
      <c r="G352" t="str">
        <f>TRIM(RIGHT(Table156[[#This Row],[Item-Codigo]], LEN(Table156[[#This Row],[Item-Codigo]]) - FIND("|", CONCATENATE(B352), FIND("|", CONCATENATE(B352)) + 1)))</f>
        <v>UND</v>
      </c>
      <c r="H35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1019-ME</v>
      </c>
      <c r="I352" s="40" t="s">
        <v>497</v>
      </c>
      <c r="J35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0.25510088489999999</v>
      </c>
      <c r="K352" t="s">
        <v>111</v>
      </c>
    </row>
    <row r="353" spans="1:11" x14ac:dyDescent="0.35">
      <c r="A353" t="s">
        <v>256</v>
      </c>
      <c r="B353" t="s">
        <v>299</v>
      </c>
      <c r="C353" t="s">
        <v>263</v>
      </c>
      <c r="D353">
        <v>0.25</v>
      </c>
      <c r="E353" t="s">
        <v>197</v>
      </c>
      <c r="F353">
        <v>2023</v>
      </c>
      <c r="G353" t="str">
        <f>TRIM(RIGHT(Table156[[#This Row],[Item-Codigo]], LEN(Table156[[#This Row],[Item-Codigo]]) - FIND("|", CONCATENATE(B353), FIND("|", CONCATENATE(B353)) + 1)))</f>
        <v>UND</v>
      </c>
      <c r="H35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0112-ME</v>
      </c>
      <c r="I353" s="40" t="s">
        <v>473</v>
      </c>
      <c r="J35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0.25</v>
      </c>
      <c r="K353" t="s">
        <v>124</v>
      </c>
    </row>
    <row r="354" spans="1:11" x14ac:dyDescent="0.35">
      <c r="A354" t="s">
        <v>256</v>
      </c>
      <c r="B354" t="s">
        <v>300</v>
      </c>
      <c r="C354" t="s">
        <v>263</v>
      </c>
      <c r="D354">
        <v>0.24780062150000001</v>
      </c>
      <c r="E354" t="s">
        <v>197</v>
      </c>
      <c r="F354">
        <v>2023</v>
      </c>
      <c r="G354" t="str">
        <f>TRIM(RIGHT(Table156[[#This Row],[Item-Codigo]], LEN(Table156[[#This Row],[Item-Codigo]]) - FIND("|", CONCATENATE(B354), FIND("|", CONCATENATE(B354)) + 1)))</f>
        <v>UND</v>
      </c>
      <c r="H35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0751-ME</v>
      </c>
      <c r="I354" s="40" t="s">
        <v>480</v>
      </c>
      <c r="J35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0.24780062150000001</v>
      </c>
      <c r="K354" t="s">
        <v>110</v>
      </c>
    </row>
    <row r="355" spans="1:11" x14ac:dyDescent="0.35">
      <c r="A355" t="s">
        <v>256</v>
      </c>
      <c r="B355" t="s">
        <v>301</v>
      </c>
      <c r="C355" t="s">
        <v>267</v>
      </c>
      <c r="D355">
        <v>0.22600000000000001</v>
      </c>
      <c r="E355" t="s">
        <v>197</v>
      </c>
      <c r="F355">
        <v>2023</v>
      </c>
      <c r="G355" t="str">
        <f>TRIM(RIGHT(Table156[[#This Row],[Item-Codigo]], LEN(Table156[[#This Row],[Item-Codigo]]) - FIND("|", CONCATENATE(B355), FIND("|", CONCATENATE(B355)) + 1)))</f>
        <v>UND</v>
      </c>
      <c r="H35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0171-ME</v>
      </c>
      <c r="I355" s="40" t="s">
        <v>476</v>
      </c>
      <c r="J35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0.22600000000000001</v>
      </c>
      <c r="K355" t="s">
        <v>107</v>
      </c>
    </row>
    <row r="356" spans="1:11" x14ac:dyDescent="0.35">
      <c r="A356" t="s">
        <v>305</v>
      </c>
      <c r="B356" t="s">
        <v>308</v>
      </c>
      <c r="C356" t="s">
        <v>319</v>
      </c>
      <c r="D356">
        <v>9.1999999999999993</v>
      </c>
      <c r="E356" t="s">
        <v>197</v>
      </c>
      <c r="F356">
        <v>2023</v>
      </c>
      <c r="G356" t="str">
        <f>TRIM(RIGHT(Table156[[#This Row],[Item-Codigo]], LEN(Table156[[#This Row],[Item-Codigo]]) - FIND("|", CONCATENATE(B356), FIND("|", CONCATENATE(B356)) + 1)))</f>
        <v>KG</v>
      </c>
      <c r="H35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1039</v>
      </c>
      <c r="I356" s="40">
        <v>1039</v>
      </c>
      <c r="J35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9200</v>
      </c>
      <c r="K356" t="s">
        <v>67</v>
      </c>
    </row>
    <row r="357" spans="1:11" x14ac:dyDescent="0.35">
      <c r="A357" t="s">
        <v>305</v>
      </c>
      <c r="B357" t="s">
        <v>312</v>
      </c>
      <c r="C357" t="s">
        <v>313</v>
      </c>
      <c r="D357">
        <v>8.35</v>
      </c>
      <c r="E357" t="s">
        <v>197</v>
      </c>
      <c r="F357">
        <v>2023</v>
      </c>
      <c r="G357" t="str">
        <f>TRIM(RIGHT(Table156[[#This Row],[Item-Codigo]], LEN(Table156[[#This Row],[Item-Codigo]]) - FIND("|", CONCATENATE(B357), FIND("|", CONCATENATE(B357)) + 1)))</f>
        <v>KG</v>
      </c>
      <c r="H35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317</v>
      </c>
      <c r="I357" s="40">
        <v>317</v>
      </c>
      <c r="J35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8350</v>
      </c>
      <c r="K357" t="s">
        <v>69</v>
      </c>
    </row>
    <row r="358" spans="1:11" x14ac:dyDescent="0.35">
      <c r="A358" t="s">
        <v>305</v>
      </c>
      <c r="B358" t="s">
        <v>900</v>
      </c>
      <c r="C358" t="s">
        <v>323</v>
      </c>
      <c r="D358">
        <v>2.62</v>
      </c>
      <c r="E358" t="s">
        <v>197</v>
      </c>
      <c r="F358">
        <v>2023</v>
      </c>
      <c r="G358" t="str">
        <f>TRIM(RIGHT(Table156[[#This Row],[Item-Codigo]], LEN(Table156[[#This Row],[Item-Codigo]]) - FIND("|", CONCATENATE(B358), FIND("|", CONCATENATE(B358)) + 1)))</f>
        <v>KG</v>
      </c>
      <c r="H35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1010.6</v>
      </c>
      <c r="I358" s="40" t="s">
        <v>937</v>
      </c>
      <c r="J35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2620</v>
      </c>
      <c r="K358" t="s">
        <v>1226</v>
      </c>
    </row>
    <row r="359" spans="1:11" x14ac:dyDescent="0.35">
      <c r="A359" t="s">
        <v>305</v>
      </c>
      <c r="B359" t="s">
        <v>320</v>
      </c>
      <c r="C359" t="s">
        <v>321</v>
      </c>
      <c r="D359">
        <v>8.75</v>
      </c>
      <c r="E359" t="s">
        <v>197</v>
      </c>
      <c r="F359">
        <v>2023</v>
      </c>
      <c r="G359" t="str">
        <f>TRIM(RIGHT(Table156[[#This Row],[Item-Codigo]], LEN(Table156[[#This Row],[Item-Codigo]]) - FIND("|", CONCATENATE(B359), FIND("|", CONCATENATE(B359)) + 1)))</f>
        <v>KG</v>
      </c>
      <c r="H35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1009</v>
      </c>
      <c r="I359" s="40">
        <v>1009</v>
      </c>
      <c r="J35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8750</v>
      </c>
      <c r="K359" t="s">
        <v>73</v>
      </c>
    </row>
    <row r="360" spans="1:11" x14ac:dyDescent="0.35">
      <c r="A360" t="s">
        <v>305</v>
      </c>
      <c r="B360" t="s">
        <v>325</v>
      </c>
      <c r="C360" t="s">
        <v>319</v>
      </c>
      <c r="D360">
        <v>5.6</v>
      </c>
      <c r="E360" t="s">
        <v>197</v>
      </c>
      <c r="F360">
        <v>2023</v>
      </c>
      <c r="G360" t="str">
        <f>TRIM(RIGHT(Table156[[#This Row],[Item-Codigo]], LEN(Table156[[#This Row],[Item-Codigo]]) - FIND("|", CONCATENATE(B360), FIND("|", CONCATENATE(B360)) + 1)))</f>
        <v>KG</v>
      </c>
      <c r="H36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1045</v>
      </c>
      <c r="I360" s="40">
        <v>1045</v>
      </c>
      <c r="J36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360" t="s">
        <v>76</v>
      </c>
    </row>
    <row r="361" spans="1:11" x14ac:dyDescent="0.35">
      <c r="A361" t="s">
        <v>305</v>
      </c>
      <c r="B361" t="s">
        <v>901</v>
      </c>
      <c r="C361" t="s">
        <v>313</v>
      </c>
      <c r="D361">
        <v>14</v>
      </c>
      <c r="E361" t="s">
        <v>197</v>
      </c>
      <c r="F361">
        <v>2023</v>
      </c>
      <c r="G361" t="str">
        <f>TRIM(RIGHT(Table156[[#This Row],[Item-Codigo]], LEN(Table156[[#This Row],[Item-Codigo]]) - FIND("|", CONCATENATE(B361), FIND("|", CONCATENATE(B361)) + 1)))</f>
        <v>KG</v>
      </c>
      <c r="H36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903.17</v>
      </c>
      <c r="I361" s="40" t="s">
        <v>938</v>
      </c>
      <c r="J36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14000</v>
      </c>
      <c r="K361" t="s">
        <v>1228</v>
      </c>
    </row>
    <row r="362" spans="1:11" x14ac:dyDescent="0.35">
      <c r="A362" t="s">
        <v>305</v>
      </c>
      <c r="B362" t="s">
        <v>326</v>
      </c>
      <c r="C362" t="s">
        <v>327</v>
      </c>
      <c r="D362">
        <v>6.6</v>
      </c>
      <c r="E362" t="s">
        <v>197</v>
      </c>
      <c r="F362">
        <v>2023</v>
      </c>
      <c r="G362" t="str">
        <f>TRIM(RIGHT(Table156[[#This Row],[Item-Codigo]], LEN(Table156[[#This Row],[Item-Codigo]]) - FIND("|", CONCATENATE(B362), FIND("|", CONCATENATE(B362)) + 1)))</f>
        <v>KG</v>
      </c>
      <c r="H36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470.5</v>
      </c>
      <c r="I362" s="40" t="s">
        <v>536</v>
      </c>
      <c r="J36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6600</v>
      </c>
      <c r="K362" t="s">
        <v>77</v>
      </c>
    </row>
    <row r="363" spans="1:11" x14ac:dyDescent="0.35">
      <c r="A363" t="s">
        <v>305</v>
      </c>
      <c r="B363" t="s">
        <v>334</v>
      </c>
      <c r="C363" t="s">
        <v>323</v>
      </c>
      <c r="D363">
        <v>4.21</v>
      </c>
      <c r="E363" t="s">
        <v>197</v>
      </c>
      <c r="F363">
        <v>2023</v>
      </c>
      <c r="G363" t="str">
        <f>TRIM(RIGHT(Table156[[#This Row],[Item-Codigo]], LEN(Table156[[#This Row],[Item-Codigo]]) - FIND("|", CONCATENATE(B363), FIND("|", CONCATENATE(B363)) + 1)))</f>
        <v>KG</v>
      </c>
      <c r="H36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475</v>
      </c>
      <c r="I363" s="40">
        <v>475</v>
      </c>
      <c r="J36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4210</v>
      </c>
      <c r="K363" t="s">
        <v>82</v>
      </c>
    </row>
    <row r="364" spans="1:11" x14ac:dyDescent="0.35">
      <c r="A364" t="s">
        <v>305</v>
      </c>
      <c r="B364" t="s">
        <v>335</v>
      </c>
      <c r="C364" t="s">
        <v>309</v>
      </c>
      <c r="D364">
        <v>1.8</v>
      </c>
      <c r="E364" t="s">
        <v>197</v>
      </c>
      <c r="F364">
        <v>2023</v>
      </c>
      <c r="G364" t="str">
        <f>TRIM(RIGHT(Table156[[#This Row],[Item-Codigo]], LEN(Table156[[#This Row],[Item-Codigo]]) - FIND("|", CONCATENATE(B364), FIND("|", CONCATENATE(B364)) + 1)))</f>
        <v>KG</v>
      </c>
      <c r="H36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131.3</v>
      </c>
      <c r="I364" s="40" t="s">
        <v>523</v>
      </c>
      <c r="J36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1800</v>
      </c>
      <c r="K364" t="s">
        <v>83</v>
      </c>
    </row>
    <row r="365" spans="1:11" x14ac:dyDescent="0.35">
      <c r="A365" t="s">
        <v>305</v>
      </c>
      <c r="B365" t="s">
        <v>336</v>
      </c>
      <c r="C365" t="s">
        <v>327</v>
      </c>
      <c r="D365">
        <v>5</v>
      </c>
      <c r="E365" t="s">
        <v>197</v>
      </c>
      <c r="F365">
        <v>2023</v>
      </c>
      <c r="G365" t="str">
        <f>TRIM(RIGHT(Table156[[#This Row],[Item-Codigo]], LEN(Table156[[#This Row],[Item-Codigo]]) - FIND("|", CONCATENATE(B365), FIND("|", CONCATENATE(B365)) + 1)))</f>
        <v>KG</v>
      </c>
      <c r="H36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340.1</v>
      </c>
      <c r="I365" s="40" t="s">
        <v>529</v>
      </c>
      <c r="J36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5000</v>
      </c>
      <c r="K365" t="s">
        <v>84</v>
      </c>
    </row>
    <row r="366" spans="1:11" x14ac:dyDescent="0.35">
      <c r="A366" t="s">
        <v>305</v>
      </c>
      <c r="B366" t="s">
        <v>904</v>
      </c>
      <c r="C366" t="s">
        <v>327</v>
      </c>
      <c r="D366">
        <v>56</v>
      </c>
      <c r="E366" t="s">
        <v>197</v>
      </c>
      <c r="F366">
        <v>2023</v>
      </c>
      <c r="G366" t="str">
        <f>TRIM(RIGHT(Table156[[#This Row],[Item-Codigo]], LEN(Table156[[#This Row],[Item-Codigo]]) - FIND("|", CONCATENATE(B366), FIND("|", CONCATENATE(B366)) + 1)))</f>
        <v>KG</v>
      </c>
      <c r="H36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929.1</v>
      </c>
      <c r="I366" s="40" t="s">
        <v>939</v>
      </c>
      <c r="J36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56000</v>
      </c>
      <c r="K366" t="s">
        <v>1229</v>
      </c>
    </row>
    <row r="367" spans="1:11" x14ac:dyDescent="0.35">
      <c r="A367" t="s">
        <v>305</v>
      </c>
      <c r="B367" t="s">
        <v>337</v>
      </c>
      <c r="C367" t="s">
        <v>307</v>
      </c>
      <c r="D367">
        <v>15.25</v>
      </c>
      <c r="E367" t="s">
        <v>197</v>
      </c>
      <c r="F367">
        <v>2023</v>
      </c>
      <c r="G367" t="str">
        <f>TRIM(RIGHT(Table156[[#This Row],[Item-Codigo]], LEN(Table156[[#This Row],[Item-Codigo]]) - FIND("|", CONCATENATE(B367), FIND("|", CONCATENATE(B367)) + 1)))</f>
        <v>KG</v>
      </c>
      <c r="H36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936</v>
      </c>
      <c r="I367" s="40">
        <v>936</v>
      </c>
      <c r="J36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15250</v>
      </c>
      <c r="K367" t="s">
        <v>85</v>
      </c>
    </row>
    <row r="368" spans="1:11" x14ac:dyDescent="0.35">
      <c r="A368" t="s">
        <v>305</v>
      </c>
      <c r="B368" t="s">
        <v>338</v>
      </c>
      <c r="C368" t="s">
        <v>307</v>
      </c>
      <c r="D368">
        <v>11</v>
      </c>
      <c r="E368" t="s">
        <v>197</v>
      </c>
      <c r="F368">
        <v>2023</v>
      </c>
      <c r="G368" t="str">
        <f>TRIM(RIGHT(Table156[[#This Row],[Item-Codigo]], LEN(Table156[[#This Row],[Item-Codigo]]) - FIND("|", CONCATENATE(B368), FIND("|", CONCATENATE(B368)) + 1)))</f>
        <v>KG</v>
      </c>
      <c r="H36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937</v>
      </c>
      <c r="I368" s="40">
        <v>937</v>
      </c>
      <c r="J36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11000</v>
      </c>
      <c r="K368" t="s">
        <v>86</v>
      </c>
    </row>
    <row r="369" spans="1:11" x14ac:dyDescent="0.35">
      <c r="A369" t="s">
        <v>305</v>
      </c>
      <c r="B369" t="s">
        <v>340</v>
      </c>
      <c r="C369" t="s">
        <v>327</v>
      </c>
      <c r="D369">
        <v>11.25</v>
      </c>
      <c r="E369" t="s">
        <v>197</v>
      </c>
      <c r="F369">
        <v>2023</v>
      </c>
      <c r="G369" t="str">
        <f>TRIM(RIGHT(Table156[[#This Row],[Item-Codigo]], LEN(Table156[[#This Row],[Item-Codigo]]) - FIND("|", CONCATENATE(B369), FIND("|", CONCATENATE(B369)) + 1)))</f>
        <v>KG</v>
      </c>
      <c r="H36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877</v>
      </c>
      <c r="I369" s="40">
        <v>877</v>
      </c>
      <c r="J36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11250</v>
      </c>
      <c r="K369" t="s">
        <v>1074</v>
      </c>
    </row>
    <row r="370" spans="1:11" x14ac:dyDescent="0.35">
      <c r="A370" t="s">
        <v>305</v>
      </c>
      <c r="B370" t="s">
        <v>343</v>
      </c>
      <c r="C370" t="s">
        <v>906</v>
      </c>
      <c r="D370">
        <v>710</v>
      </c>
      <c r="E370" t="s">
        <v>197</v>
      </c>
      <c r="F370">
        <v>2023</v>
      </c>
      <c r="G370" t="str">
        <f>TRIM(RIGHT(Table156[[#This Row],[Item-Codigo]], LEN(Table156[[#This Row],[Item-Codigo]]) - FIND("|", CONCATENATE(B370), FIND("|", CONCATENATE(B370)) + 1)))</f>
        <v>TM</v>
      </c>
      <c r="H37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719</v>
      </c>
      <c r="I370" s="40">
        <v>719</v>
      </c>
      <c r="J37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710</v>
      </c>
      <c r="K370" t="s">
        <v>1077</v>
      </c>
    </row>
    <row r="371" spans="1:11" x14ac:dyDescent="0.35">
      <c r="A371" t="s">
        <v>305</v>
      </c>
      <c r="B371" t="s">
        <v>344</v>
      </c>
      <c r="C371" t="s">
        <v>345</v>
      </c>
      <c r="D371">
        <v>95</v>
      </c>
      <c r="E371" t="s">
        <v>197</v>
      </c>
      <c r="F371">
        <v>2023</v>
      </c>
      <c r="G371" t="str">
        <f>TRIM(RIGHT(Table156[[#This Row],[Item-Codigo]], LEN(Table156[[#This Row],[Item-Codigo]]) - FIND("|", CONCATENATE(B371), FIND("|", CONCATENATE(B371)) + 1)))</f>
        <v>KG</v>
      </c>
      <c r="H37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912.5</v>
      </c>
      <c r="I371" s="40" t="s">
        <v>555</v>
      </c>
      <c r="J37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95000</v>
      </c>
      <c r="K371" t="s">
        <v>90</v>
      </c>
    </row>
    <row r="372" spans="1:11" x14ac:dyDescent="0.35">
      <c r="A372" t="s">
        <v>305</v>
      </c>
      <c r="B372" t="s">
        <v>346</v>
      </c>
      <c r="C372" t="s">
        <v>327</v>
      </c>
      <c r="D372">
        <v>10</v>
      </c>
      <c r="E372" t="s">
        <v>197</v>
      </c>
      <c r="F372">
        <v>2023</v>
      </c>
      <c r="G372" t="str">
        <f>TRIM(RIGHT(Table156[[#This Row],[Item-Codigo]], LEN(Table156[[#This Row],[Item-Codigo]]) - FIND("|", CONCATENATE(B372), FIND("|", CONCATENATE(B372)) + 1)))</f>
        <v>KG</v>
      </c>
      <c r="H37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492.12</v>
      </c>
      <c r="I372" s="40" t="s">
        <v>539</v>
      </c>
      <c r="J37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10000</v>
      </c>
      <c r="K372" t="s">
        <v>91</v>
      </c>
    </row>
    <row r="373" spans="1:11" x14ac:dyDescent="0.35">
      <c r="A373" t="s">
        <v>305</v>
      </c>
      <c r="B373" t="s">
        <v>347</v>
      </c>
      <c r="C373" t="s">
        <v>348</v>
      </c>
      <c r="D373">
        <v>19</v>
      </c>
      <c r="E373" t="s">
        <v>197</v>
      </c>
      <c r="F373">
        <v>2023</v>
      </c>
      <c r="G373" t="str">
        <f>TRIM(RIGHT(Table156[[#This Row],[Item-Codigo]], LEN(Table156[[#This Row],[Item-Codigo]]) - FIND("|", CONCATENATE(B373), FIND("|", CONCATENATE(B373)) + 1)))</f>
        <v>KG</v>
      </c>
      <c r="H37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550</v>
      </c>
      <c r="I373" s="40">
        <v>550</v>
      </c>
      <c r="J37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19000</v>
      </c>
      <c r="K373" t="s">
        <v>92</v>
      </c>
    </row>
    <row r="374" spans="1:11" x14ac:dyDescent="0.35">
      <c r="A374" t="s">
        <v>305</v>
      </c>
      <c r="B374" t="s">
        <v>350</v>
      </c>
      <c r="C374" t="s">
        <v>351</v>
      </c>
      <c r="D374">
        <v>2.15</v>
      </c>
      <c r="E374" t="s">
        <v>197</v>
      </c>
      <c r="F374">
        <v>2023</v>
      </c>
      <c r="G374" t="str">
        <f>TRIM(RIGHT(Table156[[#This Row],[Item-Codigo]], LEN(Table156[[#This Row],[Item-Codigo]]) - FIND("|", CONCATENATE(B374), FIND("|", CONCATENATE(B374)) + 1)))</f>
        <v>KG</v>
      </c>
      <c r="H37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173</v>
      </c>
      <c r="I374" s="40">
        <v>173</v>
      </c>
      <c r="J37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2150</v>
      </c>
      <c r="K374" t="s">
        <v>138</v>
      </c>
    </row>
    <row r="375" spans="1:11" x14ac:dyDescent="0.35">
      <c r="A375" t="s">
        <v>305</v>
      </c>
      <c r="B375" t="s">
        <v>352</v>
      </c>
      <c r="C375" t="s">
        <v>353</v>
      </c>
      <c r="D375">
        <v>9.35</v>
      </c>
      <c r="E375" t="s">
        <v>197</v>
      </c>
      <c r="F375">
        <v>2023</v>
      </c>
      <c r="G375" t="str">
        <f>TRIM(RIGHT(Table156[[#This Row],[Item-Codigo]], LEN(Table156[[#This Row],[Item-Codigo]]) - FIND("|", CONCATENATE(B375), FIND("|", CONCATENATE(B375)) + 1)))</f>
        <v>KG</v>
      </c>
      <c r="H37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742</v>
      </c>
      <c r="I375" s="40">
        <v>742</v>
      </c>
      <c r="J37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9350</v>
      </c>
      <c r="K375" t="s">
        <v>147</v>
      </c>
    </row>
    <row r="376" spans="1:11" x14ac:dyDescent="0.35">
      <c r="A376" t="s">
        <v>305</v>
      </c>
      <c r="B376" t="s">
        <v>354</v>
      </c>
      <c r="C376" t="s">
        <v>353</v>
      </c>
      <c r="D376">
        <v>9.24</v>
      </c>
      <c r="E376" t="s">
        <v>197</v>
      </c>
      <c r="F376">
        <v>2023</v>
      </c>
      <c r="G376" t="str">
        <f>TRIM(RIGHT(Table156[[#This Row],[Item-Codigo]], LEN(Table156[[#This Row],[Item-Codigo]]) - FIND("|", CONCATENATE(B376), FIND("|", CONCATENATE(B376)) + 1)))</f>
        <v>KG</v>
      </c>
      <c r="H37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741</v>
      </c>
      <c r="I376" s="40">
        <v>741</v>
      </c>
      <c r="J37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9240</v>
      </c>
      <c r="K376" t="s">
        <v>146</v>
      </c>
    </row>
    <row r="377" spans="1:11" x14ac:dyDescent="0.35">
      <c r="A377" t="s">
        <v>305</v>
      </c>
      <c r="B377" t="s">
        <v>355</v>
      </c>
      <c r="C377" t="s">
        <v>353</v>
      </c>
      <c r="D377">
        <v>8.85</v>
      </c>
      <c r="E377" t="s">
        <v>197</v>
      </c>
      <c r="F377">
        <v>2023</v>
      </c>
      <c r="G377" t="str">
        <f>TRIM(RIGHT(Table156[[#This Row],[Item-Codigo]], LEN(Table156[[#This Row],[Item-Codigo]]) - FIND("|", CONCATENATE(B377), FIND("|", CONCATENATE(B377)) + 1)))</f>
        <v>KG</v>
      </c>
      <c r="H37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740</v>
      </c>
      <c r="I377" s="40">
        <v>740</v>
      </c>
      <c r="J37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8850</v>
      </c>
      <c r="K377" t="s">
        <v>143</v>
      </c>
    </row>
    <row r="378" spans="1:11" x14ac:dyDescent="0.35">
      <c r="A378" t="s">
        <v>305</v>
      </c>
      <c r="B378" t="s">
        <v>360</v>
      </c>
      <c r="C378" t="s">
        <v>909</v>
      </c>
      <c r="D378">
        <v>1146.5705</v>
      </c>
      <c r="E378" t="s">
        <v>197</v>
      </c>
      <c r="F378">
        <v>2023</v>
      </c>
      <c r="G378" t="str">
        <f>TRIM(RIGHT(Table156[[#This Row],[Item-Codigo]], LEN(Table156[[#This Row],[Item-Codigo]]) - FIND("|", CONCATENATE(B378), FIND("|", CONCATENATE(B378)) + 1)))</f>
        <v>TM</v>
      </c>
      <c r="H37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</v>
      </c>
      <c r="I378" s="40">
        <v>45</v>
      </c>
      <c r="J37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1146.5705</v>
      </c>
      <c r="K378" t="s">
        <v>131</v>
      </c>
    </row>
    <row r="379" spans="1:11" x14ac:dyDescent="0.35">
      <c r="A379" t="s">
        <v>305</v>
      </c>
      <c r="B379" t="s">
        <v>362</v>
      </c>
      <c r="C379" t="s">
        <v>363</v>
      </c>
      <c r="D379">
        <v>1.3148</v>
      </c>
      <c r="E379" t="s">
        <v>197</v>
      </c>
      <c r="F379">
        <v>2023</v>
      </c>
      <c r="G379" t="str">
        <f>TRIM(RIGHT(Table156[[#This Row],[Item-Codigo]], LEN(Table156[[#This Row],[Item-Codigo]]) - FIND("|", CONCATENATE(B379), FIND("|", CONCATENATE(B379)) + 1)))</f>
        <v>KG</v>
      </c>
      <c r="H37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439</v>
      </c>
      <c r="I379" s="40">
        <v>439</v>
      </c>
      <c r="J37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1314.8</v>
      </c>
      <c r="K379" t="s">
        <v>137</v>
      </c>
    </row>
    <row r="380" spans="1:11" x14ac:dyDescent="0.35">
      <c r="A380" t="s">
        <v>305</v>
      </c>
      <c r="B380" t="s">
        <v>912</v>
      </c>
      <c r="C380" t="s">
        <v>327</v>
      </c>
      <c r="D380">
        <v>3.07</v>
      </c>
      <c r="E380" t="s">
        <v>197</v>
      </c>
      <c r="F380">
        <v>2023</v>
      </c>
      <c r="G380" t="str">
        <f>TRIM(RIGHT(Table156[[#This Row],[Item-Codigo]], LEN(Table156[[#This Row],[Item-Codigo]]) - FIND("|", CONCATENATE(B380), FIND("|", CONCATENATE(B380)) + 1)))</f>
        <v>KG</v>
      </c>
      <c r="H38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498.4</v>
      </c>
      <c r="I380" s="40" t="s">
        <v>942</v>
      </c>
      <c r="J38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3070</v>
      </c>
      <c r="K380" t="s">
        <v>1230</v>
      </c>
    </row>
    <row r="381" spans="1:11" x14ac:dyDescent="0.35">
      <c r="A381" t="s">
        <v>305</v>
      </c>
      <c r="B381" t="s">
        <v>913</v>
      </c>
      <c r="C381" t="s">
        <v>365</v>
      </c>
      <c r="D381">
        <v>3.57</v>
      </c>
      <c r="E381" t="s">
        <v>197</v>
      </c>
      <c r="F381">
        <v>2023</v>
      </c>
      <c r="G381" t="str">
        <f>TRIM(RIGHT(Table156[[#This Row],[Item-Codigo]], LEN(Table156[[#This Row],[Item-Codigo]]) - FIND("|", CONCATENATE(B381), FIND("|", CONCATENATE(B381)) + 1)))</f>
        <v>KG</v>
      </c>
      <c r="H38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499.12</v>
      </c>
      <c r="I381" s="40" t="s">
        <v>544</v>
      </c>
      <c r="J38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3570</v>
      </c>
      <c r="K381" t="s">
        <v>972</v>
      </c>
    </row>
    <row r="382" spans="1:11" x14ac:dyDescent="0.35">
      <c r="A382" t="s">
        <v>305</v>
      </c>
      <c r="B382" t="s">
        <v>367</v>
      </c>
      <c r="C382" t="s">
        <v>321</v>
      </c>
      <c r="D382">
        <v>2.15</v>
      </c>
      <c r="E382" t="s">
        <v>197</v>
      </c>
      <c r="F382">
        <v>2023</v>
      </c>
      <c r="G382" t="str">
        <f>TRIM(RIGHT(Table156[[#This Row],[Item-Codigo]], LEN(Table156[[#This Row],[Item-Codigo]]) - FIND("|", CONCATENATE(B382), FIND("|", CONCATENATE(B382)) + 1)))</f>
        <v>KG</v>
      </c>
      <c r="H38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910</v>
      </c>
      <c r="I382" s="40">
        <v>910</v>
      </c>
      <c r="J38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2150</v>
      </c>
      <c r="K382" t="s">
        <v>136</v>
      </c>
    </row>
    <row r="383" spans="1:11" x14ac:dyDescent="0.35">
      <c r="A383" t="s">
        <v>305</v>
      </c>
      <c r="B383" t="s">
        <v>368</v>
      </c>
      <c r="C383" t="s">
        <v>348</v>
      </c>
      <c r="D383">
        <v>4.5</v>
      </c>
      <c r="E383" t="s">
        <v>197</v>
      </c>
      <c r="F383">
        <v>2023</v>
      </c>
      <c r="G383" t="str">
        <f>TRIM(RIGHT(Table156[[#This Row],[Item-Codigo]], LEN(Table156[[#This Row],[Item-Codigo]]) - FIND("|", CONCATENATE(B383), FIND("|", CONCATENATE(B383)) + 1)))</f>
        <v>KG</v>
      </c>
      <c r="H38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381</v>
      </c>
      <c r="I383" s="40">
        <v>381</v>
      </c>
      <c r="J38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4500</v>
      </c>
      <c r="K383" t="s">
        <v>74</v>
      </c>
    </row>
    <row r="384" spans="1:11" x14ac:dyDescent="0.35">
      <c r="A384" t="s">
        <v>305</v>
      </c>
      <c r="B384" t="s">
        <v>914</v>
      </c>
      <c r="C384" t="s">
        <v>915</v>
      </c>
      <c r="D384">
        <v>11.5</v>
      </c>
      <c r="E384" t="s">
        <v>197</v>
      </c>
      <c r="F384">
        <v>2023</v>
      </c>
      <c r="G384" t="str">
        <f>TRIM(RIGHT(Table156[[#This Row],[Item-Codigo]], LEN(Table156[[#This Row],[Item-Codigo]]) - FIND("|", CONCATENATE(B384), FIND("|", CONCATENATE(B384)) + 1)))</f>
        <v>KG</v>
      </c>
      <c r="H38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520</v>
      </c>
      <c r="I384" s="40">
        <v>520</v>
      </c>
      <c r="J38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11500</v>
      </c>
      <c r="K384" t="s">
        <v>1231</v>
      </c>
    </row>
    <row r="385" spans="1:11" x14ac:dyDescent="0.35">
      <c r="A385" t="s">
        <v>305</v>
      </c>
      <c r="B385" t="s">
        <v>375</v>
      </c>
      <c r="C385" t="s">
        <v>317</v>
      </c>
      <c r="D385">
        <v>6</v>
      </c>
      <c r="E385" t="s">
        <v>197</v>
      </c>
      <c r="F385">
        <v>2023</v>
      </c>
      <c r="G385" t="str">
        <f>TRIM(RIGHT(Table156[[#This Row],[Item-Codigo]], LEN(Table156[[#This Row],[Item-Codigo]]) - FIND("|", CONCATENATE(B385), FIND("|", CONCATENATE(B385)) + 1)))</f>
        <v>KG</v>
      </c>
      <c r="H38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945</v>
      </c>
      <c r="I385" s="40">
        <v>945</v>
      </c>
      <c r="J38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385" t="s">
        <v>148</v>
      </c>
    </row>
    <row r="386" spans="1:11" x14ac:dyDescent="0.35">
      <c r="A386" t="s">
        <v>305</v>
      </c>
      <c r="B386" t="s">
        <v>378</v>
      </c>
      <c r="C386" t="s">
        <v>377</v>
      </c>
      <c r="D386">
        <v>2.59</v>
      </c>
      <c r="E386" t="s">
        <v>197</v>
      </c>
      <c r="F386">
        <v>2023</v>
      </c>
      <c r="G386" t="str">
        <f>TRIM(RIGHT(Table156[[#This Row],[Item-Codigo]], LEN(Table156[[#This Row],[Item-Codigo]]) - FIND("|", CONCATENATE(B386), FIND("|", CONCATENATE(B386)) + 1)))</f>
        <v>KG</v>
      </c>
      <c r="H38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316</v>
      </c>
      <c r="I386" s="40">
        <v>316</v>
      </c>
      <c r="J38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2590</v>
      </c>
      <c r="K386" t="s">
        <v>165</v>
      </c>
    </row>
    <row r="387" spans="1:11" x14ac:dyDescent="0.35">
      <c r="A387" t="s">
        <v>305</v>
      </c>
      <c r="B387" t="s">
        <v>380</v>
      </c>
      <c r="C387" t="s">
        <v>381</v>
      </c>
      <c r="D387">
        <v>4.3499999999999996</v>
      </c>
      <c r="E387" t="s">
        <v>197</v>
      </c>
      <c r="F387">
        <v>2023</v>
      </c>
      <c r="G387" t="str">
        <f>TRIM(RIGHT(Table156[[#This Row],[Item-Codigo]], LEN(Table156[[#This Row],[Item-Codigo]]) - FIND("|", CONCATENATE(B387), FIND("|", CONCATENATE(B387)) + 1)))</f>
        <v>KG</v>
      </c>
      <c r="H38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706</v>
      </c>
      <c r="I387" s="40">
        <v>706</v>
      </c>
      <c r="J38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4350</v>
      </c>
      <c r="K387" t="s">
        <v>156</v>
      </c>
    </row>
    <row r="388" spans="1:11" x14ac:dyDescent="0.35">
      <c r="A388" t="s">
        <v>305</v>
      </c>
      <c r="B388" t="s">
        <v>382</v>
      </c>
      <c r="C388" t="s">
        <v>327</v>
      </c>
      <c r="D388">
        <v>9</v>
      </c>
      <c r="E388" t="s">
        <v>197</v>
      </c>
      <c r="F388">
        <v>2023</v>
      </c>
      <c r="G388" t="str">
        <f>TRIM(RIGHT(Table156[[#This Row],[Item-Codigo]], LEN(Table156[[#This Row],[Item-Codigo]]) - FIND("|", CONCATENATE(B388), FIND("|", CONCATENATE(B388)) + 1)))</f>
        <v>KG</v>
      </c>
      <c r="H38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68</v>
      </c>
      <c r="I388" s="40">
        <v>68</v>
      </c>
      <c r="J38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388" t="s">
        <v>160</v>
      </c>
    </row>
    <row r="389" spans="1:11" x14ac:dyDescent="0.35">
      <c r="A389" t="s">
        <v>305</v>
      </c>
      <c r="B389" t="s">
        <v>383</v>
      </c>
      <c r="C389" t="s">
        <v>317</v>
      </c>
      <c r="D389">
        <v>7.8</v>
      </c>
      <c r="E389" t="s">
        <v>197</v>
      </c>
      <c r="F389">
        <v>2023</v>
      </c>
      <c r="G389" t="str">
        <f>TRIM(RIGHT(Table156[[#This Row],[Item-Codigo]], LEN(Table156[[#This Row],[Item-Codigo]]) - FIND("|", CONCATENATE(B389), FIND("|", CONCATENATE(B389)) + 1)))</f>
        <v>KG</v>
      </c>
      <c r="H38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1059</v>
      </c>
      <c r="I389" s="40">
        <v>1059</v>
      </c>
      <c r="J38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7800</v>
      </c>
      <c r="K389" t="s">
        <v>151</v>
      </c>
    </row>
    <row r="390" spans="1:11" x14ac:dyDescent="0.35">
      <c r="A390" t="s">
        <v>305</v>
      </c>
      <c r="B390" t="s">
        <v>384</v>
      </c>
      <c r="C390" t="s">
        <v>385</v>
      </c>
      <c r="D390">
        <v>48</v>
      </c>
      <c r="E390" t="s">
        <v>197</v>
      </c>
      <c r="F390">
        <v>2023</v>
      </c>
      <c r="G390" t="str">
        <f>TRIM(RIGHT(Table156[[#This Row],[Item-Codigo]], LEN(Table156[[#This Row],[Item-Codigo]]) - FIND("|", CONCATENATE(B390), FIND("|", CONCATENATE(B390)) + 1)))</f>
        <v>KG</v>
      </c>
      <c r="H39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527.1</v>
      </c>
      <c r="I390" s="40" t="s">
        <v>547</v>
      </c>
      <c r="J39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48000</v>
      </c>
      <c r="K390" t="s">
        <v>1078</v>
      </c>
    </row>
    <row r="391" spans="1:11" x14ac:dyDescent="0.35">
      <c r="A391" t="s">
        <v>305</v>
      </c>
      <c r="B391" t="s">
        <v>386</v>
      </c>
      <c r="C391" t="s">
        <v>387</v>
      </c>
      <c r="D391">
        <v>5.98</v>
      </c>
      <c r="E391" t="s">
        <v>197</v>
      </c>
      <c r="F391">
        <v>2023</v>
      </c>
      <c r="G391" t="str">
        <f>TRIM(RIGHT(Table156[[#This Row],[Item-Codigo]], LEN(Table156[[#This Row],[Item-Codigo]]) - FIND("|", CONCATENATE(B391), FIND("|", CONCATENATE(B391)) + 1)))</f>
        <v>KG</v>
      </c>
      <c r="H39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110.2</v>
      </c>
      <c r="I391" s="40" t="s">
        <v>522</v>
      </c>
      <c r="J39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5980</v>
      </c>
      <c r="K391" t="s">
        <v>170</v>
      </c>
    </row>
    <row r="392" spans="1:11" x14ac:dyDescent="0.35">
      <c r="A392" t="s">
        <v>305</v>
      </c>
      <c r="B392" t="s">
        <v>388</v>
      </c>
      <c r="C392" t="s">
        <v>321</v>
      </c>
      <c r="D392">
        <v>7.4</v>
      </c>
      <c r="E392" t="s">
        <v>197</v>
      </c>
      <c r="F392">
        <v>2023</v>
      </c>
      <c r="G392" t="str">
        <f>TRIM(RIGHT(Table156[[#This Row],[Item-Codigo]], LEN(Table156[[#This Row],[Item-Codigo]]) - FIND("|", CONCATENATE(B392), FIND("|", CONCATENATE(B392)) + 1)))</f>
        <v>KG</v>
      </c>
      <c r="H39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1068</v>
      </c>
      <c r="I392" s="40">
        <v>1068</v>
      </c>
      <c r="J39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7400</v>
      </c>
      <c r="K392" t="s">
        <v>145</v>
      </c>
    </row>
    <row r="393" spans="1:11" x14ac:dyDescent="0.35">
      <c r="A393" t="s">
        <v>305</v>
      </c>
      <c r="B393" t="s">
        <v>389</v>
      </c>
      <c r="C393" t="s">
        <v>390</v>
      </c>
      <c r="D393">
        <v>1.05</v>
      </c>
      <c r="E393" t="s">
        <v>197</v>
      </c>
      <c r="F393">
        <v>2023</v>
      </c>
      <c r="G393" t="str">
        <f>TRIM(RIGHT(Table156[[#This Row],[Item-Codigo]], LEN(Table156[[#This Row],[Item-Codigo]]) - FIND("|", CONCATENATE(B393), FIND("|", CONCATENATE(B393)) + 1)))</f>
        <v>KG</v>
      </c>
      <c r="H39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806</v>
      </c>
      <c r="I393" s="40">
        <v>806</v>
      </c>
      <c r="J39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1050</v>
      </c>
      <c r="K393" t="s">
        <v>134</v>
      </c>
    </row>
    <row r="394" spans="1:11" x14ac:dyDescent="0.35">
      <c r="A394" t="s">
        <v>305</v>
      </c>
      <c r="B394" t="s">
        <v>391</v>
      </c>
      <c r="C394" t="s">
        <v>390</v>
      </c>
      <c r="D394">
        <v>2</v>
      </c>
      <c r="E394" t="s">
        <v>197</v>
      </c>
      <c r="F394">
        <v>2023</v>
      </c>
      <c r="G394" t="str">
        <f>TRIM(RIGHT(Table156[[#This Row],[Item-Codigo]], LEN(Table156[[#This Row],[Item-Codigo]]) - FIND("|", CONCATENATE(B394), FIND("|", CONCATENATE(B394)) + 1)))</f>
        <v>KG</v>
      </c>
      <c r="H39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810</v>
      </c>
      <c r="I394" s="40">
        <v>810</v>
      </c>
      <c r="J39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2000</v>
      </c>
      <c r="K394" t="s">
        <v>144</v>
      </c>
    </row>
    <row r="395" spans="1:11" x14ac:dyDescent="0.35">
      <c r="A395" t="s">
        <v>305</v>
      </c>
      <c r="B395" t="s">
        <v>394</v>
      </c>
      <c r="C395" t="s">
        <v>395</v>
      </c>
      <c r="D395">
        <v>19.75</v>
      </c>
      <c r="E395" t="s">
        <v>197</v>
      </c>
      <c r="F395">
        <v>2023</v>
      </c>
      <c r="G395" t="str">
        <f>TRIM(RIGHT(Table156[[#This Row],[Item-Codigo]], LEN(Table156[[#This Row],[Item-Codigo]]) - FIND("|", CONCATENATE(B395), FIND("|", CONCATENATE(B395)) + 1)))</f>
        <v>KG</v>
      </c>
      <c r="H39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</v>
      </c>
      <c r="I395" s="40">
        <v>70</v>
      </c>
      <c r="J39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19750</v>
      </c>
      <c r="K395" t="s">
        <v>159</v>
      </c>
    </row>
    <row r="396" spans="1:11" x14ac:dyDescent="0.35">
      <c r="A396" t="s">
        <v>305</v>
      </c>
      <c r="B396" t="s">
        <v>396</v>
      </c>
      <c r="C396" t="s">
        <v>345</v>
      </c>
      <c r="D396">
        <v>13.4</v>
      </c>
      <c r="E396" t="s">
        <v>197</v>
      </c>
      <c r="F396">
        <v>2023</v>
      </c>
      <c r="G396" t="str">
        <f>TRIM(RIGHT(Table156[[#This Row],[Item-Codigo]], LEN(Table156[[#This Row],[Item-Codigo]]) - FIND("|", CONCATENATE(B396), FIND("|", CONCATENATE(B396)) + 1)))</f>
        <v>KG</v>
      </c>
      <c r="H39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58</v>
      </c>
      <c r="I396" s="40">
        <v>58</v>
      </c>
      <c r="J39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13400</v>
      </c>
      <c r="K396" t="s">
        <v>172</v>
      </c>
    </row>
    <row r="397" spans="1:11" x14ac:dyDescent="0.35">
      <c r="A397" t="s">
        <v>305</v>
      </c>
      <c r="B397" t="s">
        <v>397</v>
      </c>
      <c r="C397" t="s">
        <v>327</v>
      </c>
      <c r="D397">
        <v>9</v>
      </c>
      <c r="E397" t="s">
        <v>197</v>
      </c>
      <c r="F397">
        <v>2023</v>
      </c>
      <c r="G397" t="str">
        <f>TRIM(RIGHT(Table156[[#This Row],[Item-Codigo]], LEN(Table156[[#This Row],[Item-Codigo]]) - FIND("|", CONCATENATE(B397), FIND("|", CONCATENATE(B397)) + 1)))</f>
        <v>KG</v>
      </c>
      <c r="H39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933</v>
      </c>
      <c r="I397" s="40">
        <v>933</v>
      </c>
      <c r="J39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397" t="s">
        <v>163</v>
      </c>
    </row>
    <row r="398" spans="1:11" x14ac:dyDescent="0.35">
      <c r="A398" t="s">
        <v>305</v>
      </c>
      <c r="B398" t="s">
        <v>919</v>
      </c>
      <c r="C398" t="s">
        <v>920</v>
      </c>
      <c r="D398">
        <v>3.8995395076000001</v>
      </c>
      <c r="E398" t="s">
        <v>197</v>
      </c>
      <c r="F398">
        <v>2023</v>
      </c>
      <c r="G398" t="str">
        <f>TRIM(RIGHT(Table156[[#This Row],[Item-Codigo]], LEN(Table156[[#This Row],[Item-Codigo]]) - FIND("|", CONCATENATE(B398), FIND("|", CONCATENATE(B398)) + 1)))</f>
        <v>S 25KG</v>
      </c>
      <c r="H39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704</v>
      </c>
      <c r="I398" s="40">
        <v>704</v>
      </c>
      <c r="J39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3899.5395076</v>
      </c>
      <c r="K398" t="s">
        <v>132</v>
      </c>
    </row>
    <row r="399" spans="1:11" x14ac:dyDescent="0.35">
      <c r="A399" t="s">
        <v>305</v>
      </c>
      <c r="B399" t="s">
        <v>401</v>
      </c>
      <c r="C399" t="s">
        <v>345</v>
      </c>
      <c r="D399">
        <v>33.85</v>
      </c>
      <c r="E399" t="s">
        <v>197</v>
      </c>
      <c r="F399">
        <v>2023</v>
      </c>
      <c r="G399" t="str">
        <f>TRIM(RIGHT(Table156[[#This Row],[Item-Codigo]], LEN(Table156[[#This Row],[Item-Codigo]]) - FIND("|", CONCATENATE(B399), FIND("|", CONCATENATE(B399)) + 1)))</f>
        <v>KG</v>
      </c>
      <c r="H39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1049</v>
      </c>
      <c r="I399" s="40">
        <v>1049</v>
      </c>
      <c r="J39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33850</v>
      </c>
      <c r="K399" t="s">
        <v>973</v>
      </c>
    </row>
    <row r="400" spans="1:11" x14ac:dyDescent="0.35">
      <c r="A400" t="s">
        <v>305</v>
      </c>
      <c r="B400" t="s">
        <v>402</v>
      </c>
      <c r="C400" t="s">
        <v>381</v>
      </c>
      <c r="D400">
        <v>3.05</v>
      </c>
      <c r="E400" t="s">
        <v>197</v>
      </c>
      <c r="F400">
        <v>2023</v>
      </c>
      <c r="G400" t="str">
        <f>TRIM(RIGHT(Table156[[#This Row],[Item-Codigo]], LEN(Table156[[#This Row],[Item-Codigo]]) - FIND("|", CONCATENATE(B400), FIND("|", CONCATENATE(B400)) + 1)))</f>
        <v>KG</v>
      </c>
      <c r="H40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716</v>
      </c>
      <c r="I400" s="40">
        <v>716</v>
      </c>
      <c r="J40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3050</v>
      </c>
      <c r="K400" t="s">
        <v>162</v>
      </c>
    </row>
    <row r="401" spans="1:11" x14ac:dyDescent="0.35">
      <c r="A401" t="s">
        <v>305</v>
      </c>
      <c r="B401" t="s">
        <v>926</v>
      </c>
      <c r="C401" t="s">
        <v>927</v>
      </c>
      <c r="D401">
        <v>29.5124</v>
      </c>
      <c r="E401" t="s">
        <v>197</v>
      </c>
      <c r="F401">
        <v>2023</v>
      </c>
      <c r="G401" t="str">
        <f>TRIM(RIGHT(Table156[[#This Row],[Item-Codigo]], LEN(Table156[[#This Row],[Item-Codigo]]) - FIND("|", CONCATENATE(B401), FIND("|", CONCATENATE(B401)) + 1)))</f>
        <v>KG</v>
      </c>
      <c r="H40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951</v>
      </c>
      <c r="I401" s="40">
        <v>951</v>
      </c>
      <c r="J40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29512.399999999998</v>
      </c>
      <c r="K401" t="s">
        <v>459</v>
      </c>
    </row>
    <row r="402" spans="1:11" x14ac:dyDescent="0.35">
      <c r="A402" t="s">
        <v>305</v>
      </c>
      <c r="B402" t="s">
        <v>407</v>
      </c>
      <c r="C402" t="s">
        <v>390</v>
      </c>
      <c r="D402">
        <v>1.18</v>
      </c>
      <c r="E402" t="s">
        <v>197</v>
      </c>
      <c r="F402">
        <v>2023</v>
      </c>
      <c r="G402" t="str">
        <f>TRIM(RIGHT(Table156[[#This Row],[Item-Codigo]], LEN(Table156[[#This Row],[Item-Codigo]]) - FIND("|", CONCATENATE(B402), FIND("|", CONCATENATE(B402)) + 1)))</f>
        <v>KG</v>
      </c>
      <c r="H40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46.5</v>
      </c>
      <c r="I402" s="40" t="s">
        <v>535</v>
      </c>
      <c r="J40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1180</v>
      </c>
      <c r="K402" t="s">
        <v>161</v>
      </c>
    </row>
    <row r="403" spans="1:11" x14ac:dyDescent="0.35">
      <c r="A403" t="s">
        <v>305</v>
      </c>
      <c r="B403" t="s">
        <v>408</v>
      </c>
      <c r="C403" t="s">
        <v>385</v>
      </c>
      <c r="D403">
        <v>1.4962593516</v>
      </c>
      <c r="E403" t="s">
        <v>197</v>
      </c>
      <c r="F403">
        <v>2023</v>
      </c>
      <c r="G403" t="str">
        <f>TRIM(RIGHT(Table156[[#This Row],[Item-Codigo]], LEN(Table156[[#This Row],[Item-Codigo]]) - FIND("|", CONCATENATE(B403), FIND("|", CONCATENATE(B403)) + 1)))</f>
        <v>KG</v>
      </c>
      <c r="H40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379</v>
      </c>
      <c r="I403" s="40">
        <v>379</v>
      </c>
      <c r="J40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1496.2593515999999</v>
      </c>
      <c r="K403" t="s">
        <v>139</v>
      </c>
    </row>
    <row r="404" spans="1:11" x14ac:dyDescent="0.35">
      <c r="A404" t="s">
        <v>305</v>
      </c>
      <c r="B404" t="s">
        <v>928</v>
      </c>
      <c r="C404" t="s">
        <v>315</v>
      </c>
      <c r="D404">
        <v>9</v>
      </c>
      <c r="E404" t="s">
        <v>197</v>
      </c>
      <c r="F404">
        <v>2023</v>
      </c>
      <c r="G404" t="str">
        <f>TRIM(RIGHT(Table156[[#This Row],[Item-Codigo]], LEN(Table156[[#This Row],[Item-Codigo]]) - FIND("|", CONCATENATE(B404), FIND("|", CONCATENATE(B404)) + 1)))</f>
        <v>KG</v>
      </c>
      <c r="H40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442.4</v>
      </c>
      <c r="I404" s="40" t="s">
        <v>531</v>
      </c>
      <c r="J40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404" t="s">
        <v>164</v>
      </c>
    </row>
    <row r="405" spans="1:11" x14ac:dyDescent="0.35">
      <c r="A405" t="s">
        <v>305</v>
      </c>
      <c r="B405" t="s">
        <v>410</v>
      </c>
      <c r="C405" t="s">
        <v>315</v>
      </c>
      <c r="D405">
        <v>4.95</v>
      </c>
      <c r="E405" t="s">
        <v>197</v>
      </c>
      <c r="F405">
        <v>2023</v>
      </c>
      <c r="G405" t="str">
        <f>TRIM(RIGHT(Table156[[#This Row],[Item-Codigo]], LEN(Table156[[#This Row],[Item-Codigo]]) - FIND("|", CONCATENATE(B405), FIND("|", CONCATENATE(B405)) + 1)))</f>
        <v>KG</v>
      </c>
      <c r="H40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508</v>
      </c>
      <c r="I405" s="40">
        <v>508</v>
      </c>
      <c r="J40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4950</v>
      </c>
      <c r="K405" t="s">
        <v>154</v>
      </c>
    </row>
    <row r="406" spans="1:11" x14ac:dyDescent="0.35">
      <c r="A406" t="s">
        <v>305</v>
      </c>
      <c r="B406" t="s">
        <v>412</v>
      </c>
      <c r="C406" t="s">
        <v>348</v>
      </c>
      <c r="D406">
        <v>30</v>
      </c>
      <c r="E406" t="s">
        <v>197</v>
      </c>
      <c r="F406">
        <v>2023</v>
      </c>
      <c r="G406" t="str">
        <f>TRIM(RIGHT(Table156[[#This Row],[Item-Codigo]], LEN(Table156[[#This Row],[Item-Codigo]]) - FIND("|", CONCATENATE(B406), FIND("|", CONCATENATE(B406)) + 1)))</f>
        <v>KG</v>
      </c>
      <c r="H40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981.2</v>
      </c>
      <c r="I406" s="40" t="s">
        <v>556</v>
      </c>
      <c r="J40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30000</v>
      </c>
      <c r="K406" t="s">
        <v>171</v>
      </c>
    </row>
    <row r="407" spans="1:11" x14ac:dyDescent="0.35">
      <c r="A407" t="s">
        <v>198</v>
      </c>
      <c r="B407" t="s">
        <v>219</v>
      </c>
      <c r="C407" t="s">
        <v>220</v>
      </c>
      <c r="D407">
        <v>950</v>
      </c>
      <c r="E407" t="s">
        <v>205</v>
      </c>
      <c r="F407">
        <v>2023</v>
      </c>
      <c r="G407" t="str">
        <f>TRIM(RIGHT(Table156[[#This Row],[Item-Codigo]], LEN(Table156[[#This Row],[Item-Codigo]]) - FIND("|", CONCATENATE(B407), FIND("|", CONCATENATE(B407)) + 1)))</f>
        <v>TM</v>
      </c>
      <c r="H40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407" s="40">
        <v>42</v>
      </c>
      <c r="J40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950</v>
      </c>
      <c r="K407" t="s">
        <v>94</v>
      </c>
    </row>
    <row r="408" spans="1:11" x14ac:dyDescent="0.35">
      <c r="A408" t="s">
        <v>198</v>
      </c>
      <c r="B408" t="s">
        <v>219</v>
      </c>
      <c r="C408" t="s">
        <v>222</v>
      </c>
      <c r="D408">
        <v>950</v>
      </c>
      <c r="E408" t="s">
        <v>205</v>
      </c>
      <c r="F408">
        <v>2023</v>
      </c>
      <c r="G408" t="str">
        <f>TRIM(RIGHT(Table156[[#This Row],[Item-Codigo]], LEN(Table156[[#This Row],[Item-Codigo]]) - FIND("|", CONCATENATE(B408), FIND("|", CONCATENATE(B408)) + 1)))</f>
        <v>TM</v>
      </c>
      <c r="H40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408" s="40">
        <v>42</v>
      </c>
      <c r="J40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950</v>
      </c>
      <c r="K408" t="s">
        <v>94</v>
      </c>
    </row>
    <row r="409" spans="1:11" x14ac:dyDescent="0.35">
      <c r="A409" t="s">
        <v>198</v>
      </c>
      <c r="B409" t="s">
        <v>224</v>
      </c>
      <c r="C409" t="s">
        <v>223</v>
      </c>
      <c r="D409">
        <v>1870</v>
      </c>
      <c r="E409" t="s">
        <v>205</v>
      </c>
      <c r="F409">
        <v>2023</v>
      </c>
      <c r="G409" t="str">
        <f>TRIM(RIGHT(Table156[[#This Row],[Item-Codigo]], LEN(Table156[[#This Row],[Item-Codigo]]) - FIND("|", CONCATENATE(B409), FIND("|", CONCATENATE(B409)) + 1)))</f>
        <v>TM</v>
      </c>
      <c r="H40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40</v>
      </c>
      <c r="I409" s="40">
        <v>40</v>
      </c>
      <c r="J40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1870</v>
      </c>
      <c r="K409" t="s">
        <v>95</v>
      </c>
    </row>
    <row r="410" spans="1:11" x14ac:dyDescent="0.35">
      <c r="A410" t="s">
        <v>198</v>
      </c>
      <c r="B410" t="s">
        <v>225</v>
      </c>
      <c r="C410" t="s">
        <v>226</v>
      </c>
      <c r="D410">
        <v>382.00035800590001</v>
      </c>
      <c r="E410" t="s">
        <v>205</v>
      </c>
      <c r="F410">
        <v>2023</v>
      </c>
      <c r="G410" t="str">
        <f>TRIM(RIGHT(Table156[[#This Row],[Item-Codigo]], LEN(Table156[[#This Row],[Item-Codigo]]) - FIND("|", CONCATENATE(B410), FIND("|", CONCATENATE(B410)) + 1)))</f>
        <v>TM</v>
      </c>
      <c r="H41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301</v>
      </c>
      <c r="I410" s="40">
        <v>301</v>
      </c>
      <c r="J41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382.00035800590001</v>
      </c>
      <c r="K410" t="s">
        <v>96</v>
      </c>
    </row>
    <row r="411" spans="1:11" x14ac:dyDescent="0.35">
      <c r="A411" t="s">
        <v>198</v>
      </c>
      <c r="B411" t="s">
        <v>228</v>
      </c>
      <c r="C411" t="s">
        <v>832</v>
      </c>
      <c r="D411">
        <v>385.38197118800002</v>
      </c>
      <c r="E411" t="s">
        <v>205</v>
      </c>
      <c r="F411">
        <v>2023</v>
      </c>
      <c r="G411" t="str">
        <f>TRIM(RIGHT(Table156[[#This Row],[Item-Codigo]], LEN(Table156[[#This Row],[Item-Codigo]]) - FIND("|", CONCATENATE(B411), FIND("|", CONCATENATE(B411)) + 1)))</f>
        <v>TM</v>
      </c>
      <c r="H41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411" s="40">
        <v>200</v>
      </c>
      <c r="J41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385.38197118800002</v>
      </c>
      <c r="K411" t="s">
        <v>97</v>
      </c>
    </row>
    <row r="412" spans="1:11" x14ac:dyDescent="0.35">
      <c r="A412" t="s">
        <v>198</v>
      </c>
      <c r="B412" t="s">
        <v>228</v>
      </c>
      <c r="C412" t="s">
        <v>833</v>
      </c>
      <c r="D412">
        <v>410</v>
      </c>
      <c r="E412" t="s">
        <v>205</v>
      </c>
      <c r="F412">
        <v>2023</v>
      </c>
      <c r="G412" t="str">
        <f>TRIM(RIGHT(Table156[[#This Row],[Item-Codigo]], LEN(Table156[[#This Row],[Item-Codigo]]) - FIND("|", CONCATENATE(B412), FIND("|", CONCATENATE(B412)) + 1)))</f>
        <v>TM</v>
      </c>
      <c r="H41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412" s="40">
        <v>200</v>
      </c>
      <c r="J41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410</v>
      </c>
      <c r="K412" t="s">
        <v>97</v>
      </c>
    </row>
    <row r="413" spans="1:11" x14ac:dyDescent="0.35">
      <c r="A413" t="s">
        <v>198</v>
      </c>
      <c r="B413" t="s">
        <v>228</v>
      </c>
      <c r="C413" t="s">
        <v>218</v>
      </c>
      <c r="D413">
        <v>394.301220618</v>
      </c>
      <c r="E413" t="s">
        <v>205</v>
      </c>
      <c r="F413">
        <v>2023</v>
      </c>
      <c r="G413" t="str">
        <f>TRIM(RIGHT(Table156[[#This Row],[Item-Codigo]], LEN(Table156[[#This Row],[Item-Codigo]]) - FIND("|", CONCATENATE(B413), FIND("|", CONCATENATE(B413)) + 1)))</f>
        <v>TM</v>
      </c>
      <c r="H41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413" s="40">
        <v>200</v>
      </c>
      <c r="J41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394.301220618</v>
      </c>
      <c r="K413" t="s">
        <v>97</v>
      </c>
    </row>
    <row r="414" spans="1:11" x14ac:dyDescent="0.35">
      <c r="A414" t="s">
        <v>198</v>
      </c>
      <c r="B414" t="s">
        <v>835</v>
      </c>
      <c r="C414" t="s">
        <v>834</v>
      </c>
      <c r="D414">
        <v>2.3480597014</v>
      </c>
      <c r="E414" t="s">
        <v>205</v>
      </c>
      <c r="F414">
        <v>2023</v>
      </c>
      <c r="G414" t="str">
        <f>TRIM(RIGHT(Table156[[#This Row],[Item-Codigo]], LEN(Table156[[#This Row],[Item-Codigo]]) - FIND("|", CONCATENATE(B414), FIND("|", CONCATENATE(B414)) + 1)))</f>
        <v>S 50KG</v>
      </c>
      <c r="H41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414" s="40">
        <v>701</v>
      </c>
      <c r="J41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2348.0597014</v>
      </c>
      <c r="K414" t="s">
        <v>98</v>
      </c>
    </row>
    <row r="415" spans="1:11" x14ac:dyDescent="0.35">
      <c r="A415" t="s">
        <v>198</v>
      </c>
      <c r="B415" t="s">
        <v>232</v>
      </c>
      <c r="C415" t="s">
        <v>231</v>
      </c>
      <c r="D415">
        <v>45.893659180975</v>
      </c>
      <c r="E415" t="s">
        <v>205</v>
      </c>
      <c r="F415">
        <v>2023</v>
      </c>
      <c r="G415" t="str">
        <f>TRIM(RIGHT(Table156[[#This Row],[Item-Codigo]], LEN(Table156[[#This Row],[Item-Codigo]]) - FIND("|", CONCATENATE(B415), FIND("|", CONCATENATE(B415)) + 1)))</f>
        <v>TM</v>
      </c>
      <c r="H41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415" s="40">
        <v>701</v>
      </c>
      <c r="J41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45.893659180975</v>
      </c>
      <c r="K415" t="s">
        <v>98</v>
      </c>
    </row>
    <row r="416" spans="1:11" x14ac:dyDescent="0.35">
      <c r="A416" t="s">
        <v>198</v>
      </c>
      <c r="B416" t="s">
        <v>841</v>
      </c>
      <c r="C416" t="s">
        <v>837</v>
      </c>
      <c r="D416">
        <v>774.96525984483299</v>
      </c>
      <c r="E416" t="s">
        <v>205</v>
      </c>
      <c r="F416">
        <v>2023</v>
      </c>
      <c r="G416" t="str">
        <f>TRIM(RIGHT(Table156[[#This Row],[Item-Codigo]], LEN(Table156[[#This Row],[Item-Codigo]]) - FIND("|", CONCATENATE(B416), FIND("|", CONCATENATE(B416)) + 1)))</f>
        <v>TM</v>
      </c>
      <c r="H41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159</v>
      </c>
      <c r="I416" s="40">
        <v>159</v>
      </c>
      <c r="J41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774.96525984483299</v>
      </c>
      <c r="K416" t="s">
        <v>191</v>
      </c>
    </row>
    <row r="417" spans="1:11" x14ac:dyDescent="0.35">
      <c r="A417" t="s">
        <v>198</v>
      </c>
      <c r="B417" t="s">
        <v>841</v>
      </c>
      <c r="C417" t="s">
        <v>241</v>
      </c>
      <c r="D417">
        <v>770.06988564164999</v>
      </c>
      <c r="E417" t="s">
        <v>205</v>
      </c>
      <c r="F417">
        <v>2023</v>
      </c>
      <c r="G417" t="str">
        <f>TRIM(RIGHT(Table156[[#This Row],[Item-Codigo]], LEN(Table156[[#This Row],[Item-Codigo]]) - FIND("|", CONCATENATE(B417), FIND("|", CONCATENATE(B417)) + 1)))</f>
        <v>TM</v>
      </c>
      <c r="H41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159</v>
      </c>
      <c r="I417" s="40">
        <v>159</v>
      </c>
      <c r="J41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770.06988564164999</v>
      </c>
      <c r="K417" t="s">
        <v>191</v>
      </c>
    </row>
    <row r="418" spans="1:11" x14ac:dyDescent="0.35">
      <c r="A418" t="s">
        <v>198</v>
      </c>
      <c r="B418" t="s">
        <v>841</v>
      </c>
      <c r="C418" t="s">
        <v>842</v>
      </c>
      <c r="D418">
        <v>780.01975289179995</v>
      </c>
      <c r="E418" t="s">
        <v>205</v>
      </c>
      <c r="F418">
        <v>2023</v>
      </c>
      <c r="G418" t="str">
        <f>TRIM(RIGHT(Table156[[#This Row],[Item-Codigo]], LEN(Table156[[#This Row],[Item-Codigo]]) - FIND("|", CONCATENATE(B418), FIND("|", CONCATENATE(B418)) + 1)))</f>
        <v>TM</v>
      </c>
      <c r="H41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159</v>
      </c>
      <c r="I418" s="40">
        <v>159</v>
      </c>
      <c r="J41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780.01975289179995</v>
      </c>
      <c r="K418" t="s">
        <v>191</v>
      </c>
    </row>
    <row r="419" spans="1:11" x14ac:dyDescent="0.35">
      <c r="A419" t="s">
        <v>198</v>
      </c>
      <c r="B419" t="s">
        <v>199</v>
      </c>
      <c r="C419" t="s">
        <v>204</v>
      </c>
      <c r="D419">
        <v>19.893139590053998</v>
      </c>
      <c r="E419" t="s">
        <v>205</v>
      </c>
      <c r="F419">
        <v>2023</v>
      </c>
      <c r="G419" t="str">
        <f>TRIM(RIGHT(Table156[[#This Row],[Item-Codigo]], LEN(Table156[[#This Row],[Item-Codigo]]) - FIND("|", CONCATENATE(B419), FIND("|", CONCATENATE(B419)) + 1)))</f>
        <v>QQ</v>
      </c>
      <c r="H41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419" s="40">
        <v>1</v>
      </c>
      <c r="J419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437.64907098118795</v>
      </c>
      <c r="K419" t="s">
        <v>182</v>
      </c>
    </row>
    <row r="420" spans="1:11" x14ac:dyDescent="0.35">
      <c r="A420" t="s">
        <v>198</v>
      </c>
      <c r="B420" t="s">
        <v>245</v>
      </c>
      <c r="C420" t="s">
        <v>833</v>
      </c>
      <c r="D420">
        <v>320</v>
      </c>
      <c r="E420" t="s">
        <v>205</v>
      </c>
      <c r="F420">
        <v>2023</v>
      </c>
      <c r="G420" t="str">
        <f>TRIM(RIGHT(Table156[[#This Row],[Item-Codigo]], LEN(Table156[[#This Row],[Item-Codigo]]) - FIND("|", CONCATENATE(B420), FIND("|", CONCATENATE(B420)) + 1)))</f>
        <v>TM</v>
      </c>
      <c r="H42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14</v>
      </c>
      <c r="I420" s="40">
        <v>14</v>
      </c>
      <c r="J42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320</v>
      </c>
      <c r="K420" t="s">
        <v>187</v>
      </c>
    </row>
    <row r="421" spans="1:11" x14ac:dyDescent="0.35">
      <c r="A421" t="s">
        <v>198</v>
      </c>
      <c r="B421" t="s">
        <v>853</v>
      </c>
      <c r="C421" t="s">
        <v>248</v>
      </c>
      <c r="D421">
        <v>18.776844109599999</v>
      </c>
      <c r="E421" t="s">
        <v>205</v>
      </c>
      <c r="F421">
        <v>2023</v>
      </c>
      <c r="G421" t="str">
        <f>TRIM(RIGHT(Table156[[#This Row],[Item-Codigo]], LEN(Table156[[#This Row],[Item-Codigo]]) - FIND("|", CONCATENATE(B421), FIND("|", CONCATENATE(B421)) + 1)))</f>
        <v>S 50KG</v>
      </c>
      <c r="H42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214</v>
      </c>
      <c r="I421" s="40">
        <v>214</v>
      </c>
      <c r="J42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18776.844109599999</v>
      </c>
      <c r="K421" t="s">
        <v>186</v>
      </c>
    </row>
    <row r="422" spans="1:11" x14ac:dyDescent="0.35">
      <c r="A422" t="s">
        <v>198</v>
      </c>
      <c r="B422" t="s">
        <v>854</v>
      </c>
      <c r="C422" t="s">
        <v>248</v>
      </c>
      <c r="D422">
        <v>375.4377025993</v>
      </c>
      <c r="E422" t="s">
        <v>205</v>
      </c>
      <c r="F422">
        <v>2023</v>
      </c>
      <c r="G422" t="str">
        <f>TRIM(RIGHT(Table156[[#This Row],[Item-Codigo]], LEN(Table156[[#This Row],[Item-Codigo]]) - FIND("|", CONCATENATE(B422), FIND("|", CONCATENATE(B422)) + 1)))</f>
        <v>TM</v>
      </c>
      <c r="H42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214</v>
      </c>
      <c r="I422" s="40">
        <v>214</v>
      </c>
      <c r="J42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375.4377025993</v>
      </c>
      <c r="K422" t="s">
        <v>186</v>
      </c>
    </row>
    <row r="423" spans="1:11" x14ac:dyDescent="0.35">
      <c r="A423" t="s">
        <v>198</v>
      </c>
      <c r="B423" t="s">
        <v>207</v>
      </c>
      <c r="C423" t="s">
        <v>857</v>
      </c>
      <c r="D423">
        <v>18.902756828785702</v>
      </c>
      <c r="E423" t="s">
        <v>205</v>
      </c>
      <c r="F423">
        <v>2023</v>
      </c>
      <c r="G423" t="str">
        <f>TRIM(RIGHT(Table156[[#This Row],[Item-Codigo]], LEN(Table156[[#This Row],[Item-Codigo]]) - FIND("|", CONCATENATE(B423), FIND("|", CONCATENATE(B423)) + 1)))</f>
        <v>QQ</v>
      </c>
      <c r="H42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423" s="40">
        <v>410</v>
      </c>
      <c r="J423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415.86065023328541</v>
      </c>
      <c r="K423" t="s">
        <v>183</v>
      </c>
    </row>
    <row r="424" spans="1:11" x14ac:dyDescent="0.35">
      <c r="A424" t="s">
        <v>198</v>
      </c>
      <c r="B424" t="s">
        <v>207</v>
      </c>
      <c r="C424" t="s">
        <v>858</v>
      </c>
      <c r="D424">
        <v>18.760110982400001</v>
      </c>
      <c r="E424" t="s">
        <v>205</v>
      </c>
      <c r="F424">
        <v>2023</v>
      </c>
      <c r="G424" t="str">
        <f>TRIM(RIGHT(Table156[[#This Row],[Item-Codigo]], LEN(Table156[[#This Row],[Item-Codigo]]) - FIND("|", CONCATENATE(B424), FIND("|", CONCATENATE(B424)) + 1)))</f>
        <v>QQ</v>
      </c>
      <c r="H42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424" s="40">
        <v>410</v>
      </c>
      <c r="J424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412.72244161280003</v>
      </c>
      <c r="K424" t="s">
        <v>183</v>
      </c>
    </row>
    <row r="425" spans="1:11" x14ac:dyDescent="0.35">
      <c r="A425" t="s">
        <v>198</v>
      </c>
      <c r="B425" t="s">
        <v>207</v>
      </c>
      <c r="C425" t="s">
        <v>201</v>
      </c>
      <c r="D425">
        <v>18.769957659399999</v>
      </c>
      <c r="E425" t="s">
        <v>205</v>
      </c>
      <c r="F425">
        <v>2023</v>
      </c>
      <c r="G425" t="str">
        <f>TRIM(RIGHT(Table156[[#This Row],[Item-Codigo]], LEN(Table156[[#This Row],[Item-Codigo]]) - FIND("|", CONCATENATE(B425), FIND("|", CONCATENATE(B425)) + 1)))</f>
        <v>QQ</v>
      </c>
      <c r="H42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425" s="40">
        <v>410</v>
      </c>
      <c r="J425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412.93906850679997</v>
      </c>
      <c r="K425" t="s">
        <v>183</v>
      </c>
    </row>
    <row r="426" spans="1:11" x14ac:dyDescent="0.35">
      <c r="A426" t="s">
        <v>198</v>
      </c>
      <c r="B426" t="s">
        <v>207</v>
      </c>
      <c r="C426" t="s">
        <v>208</v>
      </c>
      <c r="D426">
        <v>18.759828624000001</v>
      </c>
      <c r="E426" t="s">
        <v>205</v>
      </c>
      <c r="F426">
        <v>2023</v>
      </c>
      <c r="G426" t="str">
        <f>TRIM(RIGHT(Table156[[#This Row],[Item-Codigo]], LEN(Table156[[#This Row],[Item-Codigo]]) - FIND("|", CONCATENATE(B426), FIND("|", CONCATENATE(B426)) + 1)))</f>
        <v>QQ</v>
      </c>
      <c r="H42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426" s="40">
        <v>410</v>
      </c>
      <c r="J426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412.71622972800003</v>
      </c>
      <c r="K426" t="s">
        <v>183</v>
      </c>
    </row>
    <row r="427" spans="1:11" x14ac:dyDescent="0.35">
      <c r="A427" t="s">
        <v>198</v>
      </c>
      <c r="B427" t="s">
        <v>207</v>
      </c>
      <c r="C427" t="s">
        <v>860</v>
      </c>
      <c r="D427">
        <v>18.765014719833299</v>
      </c>
      <c r="E427" t="s">
        <v>205</v>
      </c>
      <c r="F427">
        <v>2023</v>
      </c>
      <c r="G427" t="str">
        <f>TRIM(RIGHT(Table156[[#This Row],[Item-Codigo]], LEN(Table156[[#This Row],[Item-Codigo]]) - FIND("|", CONCATENATE(B427), FIND("|", CONCATENATE(B427)) + 1)))</f>
        <v>QQ</v>
      </c>
      <c r="H42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427" s="40">
        <v>410</v>
      </c>
      <c r="J427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412.83032383633258</v>
      </c>
      <c r="K427" t="s">
        <v>183</v>
      </c>
    </row>
    <row r="428" spans="1:11" x14ac:dyDescent="0.35">
      <c r="A428" t="s">
        <v>198</v>
      </c>
      <c r="B428" t="s">
        <v>207</v>
      </c>
      <c r="C428" t="s">
        <v>833</v>
      </c>
      <c r="D428">
        <v>18.566226497100001</v>
      </c>
      <c r="E428" t="s">
        <v>205</v>
      </c>
      <c r="F428">
        <v>2023</v>
      </c>
      <c r="G428" t="str">
        <f>TRIM(RIGHT(Table156[[#This Row],[Item-Codigo]], LEN(Table156[[#This Row],[Item-Codigo]]) - FIND("|", CONCATENATE(B428), FIND("|", CONCATENATE(B428)) + 1)))</f>
        <v>QQ</v>
      </c>
      <c r="H42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428" s="40">
        <v>410</v>
      </c>
      <c r="J428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408.45698293620001</v>
      </c>
      <c r="K428" t="s">
        <v>183</v>
      </c>
    </row>
    <row r="429" spans="1:11" x14ac:dyDescent="0.35">
      <c r="A429" t="s">
        <v>198</v>
      </c>
      <c r="B429" t="s">
        <v>207</v>
      </c>
      <c r="C429" t="s">
        <v>209</v>
      </c>
      <c r="D429">
        <v>18.789999204400001</v>
      </c>
      <c r="E429" t="s">
        <v>205</v>
      </c>
      <c r="F429">
        <v>2023</v>
      </c>
      <c r="G429" t="str">
        <f>TRIM(RIGHT(Table156[[#This Row],[Item-Codigo]], LEN(Table156[[#This Row],[Item-Codigo]]) - FIND("|", CONCATENATE(B429), FIND("|", CONCATENATE(B429)) + 1)))</f>
        <v>QQ</v>
      </c>
      <c r="H42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429" s="40">
        <v>410</v>
      </c>
      <c r="J429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413.37998249680004</v>
      </c>
      <c r="K429" t="s">
        <v>183</v>
      </c>
    </row>
    <row r="430" spans="1:11" x14ac:dyDescent="0.35">
      <c r="A430" t="s">
        <v>198</v>
      </c>
      <c r="B430" t="s">
        <v>207</v>
      </c>
      <c r="C430" t="s">
        <v>864</v>
      </c>
      <c r="D430">
        <v>18.714905798425001</v>
      </c>
      <c r="E430" t="s">
        <v>205</v>
      </c>
      <c r="F430">
        <v>2023</v>
      </c>
      <c r="G430" t="str">
        <f>TRIM(RIGHT(Table156[[#This Row],[Item-Codigo]], LEN(Table156[[#This Row],[Item-Codigo]]) - FIND("|", CONCATENATE(B430), FIND("|", CONCATENATE(B430)) + 1)))</f>
        <v>QQ</v>
      </c>
      <c r="H43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430" s="40">
        <v>410</v>
      </c>
      <c r="J430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411.72792756535</v>
      </c>
      <c r="K430" t="s">
        <v>183</v>
      </c>
    </row>
    <row r="431" spans="1:11" x14ac:dyDescent="0.35">
      <c r="A431" t="s">
        <v>198</v>
      </c>
      <c r="B431" t="s">
        <v>207</v>
      </c>
      <c r="C431" t="s">
        <v>211</v>
      </c>
      <c r="D431">
        <v>18.78396359864</v>
      </c>
      <c r="E431" t="s">
        <v>205</v>
      </c>
      <c r="F431">
        <v>2023</v>
      </c>
      <c r="G431" t="str">
        <f>TRIM(RIGHT(Table156[[#This Row],[Item-Codigo]], LEN(Table156[[#This Row],[Item-Codigo]]) - FIND("|", CONCATENATE(B431), FIND("|", CONCATENATE(B431)) + 1)))</f>
        <v>QQ</v>
      </c>
      <c r="H43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431" s="40">
        <v>410</v>
      </c>
      <c r="J431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413.24719917007997</v>
      </c>
      <c r="K431" t="s">
        <v>183</v>
      </c>
    </row>
    <row r="432" spans="1:11" x14ac:dyDescent="0.35">
      <c r="A432" t="s">
        <v>198</v>
      </c>
      <c r="B432" t="s">
        <v>207</v>
      </c>
      <c r="C432" t="s">
        <v>866</v>
      </c>
      <c r="D432">
        <v>18.793448098599999</v>
      </c>
      <c r="E432" t="s">
        <v>205</v>
      </c>
      <c r="F432">
        <v>2023</v>
      </c>
      <c r="G432" t="str">
        <f>TRIM(RIGHT(Table156[[#This Row],[Item-Codigo]], LEN(Table156[[#This Row],[Item-Codigo]]) - FIND("|", CONCATENATE(B432), FIND("|", CONCATENATE(B432)) + 1)))</f>
        <v>QQ</v>
      </c>
      <c r="H43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432" s="40">
        <v>410</v>
      </c>
      <c r="J432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413.45585816919998</v>
      </c>
      <c r="K432" t="s">
        <v>183</v>
      </c>
    </row>
    <row r="433" spans="1:11" x14ac:dyDescent="0.35">
      <c r="A433" t="s">
        <v>198</v>
      </c>
      <c r="B433" t="s">
        <v>207</v>
      </c>
      <c r="C433" t="s">
        <v>212</v>
      </c>
      <c r="D433">
        <v>18.817424469374998</v>
      </c>
      <c r="E433" t="s">
        <v>205</v>
      </c>
      <c r="F433">
        <v>2023</v>
      </c>
      <c r="G433" t="str">
        <f>TRIM(RIGHT(Table156[[#This Row],[Item-Codigo]], LEN(Table156[[#This Row],[Item-Codigo]]) - FIND("|", CONCATENATE(B433), FIND("|", CONCATENATE(B433)) + 1)))</f>
        <v>QQ</v>
      </c>
      <c r="H43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433" s="40">
        <v>410</v>
      </c>
      <c r="J433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413.98333832624996</v>
      </c>
      <c r="K433" t="s">
        <v>183</v>
      </c>
    </row>
    <row r="434" spans="1:11" x14ac:dyDescent="0.35">
      <c r="A434" t="s">
        <v>198</v>
      </c>
      <c r="B434" t="s">
        <v>207</v>
      </c>
      <c r="C434" t="s">
        <v>867</v>
      </c>
      <c r="D434">
        <v>18.814014991335998</v>
      </c>
      <c r="E434" t="s">
        <v>205</v>
      </c>
      <c r="F434">
        <v>2023</v>
      </c>
      <c r="G434" t="str">
        <f>TRIM(RIGHT(Table156[[#This Row],[Item-Codigo]], LEN(Table156[[#This Row],[Item-Codigo]]) - FIND("|", CONCATENATE(B434), FIND("|", CONCATENATE(B434)) + 1)))</f>
        <v>QQ</v>
      </c>
      <c r="H43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434" s="40">
        <v>410</v>
      </c>
      <c r="J434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413.90832980939194</v>
      </c>
      <c r="K434" t="s">
        <v>183</v>
      </c>
    </row>
    <row r="435" spans="1:11" x14ac:dyDescent="0.35">
      <c r="A435" t="s">
        <v>198</v>
      </c>
      <c r="B435" t="s">
        <v>207</v>
      </c>
      <c r="C435" t="s">
        <v>868</v>
      </c>
      <c r="D435">
        <v>18.893301493599999</v>
      </c>
      <c r="E435" t="s">
        <v>205</v>
      </c>
      <c r="F435">
        <v>2023</v>
      </c>
      <c r="G435" t="str">
        <f>TRIM(RIGHT(Table156[[#This Row],[Item-Codigo]], LEN(Table156[[#This Row],[Item-Codigo]]) - FIND("|", CONCATENATE(B435), FIND("|", CONCATENATE(B435)) + 1)))</f>
        <v>QQ</v>
      </c>
      <c r="H43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435" s="40">
        <v>410</v>
      </c>
      <c r="J435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415.65263285919997</v>
      </c>
      <c r="K435" t="s">
        <v>183</v>
      </c>
    </row>
    <row r="436" spans="1:11" x14ac:dyDescent="0.35">
      <c r="A436" t="s">
        <v>198</v>
      </c>
      <c r="B436" t="s">
        <v>873</v>
      </c>
      <c r="C436" t="s">
        <v>817</v>
      </c>
      <c r="D436">
        <v>430</v>
      </c>
      <c r="E436" t="s">
        <v>205</v>
      </c>
      <c r="F436">
        <v>2023</v>
      </c>
      <c r="G436" t="str">
        <f>TRIM(RIGHT(Table156[[#This Row],[Item-Codigo]], LEN(Table156[[#This Row],[Item-Codigo]]) - FIND("|", CONCATENATE(B436), FIND("|", CONCATENATE(B436)) + 1)))</f>
        <v>TM</v>
      </c>
      <c r="H43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17.5</v>
      </c>
      <c r="I436" s="40" t="s">
        <v>934</v>
      </c>
      <c r="J43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430</v>
      </c>
      <c r="K436" t="s">
        <v>873</v>
      </c>
    </row>
    <row r="437" spans="1:11" x14ac:dyDescent="0.35">
      <c r="A437" t="s">
        <v>256</v>
      </c>
      <c r="B437" t="s">
        <v>261</v>
      </c>
      <c r="C437" t="s">
        <v>262</v>
      </c>
      <c r="D437">
        <v>0.17079991223333299</v>
      </c>
      <c r="E437" t="s">
        <v>205</v>
      </c>
      <c r="F437">
        <v>2023</v>
      </c>
      <c r="G437" t="str">
        <f>TRIM(RIGHT(Table156[[#This Row],[Item-Codigo]], LEN(Table156[[#This Row],[Item-Codigo]]) - FIND("|", CONCATENATE(B437), FIND("|", CONCATENATE(B437)) + 1)))</f>
        <v>UND</v>
      </c>
      <c r="H43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437" s="40" t="s">
        <v>500</v>
      </c>
      <c r="J43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0.17079991223333299</v>
      </c>
      <c r="K437" t="s">
        <v>43</v>
      </c>
    </row>
    <row r="438" spans="1:11" x14ac:dyDescent="0.35">
      <c r="A438" t="s">
        <v>256</v>
      </c>
      <c r="B438" t="s">
        <v>261</v>
      </c>
      <c r="C438" t="s">
        <v>267</v>
      </c>
      <c r="D438">
        <v>0.15290011014999999</v>
      </c>
      <c r="E438" t="s">
        <v>205</v>
      </c>
      <c r="F438">
        <v>2023</v>
      </c>
      <c r="G438" t="str">
        <f>TRIM(RIGHT(Table156[[#This Row],[Item-Codigo]], LEN(Table156[[#This Row],[Item-Codigo]]) - FIND("|", CONCATENATE(B438), FIND("|", CONCATENATE(B438)) + 1)))</f>
        <v>UND</v>
      </c>
      <c r="H43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438" s="40" t="s">
        <v>500</v>
      </c>
      <c r="J43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0.15290011014999999</v>
      </c>
      <c r="K438" t="s">
        <v>43</v>
      </c>
    </row>
    <row r="439" spans="1:11" x14ac:dyDescent="0.35">
      <c r="A439" t="s">
        <v>256</v>
      </c>
      <c r="B439" t="s">
        <v>264</v>
      </c>
      <c r="C439" t="s">
        <v>262</v>
      </c>
      <c r="D439">
        <v>0.17080000000000001</v>
      </c>
      <c r="E439" t="s">
        <v>205</v>
      </c>
      <c r="F439">
        <v>2023</v>
      </c>
      <c r="G439" t="str">
        <f>TRIM(RIGHT(Table156[[#This Row],[Item-Codigo]], LEN(Table156[[#This Row],[Item-Codigo]]) - FIND("|", CONCATENATE(B439), FIND("|", CONCATENATE(B439)) + 1)))</f>
        <v>UND</v>
      </c>
      <c r="H43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1024-ME</v>
      </c>
      <c r="I439" s="40" t="s">
        <v>501</v>
      </c>
      <c r="J43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0.17080000000000001</v>
      </c>
      <c r="K439" t="s">
        <v>44</v>
      </c>
    </row>
    <row r="440" spans="1:11" x14ac:dyDescent="0.35">
      <c r="A440" t="s">
        <v>256</v>
      </c>
      <c r="B440" t="s">
        <v>264</v>
      </c>
      <c r="C440" t="s">
        <v>267</v>
      </c>
      <c r="D440">
        <v>0.15289968046666699</v>
      </c>
      <c r="E440" t="s">
        <v>205</v>
      </c>
      <c r="F440">
        <v>2023</v>
      </c>
      <c r="G440" t="str">
        <f>TRIM(RIGHT(Table156[[#This Row],[Item-Codigo]], LEN(Table156[[#This Row],[Item-Codigo]]) - FIND("|", CONCATENATE(B440), FIND("|", CONCATENATE(B440)) + 1)))</f>
        <v>UND</v>
      </c>
      <c r="H44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1024-ME</v>
      </c>
      <c r="I440" s="40" t="s">
        <v>501</v>
      </c>
      <c r="J44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0.15289968046666699</v>
      </c>
      <c r="K440" t="s">
        <v>44</v>
      </c>
    </row>
    <row r="441" spans="1:11" x14ac:dyDescent="0.35">
      <c r="A441" t="s">
        <v>256</v>
      </c>
      <c r="B441" t="s">
        <v>265</v>
      </c>
      <c r="C441" t="s">
        <v>262</v>
      </c>
      <c r="D441">
        <v>0.17080021340000001</v>
      </c>
      <c r="E441" t="s">
        <v>205</v>
      </c>
      <c r="F441">
        <v>2023</v>
      </c>
      <c r="G441" t="str">
        <f>TRIM(RIGHT(Table156[[#This Row],[Item-Codigo]], LEN(Table156[[#This Row],[Item-Codigo]]) - FIND("|", CONCATENATE(B441), FIND("|", CONCATENATE(B441)) + 1)))</f>
        <v>UND</v>
      </c>
      <c r="H44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1025-ME</v>
      </c>
      <c r="I441" s="40" t="s">
        <v>502</v>
      </c>
      <c r="J44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0.17080021340000001</v>
      </c>
      <c r="K441" t="s">
        <v>45</v>
      </c>
    </row>
    <row r="442" spans="1:11" x14ac:dyDescent="0.35">
      <c r="A442" t="s">
        <v>256</v>
      </c>
      <c r="B442" t="s">
        <v>265</v>
      </c>
      <c r="C442" t="s">
        <v>267</v>
      </c>
      <c r="D442">
        <v>0.1529001515</v>
      </c>
      <c r="E442" t="s">
        <v>205</v>
      </c>
      <c r="F442">
        <v>2023</v>
      </c>
      <c r="G442" t="str">
        <f>TRIM(RIGHT(Table156[[#This Row],[Item-Codigo]], LEN(Table156[[#This Row],[Item-Codigo]]) - FIND("|", CONCATENATE(B442), FIND("|", CONCATENATE(B442)) + 1)))</f>
        <v>UND</v>
      </c>
      <c r="H44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1025-ME</v>
      </c>
      <c r="I442" s="40" t="s">
        <v>502</v>
      </c>
      <c r="J44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0.1529001515</v>
      </c>
      <c r="K442" t="s">
        <v>45</v>
      </c>
    </row>
    <row r="443" spans="1:11" x14ac:dyDescent="0.35">
      <c r="A443" t="s">
        <v>256</v>
      </c>
      <c r="B443" t="s">
        <v>266</v>
      </c>
      <c r="C443" t="s">
        <v>263</v>
      </c>
      <c r="D443">
        <v>0.17640090250000001</v>
      </c>
      <c r="E443" t="s">
        <v>205</v>
      </c>
      <c r="F443">
        <v>2023</v>
      </c>
      <c r="G443" t="str">
        <f>TRIM(RIGHT(Table156[[#This Row],[Item-Codigo]], LEN(Table156[[#This Row],[Item-Codigo]]) - FIND("|", CONCATENATE(B443), FIND("|", CONCATENATE(B443)) + 1)))</f>
        <v>UND</v>
      </c>
      <c r="H44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1026-ME</v>
      </c>
      <c r="I443" s="40" t="s">
        <v>503</v>
      </c>
      <c r="J44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0.17640090250000001</v>
      </c>
      <c r="K443" t="s">
        <v>46</v>
      </c>
    </row>
    <row r="444" spans="1:11" x14ac:dyDescent="0.35">
      <c r="A444" t="s">
        <v>256</v>
      </c>
      <c r="B444" t="s">
        <v>269</v>
      </c>
      <c r="C444" t="s">
        <v>263</v>
      </c>
      <c r="D444">
        <v>14.1965</v>
      </c>
      <c r="E444" t="s">
        <v>205</v>
      </c>
      <c r="F444">
        <v>2023</v>
      </c>
      <c r="G444" t="str">
        <f>TRIM(RIGHT(Table156[[#This Row],[Item-Codigo]], LEN(Table156[[#This Row],[Item-Codigo]]) - FIND("|", CONCATENATE(B444), FIND("|", CONCATENATE(B444)) + 1)))</f>
        <v>UND</v>
      </c>
      <c r="H44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1021-ME</v>
      </c>
      <c r="I444" s="40" t="s">
        <v>498</v>
      </c>
      <c r="J44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14.1965</v>
      </c>
      <c r="K444" t="s">
        <v>49</v>
      </c>
    </row>
    <row r="445" spans="1:11" x14ac:dyDescent="0.35">
      <c r="A445" t="s">
        <v>256</v>
      </c>
      <c r="B445" t="s">
        <v>272</v>
      </c>
      <c r="C445" t="s">
        <v>263</v>
      </c>
      <c r="D445">
        <v>0.17640072314999999</v>
      </c>
      <c r="E445" t="s">
        <v>205</v>
      </c>
      <c r="F445">
        <v>2023</v>
      </c>
      <c r="G445" t="str">
        <f>TRIM(RIGHT(Table156[[#This Row],[Item-Codigo]], LEN(Table156[[#This Row],[Item-Codigo]]) - FIND("|", CONCATENATE(B445), FIND("|", CONCATENATE(B445)) + 1)))</f>
        <v>UND</v>
      </c>
      <c r="H44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1029-ME</v>
      </c>
      <c r="I445" s="40" t="s">
        <v>506</v>
      </c>
      <c r="J44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0.17640072314999999</v>
      </c>
      <c r="K445" t="s">
        <v>51</v>
      </c>
    </row>
    <row r="446" spans="1:11" x14ac:dyDescent="0.35">
      <c r="A446" t="s">
        <v>256</v>
      </c>
      <c r="B446" t="s">
        <v>273</v>
      </c>
      <c r="C446" t="s">
        <v>262</v>
      </c>
      <c r="D446">
        <v>0.17079981089999999</v>
      </c>
      <c r="E446" t="s">
        <v>205</v>
      </c>
      <c r="F446">
        <v>2023</v>
      </c>
      <c r="G446" t="str">
        <f>TRIM(RIGHT(Table156[[#This Row],[Item-Codigo]], LEN(Table156[[#This Row],[Item-Codigo]]) - FIND("|", CONCATENATE(B446), FIND("|", CONCATENATE(B446)) + 1)))</f>
        <v>UND</v>
      </c>
      <c r="H44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1030-ME</v>
      </c>
      <c r="I446" s="40" t="s">
        <v>507</v>
      </c>
      <c r="J44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0.17079981089999999</v>
      </c>
      <c r="K446" t="s">
        <v>52</v>
      </c>
    </row>
    <row r="447" spans="1:11" x14ac:dyDescent="0.35">
      <c r="A447" t="s">
        <v>256</v>
      </c>
      <c r="B447" t="s">
        <v>273</v>
      </c>
      <c r="C447" t="s">
        <v>263</v>
      </c>
      <c r="D447">
        <v>0.176409365866667</v>
      </c>
      <c r="E447" t="s">
        <v>205</v>
      </c>
      <c r="F447">
        <v>2023</v>
      </c>
      <c r="G447" t="str">
        <f>TRIM(RIGHT(Table156[[#This Row],[Item-Codigo]], LEN(Table156[[#This Row],[Item-Codigo]]) - FIND("|", CONCATENATE(B447), FIND("|", CONCATENATE(B447)) + 1)))</f>
        <v>UND</v>
      </c>
      <c r="H44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1030-ME</v>
      </c>
      <c r="I447" s="40" t="s">
        <v>507</v>
      </c>
      <c r="J44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0.176409365866667</v>
      </c>
      <c r="K447" t="s">
        <v>52</v>
      </c>
    </row>
    <row r="448" spans="1:11" x14ac:dyDescent="0.35">
      <c r="A448" t="s">
        <v>256</v>
      </c>
      <c r="B448" t="s">
        <v>274</v>
      </c>
      <c r="C448" t="s">
        <v>262</v>
      </c>
      <c r="D448">
        <v>0.17079978809999999</v>
      </c>
      <c r="E448" t="s">
        <v>205</v>
      </c>
      <c r="F448">
        <v>2023</v>
      </c>
      <c r="G448" t="str">
        <f>TRIM(RIGHT(Table156[[#This Row],[Item-Codigo]], LEN(Table156[[#This Row],[Item-Codigo]]) - FIND("|", CONCATENATE(B448), FIND("|", CONCATENATE(B448)) + 1)))</f>
        <v>UND</v>
      </c>
      <c r="H44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1031-ME</v>
      </c>
      <c r="I448" s="40" t="s">
        <v>508</v>
      </c>
      <c r="J44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0.17079978809999999</v>
      </c>
      <c r="K448" t="s">
        <v>53</v>
      </c>
    </row>
    <row r="449" spans="1:11" x14ac:dyDescent="0.35">
      <c r="A449" t="s">
        <v>256</v>
      </c>
      <c r="B449" t="s">
        <v>283</v>
      </c>
      <c r="C449" t="s">
        <v>267</v>
      </c>
      <c r="D449">
        <v>0.22709986579999999</v>
      </c>
      <c r="E449" t="s">
        <v>205</v>
      </c>
      <c r="F449">
        <v>2023</v>
      </c>
      <c r="G449" t="str">
        <f>TRIM(RIGHT(Table156[[#This Row],[Item-Codigo]], LEN(Table156[[#This Row],[Item-Codigo]]) - FIND("|", CONCATENATE(B449), FIND("|", CONCATENATE(B449)) + 1)))</f>
        <v>UND</v>
      </c>
      <c r="H44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0754-ME</v>
      </c>
      <c r="I449" s="40" t="s">
        <v>482</v>
      </c>
      <c r="J44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0.22709986579999999</v>
      </c>
      <c r="K449" t="s">
        <v>112</v>
      </c>
    </row>
    <row r="450" spans="1:11" x14ac:dyDescent="0.35">
      <c r="A450" t="s">
        <v>256</v>
      </c>
      <c r="B450" t="s">
        <v>287</v>
      </c>
      <c r="C450" t="s">
        <v>267</v>
      </c>
      <c r="D450">
        <v>0.2271</v>
      </c>
      <c r="E450" t="s">
        <v>205</v>
      </c>
      <c r="F450">
        <v>2023</v>
      </c>
      <c r="G450" t="str">
        <f>TRIM(RIGHT(Table156[[#This Row],[Item-Codigo]], LEN(Table156[[#This Row],[Item-Codigo]]) - FIND("|", CONCATENATE(B450), FIND("|", CONCATENATE(B450)) + 1)))</f>
        <v>UND</v>
      </c>
      <c r="H45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0115-ME</v>
      </c>
      <c r="I450" s="40" t="s">
        <v>474</v>
      </c>
      <c r="J45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0.2271</v>
      </c>
      <c r="K450" t="s">
        <v>115</v>
      </c>
    </row>
    <row r="451" spans="1:11" x14ac:dyDescent="0.35">
      <c r="A451" t="s">
        <v>256</v>
      </c>
      <c r="B451" t="s">
        <v>288</v>
      </c>
      <c r="C451" t="s">
        <v>263</v>
      </c>
      <c r="D451">
        <v>0.24779900329999999</v>
      </c>
      <c r="E451" t="s">
        <v>205</v>
      </c>
      <c r="F451">
        <v>2023</v>
      </c>
      <c r="G451" t="str">
        <f>TRIM(RIGHT(Table156[[#This Row],[Item-Codigo]], LEN(Table156[[#This Row],[Item-Codigo]]) - FIND("|", CONCATENATE(B451), FIND("|", CONCATENATE(B451)) + 1)))</f>
        <v>UND</v>
      </c>
      <c r="H45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0993-ME</v>
      </c>
      <c r="I451" s="40" t="s">
        <v>490</v>
      </c>
      <c r="J45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0.24779900329999999</v>
      </c>
      <c r="K451" t="s">
        <v>106</v>
      </c>
    </row>
    <row r="452" spans="1:11" x14ac:dyDescent="0.35">
      <c r="A452" t="s">
        <v>256</v>
      </c>
      <c r="B452" t="s">
        <v>288</v>
      </c>
      <c r="C452" t="s">
        <v>267</v>
      </c>
      <c r="D452">
        <v>0.2151002793</v>
      </c>
      <c r="E452" t="s">
        <v>205</v>
      </c>
      <c r="F452">
        <v>2023</v>
      </c>
      <c r="G452" t="str">
        <f>TRIM(RIGHT(Table156[[#This Row],[Item-Codigo]], LEN(Table156[[#This Row],[Item-Codigo]]) - FIND("|", CONCATENATE(B452), FIND("|", CONCATENATE(B452)) + 1)))</f>
        <v>UND</v>
      </c>
      <c r="H45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0993-ME</v>
      </c>
      <c r="I452" s="40" t="s">
        <v>490</v>
      </c>
      <c r="J45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0.2151002793</v>
      </c>
      <c r="K452" t="s">
        <v>106</v>
      </c>
    </row>
    <row r="453" spans="1:11" x14ac:dyDescent="0.35">
      <c r="A453" t="s">
        <v>256</v>
      </c>
      <c r="B453" t="s">
        <v>289</v>
      </c>
      <c r="C453" t="s">
        <v>267</v>
      </c>
      <c r="D453">
        <v>0.21510015709999999</v>
      </c>
      <c r="E453" t="s">
        <v>205</v>
      </c>
      <c r="F453">
        <v>2023</v>
      </c>
      <c r="G453" t="str">
        <f>TRIM(RIGHT(Table156[[#This Row],[Item-Codigo]], LEN(Table156[[#This Row],[Item-Codigo]]) - FIND("|", CONCATENATE(B453), FIND("|", CONCATENATE(B453)) + 1)))</f>
        <v>UND</v>
      </c>
      <c r="H45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0994-ME</v>
      </c>
      <c r="I453" s="40" t="s">
        <v>491</v>
      </c>
      <c r="J45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0.21510015709999999</v>
      </c>
      <c r="K453" t="s">
        <v>118</v>
      </c>
    </row>
    <row r="454" spans="1:11" x14ac:dyDescent="0.35">
      <c r="A454" t="s">
        <v>256</v>
      </c>
      <c r="B454" t="s">
        <v>290</v>
      </c>
      <c r="C454" t="s">
        <v>267</v>
      </c>
      <c r="D454">
        <v>0.22390035990000001</v>
      </c>
      <c r="E454" t="s">
        <v>205</v>
      </c>
      <c r="F454">
        <v>2023</v>
      </c>
      <c r="G454" t="str">
        <f>TRIM(RIGHT(Table156[[#This Row],[Item-Codigo]], LEN(Table156[[#This Row],[Item-Codigo]]) - FIND("|", CONCATENATE(B454), FIND("|", CONCATENATE(B454)) + 1)))</f>
        <v>UND</v>
      </c>
      <c r="H45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0995-ME</v>
      </c>
      <c r="I454" s="40" t="s">
        <v>492</v>
      </c>
      <c r="J45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0.22390035990000001</v>
      </c>
      <c r="K454" t="s">
        <v>108</v>
      </c>
    </row>
    <row r="455" spans="1:11" x14ac:dyDescent="0.35">
      <c r="A455" t="s">
        <v>256</v>
      </c>
      <c r="B455" t="s">
        <v>890</v>
      </c>
      <c r="C455" t="s">
        <v>267</v>
      </c>
      <c r="D455">
        <v>0.21290036609999999</v>
      </c>
      <c r="E455" t="s">
        <v>205</v>
      </c>
      <c r="F455">
        <v>2023</v>
      </c>
      <c r="G455" t="str">
        <f>TRIM(RIGHT(Table156[[#This Row],[Item-Codigo]], LEN(Table156[[#This Row],[Item-Codigo]]) - FIND("|", CONCATENATE(B455), FIND("|", CONCATENATE(B455)) + 1)))</f>
        <v>UND</v>
      </c>
      <c r="H45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0996-ME</v>
      </c>
      <c r="I455" s="40" t="s">
        <v>493</v>
      </c>
      <c r="J45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0.21290036609999999</v>
      </c>
      <c r="K455" t="s">
        <v>121</v>
      </c>
    </row>
    <row r="456" spans="1:11" x14ac:dyDescent="0.35">
      <c r="A456" t="s">
        <v>256</v>
      </c>
      <c r="B456" t="s">
        <v>291</v>
      </c>
      <c r="C456" t="s">
        <v>267</v>
      </c>
      <c r="D456">
        <v>0.2271004016</v>
      </c>
      <c r="E456" t="s">
        <v>205</v>
      </c>
      <c r="F456">
        <v>2023</v>
      </c>
      <c r="G456" t="str">
        <f>TRIM(RIGHT(Table156[[#This Row],[Item-Codigo]], LEN(Table156[[#This Row],[Item-Codigo]]) - FIND("|", CONCATENATE(B456), FIND("|", CONCATENATE(B456)) + 1)))</f>
        <v>UND</v>
      </c>
      <c r="H45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0988-ME</v>
      </c>
      <c r="I456" s="40" t="s">
        <v>489</v>
      </c>
      <c r="J45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0.2271004016</v>
      </c>
      <c r="K456" t="s">
        <v>119</v>
      </c>
    </row>
    <row r="457" spans="1:11" x14ac:dyDescent="0.35">
      <c r="A457" t="s">
        <v>256</v>
      </c>
      <c r="B457" t="s">
        <v>892</v>
      </c>
      <c r="C457" t="s">
        <v>267</v>
      </c>
      <c r="D457">
        <v>0.2270996093</v>
      </c>
      <c r="E457" t="s">
        <v>205</v>
      </c>
      <c r="F457">
        <v>2023</v>
      </c>
      <c r="G457" t="str">
        <f>TRIM(RIGHT(Table156[[#This Row],[Item-Codigo]], LEN(Table156[[#This Row],[Item-Codigo]]) - FIND("|", CONCATENATE(B457), FIND("|", CONCATENATE(B457)) + 1)))</f>
        <v>UND</v>
      </c>
      <c r="H45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0986-ME</v>
      </c>
      <c r="I457" s="40" t="s">
        <v>487</v>
      </c>
      <c r="J45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0.2270996093</v>
      </c>
      <c r="K457" t="s">
        <v>120</v>
      </c>
    </row>
    <row r="458" spans="1:11" x14ac:dyDescent="0.35">
      <c r="A458" t="s">
        <v>256</v>
      </c>
      <c r="B458" t="s">
        <v>295</v>
      </c>
      <c r="C458" t="s">
        <v>267</v>
      </c>
      <c r="D458">
        <v>0.22709995960000001</v>
      </c>
      <c r="E458" t="s">
        <v>205</v>
      </c>
      <c r="F458">
        <v>2023</v>
      </c>
      <c r="G458" t="str">
        <f>TRIM(RIGHT(Table156[[#This Row],[Item-Codigo]], LEN(Table156[[#This Row],[Item-Codigo]]) - FIND("|", CONCATENATE(B458), FIND("|", CONCATENATE(B458)) + 1)))</f>
        <v>UND</v>
      </c>
      <c r="H45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0984-ME</v>
      </c>
      <c r="I458" s="40" t="s">
        <v>485</v>
      </c>
      <c r="J45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0.22709995960000001</v>
      </c>
      <c r="K458" t="s">
        <v>123</v>
      </c>
    </row>
    <row r="459" spans="1:11" x14ac:dyDescent="0.35">
      <c r="A459" t="s">
        <v>256</v>
      </c>
      <c r="B459" t="s">
        <v>296</v>
      </c>
      <c r="C459" t="s">
        <v>263</v>
      </c>
      <c r="D459">
        <v>0.24778884943333301</v>
      </c>
      <c r="E459" t="s">
        <v>205</v>
      </c>
      <c r="F459">
        <v>2023</v>
      </c>
      <c r="G459" t="str">
        <f>TRIM(RIGHT(Table156[[#This Row],[Item-Codigo]], LEN(Table156[[#This Row],[Item-Codigo]]) - FIND("|", CONCATENATE(B459), FIND("|", CONCATENATE(B459)) + 1)))</f>
        <v>UND</v>
      </c>
      <c r="H45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1018-ME</v>
      </c>
      <c r="I459" s="40" t="s">
        <v>496</v>
      </c>
      <c r="J45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0.24778884943333301</v>
      </c>
      <c r="K459" t="s">
        <v>109</v>
      </c>
    </row>
    <row r="460" spans="1:11" x14ac:dyDescent="0.35">
      <c r="A460" t="s">
        <v>256</v>
      </c>
      <c r="B460" t="s">
        <v>297</v>
      </c>
      <c r="C460" t="s">
        <v>263</v>
      </c>
      <c r="D460">
        <v>0.24779911369999999</v>
      </c>
      <c r="E460" t="s">
        <v>205</v>
      </c>
      <c r="F460">
        <v>2023</v>
      </c>
      <c r="G460" t="str">
        <f>TRIM(RIGHT(Table156[[#This Row],[Item-Codigo]], LEN(Table156[[#This Row],[Item-Codigo]]) - FIND("|", CONCATENATE(B460), FIND("|", CONCATENATE(B460)) + 1)))</f>
        <v>UND</v>
      </c>
      <c r="H46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0982-ME</v>
      </c>
      <c r="I460" s="40" t="s">
        <v>483</v>
      </c>
      <c r="J46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0.24779911369999999</v>
      </c>
      <c r="K460" t="s">
        <v>114</v>
      </c>
    </row>
    <row r="461" spans="1:11" x14ac:dyDescent="0.35">
      <c r="A461" t="s">
        <v>256</v>
      </c>
      <c r="B461" t="s">
        <v>893</v>
      </c>
      <c r="C461" t="s">
        <v>263</v>
      </c>
      <c r="D461">
        <v>0.24780120480000001</v>
      </c>
      <c r="E461" t="s">
        <v>205</v>
      </c>
      <c r="F461">
        <v>2023</v>
      </c>
      <c r="G461" t="str">
        <f>TRIM(RIGHT(Table156[[#This Row],[Item-Codigo]], LEN(Table156[[#This Row],[Item-Codigo]]) - FIND("|", CONCATENATE(B461), FIND("|", CONCATENATE(B461)) + 1)))</f>
        <v>UND</v>
      </c>
      <c r="H46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0983-ME</v>
      </c>
      <c r="I461" s="40" t="s">
        <v>484</v>
      </c>
      <c r="J46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0.24780120480000001</v>
      </c>
      <c r="K461" t="s">
        <v>113</v>
      </c>
    </row>
    <row r="462" spans="1:11" x14ac:dyDescent="0.35">
      <c r="A462" t="s">
        <v>256</v>
      </c>
      <c r="B462" t="s">
        <v>298</v>
      </c>
      <c r="C462" t="s">
        <v>262</v>
      </c>
      <c r="D462">
        <v>0.25509983889999999</v>
      </c>
      <c r="E462" t="s">
        <v>205</v>
      </c>
      <c r="F462">
        <v>2023</v>
      </c>
      <c r="G462" t="str">
        <f>TRIM(RIGHT(Table156[[#This Row],[Item-Codigo]], LEN(Table156[[#This Row],[Item-Codigo]]) - FIND("|", CONCATENATE(B462), FIND("|", CONCATENATE(B462)) + 1)))</f>
        <v>UND</v>
      </c>
      <c r="H46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1019-ME</v>
      </c>
      <c r="I462" s="40" t="s">
        <v>497</v>
      </c>
      <c r="J46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0.25509983889999999</v>
      </c>
      <c r="K462" t="s">
        <v>111</v>
      </c>
    </row>
    <row r="463" spans="1:11" x14ac:dyDescent="0.35">
      <c r="A463" t="s">
        <v>256</v>
      </c>
      <c r="B463" t="s">
        <v>299</v>
      </c>
      <c r="C463" t="s">
        <v>267</v>
      </c>
      <c r="D463">
        <v>0.21509958069999999</v>
      </c>
      <c r="E463" t="s">
        <v>205</v>
      </c>
      <c r="F463">
        <v>2023</v>
      </c>
      <c r="G463" t="str">
        <f>TRIM(RIGHT(Table156[[#This Row],[Item-Codigo]], LEN(Table156[[#This Row],[Item-Codigo]]) - FIND("|", CONCATENATE(B463), FIND("|", CONCATENATE(B463)) + 1)))</f>
        <v>UND</v>
      </c>
      <c r="H46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0112-ME</v>
      </c>
      <c r="I463" s="40" t="s">
        <v>473</v>
      </c>
      <c r="J46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0.21509958069999999</v>
      </c>
      <c r="K463" t="s">
        <v>124</v>
      </c>
    </row>
    <row r="464" spans="1:11" x14ac:dyDescent="0.35">
      <c r="A464" t="s">
        <v>256</v>
      </c>
      <c r="B464" t="s">
        <v>301</v>
      </c>
      <c r="C464" t="s">
        <v>263</v>
      </c>
      <c r="D464">
        <v>0.26329949494999999</v>
      </c>
      <c r="E464" t="s">
        <v>205</v>
      </c>
      <c r="F464">
        <v>2023</v>
      </c>
      <c r="G464" t="str">
        <f>TRIM(RIGHT(Table156[[#This Row],[Item-Codigo]], LEN(Table156[[#This Row],[Item-Codigo]]) - FIND("|", CONCATENATE(B464), FIND("|", CONCATENATE(B464)) + 1)))</f>
        <v>UND</v>
      </c>
      <c r="H46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0171-ME</v>
      </c>
      <c r="I464" s="40" t="s">
        <v>476</v>
      </c>
      <c r="J46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0.26329949494999999</v>
      </c>
      <c r="K464" t="s">
        <v>107</v>
      </c>
    </row>
    <row r="465" spans="1:11" x14ac:dyDescent="0.35">
      <c r="A465" t="s">
        <v>256</v>
      </c>
      <c r="B465" t="s">
        <v>301</v>
      </c>
      <c r="C465" t="s">
        <v>267</v>
      </c>
      <c r="D465">
        <v>0.22600027149999999</v>
      </c>
      <c r="E465" t="s">
        <v>205</v>
      </c>
      <c r="F465">
        <v>2023</v>
      </c>
      <c r="G465" t="str">
        <f>TRIM(RIGHT(Table156[[#This Row],[Item-Codigo]], LEN(Table156[[#This Row],[Item-Codigo]]) - FIND("|", CONCATENATE(B465), FIND("|", CONCATENATE(B465)) + 1)))</f>
        <v>UND</v>
      </c>
      <c r="H46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0171-ME</v>
      </c>
      <c r="I465" s="40" t="s">
        <v>476</v>
      </c>
      <c r="J46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0.22600027149999999</v>
      </c>
      <c r="K465" t="s">
        <v>107</v>
      </c>
    </row>
    <row r="466" spans="1:11" x14ac:dyDescent="0.35">
      <c r="A466" t="s">
        <v>302</v>
      </c>
      <c r="B466" t="s">
        <v>899</v>
      </c>
      <c r="C466" t="s">
        <v>404</v>
      </c>
      <c r="D466">
        <v>1800</v>
      </c>
      <c r="E466" t="s">
        <v>205</v>
      </c>
      <c r="F466">
        <v>2023</v>
      </c>
      <c r="G466" t="str">
        <f>TRIM(RIGHT(Table156[[#This Row],[Item-Codigo]], LEN(Table156[[#This Row],[Item-Codigo]]) - FIND("|", CONCATENATE(B466), FIND("|", CONCATENATE(B466)) + 1)))</f>
        <v>TM</v>
      </c>
      <c r="H46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45.2</v>
      </c>
      <c r="I466" s="40" t="s">
        <v>936</v>
      </c>
      <c r="J46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1800</v>
      </c>
      <c r="K466" t="s">
        <v>131</v>
      </c>
    </row>
    <row r="467" spans="1:11" x14ac:dyDescent="0.35">
      <c r="A467" t="s">
        <v>305</v>
      </c>
      <c r="B467" t="s">
        <v>308</v>
      </c>
      <c r="C467" t="s">
        <v>319</v>
      </c>
      <c r="D467">
        <v>9.1999999999999993</v>
      </c>
      <c r="E467" t="s">
        <v>205</v>
      </c>
      <c r="F467">
        <v>2023</v>
      </c>
      <c r="G467" t="str">
        <f>TRIM(RIGHT(Table156[[#This Row],[Item-Codigo]], LEN(Table156[[#This Row],[Item-Codigo]]) - FIND("|", CONCATENATE(B467), FIND("|", CONCATENATE(B467)) + 1)))</f>
        <v>KG</v>
      </c>
      <c r="H46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1039</v>
      </c>
      <c r="I467" s="40">
        <v>1039</v>
      </c>
      <c r="J46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9200</v>
      </c>
      <c r="K467" t="s">
        <v>67</v>
      </c>
    </row>
    <row r="468" spans="1:11" x14ac:dyDescent="0.35">
      <c r="A468" t="s">
        <v>305</v>
      </c>
      <c r="B468" t="s">
        <v>312</v>
      </c>
      <c r="C468" t="s">
        <v>313</v>
      </c>
      <c r="D468">
        <v>8.35</v>
      </c>
      <c r="E468" t="s">
        <v>205</v>
      </c>
      <c r="F468">
        <v>2023</v>
      </c>
      <c r="G468" t="str">
        <f>TRIM(RIGHT(Table156[[#This Row],[Item-Codigo]], LEN(Table156[[#This Row],[Item-Codigo]]) - FIND("|", CONCATENATE(B468), FIND("|", CONCATENATE(B468)) + 1)))</f>
        <v>KG</v>
      </c>
      <c r="H46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317</v>
      </c>
      <c r="I468" s="40">
        <v>317</v>
      </c>
      <c r="J46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8350</v>
      </c>
      <c r="K468" t="s">
        <v>69</v>
      </c>
    </row>
    <row r="469" spans="1:11" x14ac:dyDescent="0.35">
      <c r="A469" t="s">
        <v>305</v>
      </c>
      <c r="B469" t="s">
        <v>320</v>
      </c>
      <c r="C469" t="s">
        <v>321</v>
      </c>
      <c r="D469">
        <v>8.75</v>
      </c>
      <c r="E469" t="s">
        <v>205</v>
      </c>
      <c r="F469">
        <v>2023</v>
      </c>
      <c r="G469" t="str">
        <f>TRIM(RIGHT(Table156[[#This Row],[Item-Codigo]], LEN(Table156[[#This Row],[Item-Codigo]]) - FIND("|", CONCATENATE(B469), FIND("|", CONCATENATE(B469)) + 1)))</f>
        <v>KG</v>
      </c>
      <c r="H46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1009</v>
      </c>
      <c r="I469" s="40">
        <v>1009</v>
      </c>
      <c r="J46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8750</v>
      </c>
      <c r="K469" t="s">
        <v>73</v>
      </c>
    </row>
    <row r="470" spans="1:11" x14ac:dyDescent="0.35">
      <c r="A470" t="s">
        <v>305</v>
      </c>
      <c r="B470" t="s">
        <v>325</v>
      </c>
      <c r="C470" t="s">
        <v>319</v>
      </c>
      <c r="D470">
        <v>5.6</v>
      </c>
      <c r="E470" t="s">
        <v>205</v>
      </c>
      <c r="F470">
        <v>2023</v>
      </c>
      <c r="G470" t="str">
        <f>TRIM(RIGHT(Table156[[#This Row],[Item-Codigo]], LEN(Table156[[#This Row],[Item-Codigo]]) - FIND("|", CONCATENATE(B470), FIND("|", CONCATENATE(B470)) + 1)))</f>
        <v>KG</v>
      </c>
      <c r="H47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1045</v>
      </c>
      <c r="I470" s="40">
        <v>1045</v>
      </c>
      <c r="J47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470" t="s">
        <v>76</v>
      </c>
    </row>
    <row r="471" spans="1:11" x14ac:dyDescent="0.35">
      <c r="A471" t="s">
        <v>305</v>
      </c>
      <c r="B471" t="s">
        <v>326</v>
      </c>
      <c r="C471" t="s">
        <v>327</v>
      </c>
      <c r="D471">
        <v>6.6</v>
      </c>
      <c r="E471" t="s">
        <v>205</v>
      </c>
      <c r="F471">
        <v>2023</v>
      </c>
      <c r="G471" t="str">
        <f>TRIM(RIGHT(Table156[[#This Row],[Item-Codigo]], LEN(Table156[[#This Row],[Item-Codigo]]) - FIND("|", CONCATENATE(B471), FIND("|", CONCATENATE(B471)) + 1)))</f>
        <v>KG</v>
      </c>
      <c r="H47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470.5</v>
      </c>
      <c r="I471" s="40" t="s">
        <v>536</v>
      </c>
      <c r="J47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6600</v>
      </c>
      <c r="K471" t="s">
        <v>77</v>
      </c>
    </row>
    <row r="472" spans="1:11" x14ac:dyDescent="0.35">
      <c r="A472" t="s">
        <v>305</v>
      </c>
      <c r="B472" t="s">
        <v>330</v>
      </c>
      <c r="C472" t="s">
        <v>331</v>
      </c>
      <c r="D472">
        <v>1.5</v>
      </c>
      <c r="E472" t="s">
        <v>205</v>
      </c>
      <c r="F472">
        <v>2023</v>
      </c>
      <c r="G472" t="str">
        <f>TRIM(RIGHT(Table156[[#This Row],[Item-Codigo]], LEN(Table156[[#This Row],[Item-Codigo]]) - FIND("|", CONCATENATE(B472), FIND("|", CONCATENATE(B472)) + 1)))</f>
        <v>KG</v>
      </c>
      <c r="H47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744</v>
      </c>
      <c r="I472" s="40">
        <v>744</v>
      </c>
      <c r="J47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1500</v>
      </c>
      <c r="K472" t="s">
        <v>80</v>
      </c>
    </row>
    <row r="473" spans="1:11" x14ac:dyDescent="0.35">
      <c r="A473" t="s">
        <v>305</v>
      </c>
      <c r="B473" t="s">
        <v>335</v>
      </c>
      <c r="C473" t="s">
        <v>309</v>
      </c>
      <c r="D473">
        <v>1.8</v>
      </c>
      <c r="E473" t="s">
        <v>205</v>
      </c>
      <c r="F473">
        <v>2023</v>
      </c>
      <c r="G473" t="str">
        <f>TRIM(RIGHT(Table156[[#This Row],[Item-Codigo]], LEN(Table156[[#This Row],[Item-Codigo]]) - FIND("|", CONCATENATE(B473), FIND("|", CONCATENATE(B473)) + 1)))</f>
        <v>KG</v>
      </c>
      <c r="H47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131.3</v>
      </c>
      <c r="I473" s="40" t="s">
        <v>523</v>
      </c>
      <c r="J47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1800</v>
      </c>
      <c r="K473" t="s">
        <v>83</v>
      </c>
    </row>
    <row r="474" spans="1:11" x14ac:dyDescent="0.35">
      <c r="A474" t="s">
        <v>305</v>
      </c>
      <c r="B474" t="s">
        <v>337</v>
      </c>
      <c r="C474" t="s">
        <v>307</v>
      </c>
      <c r="D474">
        <v>13.5</v>
      </c>
      <c r="E474" t="s">
        <v>205</v>
      </c>
      <c r="F474">
        <v>2023</v>
      </c>
      <c r="G474" t="str">
        <f>TRIM(RIGHT(Table156[[#This Row],[Item-Codigo]], LEN(Table156[[#This Row],[Item-Codigo]]) - FIND("|", CONCATENATE(B474), FIND("|", CONCATENATE(B474)) + 1)))</f>
        <v>KG</v>
      </c>
      <c r="H47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936</v>
      </c>
      <c r="I474" s="40">
        <v>936</v>
      </c>
      <c r="J47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13500</v>
      </c>
      <c r="K474" t="s">
        <v>85</v>
      </c>
    </row>
    <row r="475" spans="1:11" x14ac:dyDescent="0.35">
      <c r="A475" t="s">
        <v>305</v>
      </c>
      <c r="B475" t="s">
        <v>338</v>
      </c>
      <c r="C475" t="s">
        <v>307</v>
      </c>
      <c r="D475">
        <v>11</v>
      </c>
      <c r="E475" t="s">
        <v>205</v>
      </c>
      <c r="F475">
        <v>2023</v>
      </c>
      <c r="G475" t="str">
        <f>TRIM(RIGHT(Table156[[#This Row],[Item-Codigo]], LEN(Table156[[#This Row],[Item-Codigo]]) - FIND("|", CONCATENATE(B475), FIND("|", CONCATENATE(B475)) + 1)))</f>
        <v>KG</v>
      </c>
      <c r="H47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937</v>
      </c>
      <c r="I475" s="40">
        <v>937</v>
      </c>
      <c r="J47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11000</v>
      </c>
      <c r="K475" t="s">
        <v>86</v>
      </c>
    </row>
    <row r="476" spans="1:11" x14ac:dyDescent="0.35">
      <c r="A476" t="s">
        <v>305</v>
      </c>
      <c r="B476" t="s">
        <v>340</v>
      </c>
      <c r="C476" t="s">
        <v>327</v>
      </c>
      <c r="D476">
        <v>11.25</v>
      </c>
      <c r="E476" t="s">
        <v>205</v>
      </c>
      <c r="F476">
        <v>2023</v>
      </c>
      <c r="G476" t="str">
        <f>TRIM(RIGHT(Table156[[#This Row],[Item-Codigo]], LEN(Table156[[#This Row],[Item-Codigo]]) - FIND("|", CONCATENATE(B476), FIND("|", CONCATENATE(B476)) + 1)))</f>
        <v>KG</v>
      </c>
      <c r="H47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877</v>
      </c>
      <c r="I476" s="40">
        <v>877</v>
      </c>
      <c r="J47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11250</v>
      </c>
      <c r="K476" t="s">
        <v>1074</v>
      </c>
    </row>
    <row r="477" spans="1:11" x14ac:dyDescent="0.35">
      <c r="A477" t="s">
        <v>305</v>
      </c>
      <c r="B477" t="s">
        <v>343</v>
      </c>
      <c r="C477" t="s">
        <v>906</v>
      </c>
      <c r="D477">
        <v>710</v>
      </c>
      <c r="E477" t="s">
        <v>205</v>
      </c>
      <c r="F477">
        <v>2023</v>
      </c>
      <c r="G477" t="str">
        <f>TRIM(RIGHT(Table156[[#This Row],[Item-Codigo]], LEN(Table156[[#This Row],[Item-Codigo]]) - FIND("|", CONCATENATE(B477), FIND("|", CONCATENATE(B477)) + 1)))</f>
        <v>TM</v>
      </c>
      <c r="H47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719</v>
      </c>
      <c r="I477" s="40">
        <v>719</v>
      </c>
      <c r="J47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710</v>
      </c>
      <c r="K477" t="s">
        <v>1077</v>
      </c>
    </row>
    <row r="478" spans="1:11" x14ac:dyDescent="0.35">
      <c r="A478" t="s">
        <v>305</v>
      </c>
      <c r="B478" t="s">
        <v>347</v>
      </c>
      <c r="C478" t="s">
        <v>348</v>
      </c>
      <c r="D478">
        <v>19</v>
      </c>
      <c r="E478" t="s">
        <v>205</v>
      </c>
      <c r="F478">
        <v>2023</v>
      </c>
      <c r="G478" t="str">
        <f>TRIM(RIGHT(Table156[[#This Row],[Item-Codigo]], LEN(Table156[[#This Row],[Item-Codigo]]) - FIND("|", CONCATENATE(B478), FIND("|", CONCATENATE(B478)) + 1)))</f>
        <v>KG</v>
      </c>
      <c r="H47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550</v>
      </c>
      <c r="I478" s="40">
        <v>550</v>
      </c>
      <c r="J47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19000</v>
      </c>
      <c r="K478" t="s">
        <v>92</v>
      </c>
    </row>
    <row r="479" spans="1:11" x14ac:dyDescent="0.35">
      <c r="A479" t="s">
        <v>305</v>
      </c>
      <c r="B479" t="s">
        <v>350</v>
      </c>
      <c r="C479" t="s">
        <v>351</v>
      </c>
      <c r="D479">
        <v>2.15</v>
      </c>
      <c r="E479" t="s">
        <v>205</v>
      </c>
      <c r="F479">
        <v>2023</v>
      </c>
      <c r="G479" t="str">
        <f>TRIM(RIGHT(Table156[[#This Row],[Item-Codigo]], LEN(Table156[[#This Row],[Item-Codigo]]) - FIND("|", CONCATENATE(B479), FIND("|", CONCATENATE(B479)) + 1)))</f>
        <v>KG</v>
      </c>
      <c r="H47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173</v>
      </c>
      <c r="I479" s="40">
        <v>173</v>
      </c>
      <c r="J47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2150</v>
      </c>
      <c r="K479" t="s">
        <v>138</v>
      </c>
    </row>
    <row r="480" spans="1:11" x14ac:dyDescent="0.35">
      <c r="A480" t="s">
        <v>305</v>
      </c>
      <c r="B480" t="s">
        <v>352</v>
      </c>
      <c r="C480" t="s">
        <v>353</v>
      </c>
      <c r="D480">
        <v>9.35</v>
      </c>
      <c r="E480" t="s">
        <v>205</v>
      </c>
      <c r="F480">
        <v>2023</v>
      </c>
      <c r="G480" t="str">
        <f>TRIM(RIGHT(Table156[[#This Row],[Item-Codigo]], LEN(Table156[[#This Row],[Item-Codigo]]) - FIND("|", CONCATENATE(B480), FIND("|", CONCATENATE(B480)) + 1)))</f>
        <v>KG</v>
      </c>
      <c r="H48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742</v>
      </c>
      <c r="I480" s="40">
        <v>742</v>
      </c>
      <c r="J48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9350</v>
      </c>
      <c r="K480" t="s">
        <v>147</v>
      </c>
    </row>
    <row r="481" spans="1:11" x14ac:dyDescent="0.35">
      <c r="A481" t="s">
        <v>305</v>
      </c>
      <c r="B481" t="s">
        <v>354</v>
      </c>
      <c r="C481" t="s">
        <v>353</v>
      </c>
      <c r="D481">
        <v>9.24</v>
      </c>
      <c r="E481" t="s">
        <v>205</v>
      </c>
      <c r="F481">
        <v>2023</v>
      </c>
      <c r="G481" t="str">
        <f>TRIM(RIGHT(Table156[[#This Row],[Item-Codigo]], LEN(Table156[[#This Row],[Item-Codigo]]) - FIND("|", CONCATENATE(B481), FIND("|", CONCATENATE(B481)) + 1)))</f>
        <v>KG</v>
      </c>
      <c r="H48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741</v>
      </c>
      <c r="I481" s="40">
        <v>741</v>
      </c>
      <c r="J48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9240</v>
      </c>
      <c r="K481" t="s">
        <v>146</v>
      </c>
    </row>
    <row r="482" spans="1:11" x14ac:dyDescent="0.35">
      <c r="A482" t="s">
        <v>305</v>
      </c>
      <c r="B482" t="s">
        <v>355</v>
      </c>
      <c r="C482" t="s">
        <v>353</v>
      </c>
      <c r="D482">
        <v>8.85</v>
      </c>
      <c r="E482" t="s">
        <v>205</v>
      </c>
      <c r="F482">
        <v>2023</v>
      </c>
      <c r="G482" t="str">
        <f>TRIM(RIGHT(Table156[[#This Row],[Item-Codigo]], LEN(Table156[[#This Row],[Item-Codigo]]) - FIND("|", CONCATENATE(B482), FIND("|", CONCATENATE(B482)) + 1)))</f>
        <v>KG</v>
      </c>
      <c r="H48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740</v>
      </c>
      <c r="I482" s="40">
        <v>740</v>
      </c>
      <c r="J48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8850</v>
      </c>
      <c r="K482" t="s">
        <v>143</v>
      </c>
    </row>
    <row r="483" spans="1:11" x14ac:dyDescent="0.35">
      <c r="A483" t="s">
        <v>305</v>
      </c>
      <c r="B483" t="s">
        <v>360</v>
      </c>
      <c r="C483" t="s">
        <v>910</v>
      </c>
      <c r="D483">
        <v>1387.4780316343999</v>
      </c>
      <c r="E483" t="s">
        <v>205</v>
      </c>
      <c r="F483">
        <v>2023</v>
      </c>
      <c r="G483" t="str">
        <f>TRIM(RIGHT(Table156[[#This Row],[Item-Codigo]], LEN(Table156[[#This Row],[Item-Codigo]]) - FIND("|", CONCATENATE(B483), FIND("|", CONCATENATE(B483)) + 1)))</f>
        <v>TM</v>
      </c>
      <c r="H48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</v>
      </c>
      <c r="I483" s="40">
        <v>45</v>
      </c>
      <c r="J48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1387.4780316343999</v>
      </c>
      <c r="K483" t="s">
        <v>131</v>
      </c>
    </row>
    <row r="484" spans="1:11" x14ac:dyDescent="0.35">
      <c r="A484" t="s">
        <v>305</v>
      </c>
      <c r="B484" t="s">
        <v>362</v>
      </c>
      <c r="C484" t="s">
        <v>363</v>
      </c>
      <c r="D484">
        <v>1.3148</v>
      </c>
      <c r="E484" t="s">
        <v>205</v>
      </c>
      <c r="F484">
        <v>2023</v>
      </c>
      <c r="G484" t="str">
        <f>TRIM(RIGHT(Table156[[#This Row],[Item-Codigo]], LEN(Table156[[#This Row],[Item-Codigo]]) - FIND("|", CONCATENATE(B484), FIND("|", CONCATENATE(B484)) + 1)))</f>
        <v>KG</v>
      </c>
      <c r="H48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439</v>
      </c>
      <c r="I484" s="40">
        <v>439</v>
      </c>
      <c r="J48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1314.8</v>
      </c>
      <c r="K484" t="s">
        <v>137</v>
      </c>
    </row>
    <row r="485" spans="1:11" x14ac:dyDescent="0.35">
      <c r="A485" t="s">
        <v>305</v>
      </c>
      <c r="B485" t="s">
        <v>367</v>
      </c>
      <c r="C485" t="s">
        <v>321</v>
      </c>
      <c r="D485">
        <v>2.15</v>
      </c>
      <c r="E485" t="s">
        <v>205</v>
      </c>
      <c r="F485">
        <v>2023</v>
      </c>
      <c r="G485" t="str">
        <f>TRIM(RIGHT(Table156[[#This Row],[Item-Codigo]], LEN(Table156[[#This Row],[Item-Codigo]]) - FIND("|", CONCATENATE(B485), FIND("|", CONCATENATE(B485)) + 1)))</f>
        <v>KG</v>
      </c>
      <c r="H48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910</v>
      </c>
      <c r="I485" s="40">
        <v>910</v>
      </c>
      <c r="J48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2150</v>
      </c>
      <c r="K485" t="s">
        <v>136</v>
      </c>
    </row>
    <row r="486" spans="1:11" x14ac:dyDescent="0.35">
      <c r="A486" t="s">
        <v>305</v>
      </c>
      <c r="B486" t="s">
        <v>368</v>
      </c>
      <c r="C486" t="s">
        <v>348</v>
      </c>
      <c r="D486">
        <v>4.5</v>
      </c>
      <c r="E486" t="s">
        <v>205</v>
      </c>
      <c r="F486">
        <v>2023</v>
      </c>
      <c r="G486" t="str">
        <f>TRIM(RIGHT(Table156[[#This Row],[Item-Codigo]], LEN(Table156[[#This Row],[Item-Codigo]]) - FIND("|", CONCATENATE(B486), FIND("|", CONCATENATE(B486)) + 1)))</f>
        <v>KG</v>
      </c>
      <c r="H48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381</v>
      </c>
      <c r="I486" s="40">
        <v>381</v>
      </c>
      <c r="J48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4500</v>
      </c>
      <c r="K486" t="s">
        <v>74</v>
      </c>
    </row>
    <row r="487" spans="1:11" x14ac:dyDescent="0.35">
      <c r="A487" t="s">
        <v>305</v>
      </c>
      <c r="B487" t="s">
        <v>372</v>
      </c>
      <c r="C487" t="s">
        <v>373</v>
      </c>
      <c r="D487">
        <v>1.2</v>
      </c>
      <c r="E487" t="s">
        <v>205</v>
      </c>
      <c r="F487">
        <v>2023</v>
      </c>
      <c r="G487" t="str">
        <f>TRIM(RIGHT(Table156[[#This Row],[Item-Codigo]], LEN(Table156[[#This Row],[Item-Codigo]]) - FIND("|", CONCATENATE(B487), FIND("|", CONCATENATE(B487)) + 1)))</f>
        <v>KG</v>
      </c>
      <c r="H48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701.2</v>
      </c>
      <c r="I487" s="40" t="s">
        <v>553</v>
      </c>
      <c r="J48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1200</v>
      </c>
      <c r="K487" t="s">
        <v>140</v>
      </c>
    </row>
    <row r="488" spans="1:11" x14ac:dyDescent="0.35">
      <c r="A488" t="s">
        <v>305</v>
      </c>
      <c r="B488" t="s">
        <v>374</v>
      </c>
      <c r="C488" t="s">
        <v>317</v>
      </c>
      <c r="D488">
        <v>15.9</v>
      </c>
      <c r="E488" t="s">
        <v>205</v>
      </c>
      <c r="F488">
        <v>2023</v>
      </c>
      <c r="G488" t="str">
        <f>TRIM(RIGHT(Table156[[#This Row],[Item-Codigo]], LEN(Table156[[#This Row],[Item-Codigo]]) - FIND("|", CONCATENATE(B488), FIND("|", CONCATENATE(B488)) + 1)))</f>
        <v>KG</v>
      </c>
      <c r="H48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1051</v>
      </c>
      <c r="I488" s="40">
        <v>1051</v>
      </c>
      <c r="J48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15900</v>
      </c>
      <c r="K488" t="s">
        <v>173</v>
      </c>
    </row>
    <row r="489" spans="1:11" x14ac:dyDescent="0.35">
      <c r="A489" t="s">
        <v>305</v>
      </c>
      <c r="B489" t="s">
        <v>375</v>
      </c>
      <c r="C489" t="s">
        <v>317</v>
      </c>
      <c r="D489">
        <v>6</v>
      </c>
      <c r="E489" t="s">
        <v>205</v>
      </c>
      <c r="F489">
        <v>2023</v>
      </c>
      <c r="G489" t="str">
        <f>TRIM(RIGHT(Table156[[#This Row],[Item-Codigo]], LEN(Table156[[#This Row],[Item-Codigo]]) - FIND("|", CONCATENATE(B489), FIND("|", CONCATENATE(B489)) + 1)))</f>
        <v>KG</v>
      </c>
      <c r="H48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945</v>
      </c>
      <c r="I489" s="40">
        <v>945</v>
      </c>
      <c r="J48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489" t="s">
        <v>148</v>
      </c>
    </row>
    <row r="490" spans="1:11" x14ac:dyDescent="0.35">
      <c r="A490" t="s">
        <v>305</v>
      </c>
      <c r="B490" t="s">
        <v>380</v>
      </c>
      <c r="C490" t="s">
        <v>381</v>
      </c>
      <c r="D490">
        <v>4.3</v>
      </c>
      <c r="E490" t="s">
        <v>205</v>
      </c>
      <c r="F490">
        <v>2023</v>
      </c>
      <c r="G490" t="str">
        <f>TRIM(RIGHT(Table156[[#This Row],[Item-Codigo]], LEN(Table156[[#This Row],[Item-Codigo]]) - FIND("|", CONCATENATE(B490), FIND("|", CONCATENATE(B490)) + 1)))</f>
        <v>KG</v>
      </c>
      <c r="H49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706</v>
      </c>
      <c r="I490" s="40">
        <v>706</v>
      </c>
      <c r="J49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4300</v>
      </c>
      <c r="K490" t="s">
        <v>156</v>
      </c>
    </row>
    <row r="491" spans="1:11" x14ac:dyDescent="0.35">
      <c r="A491" t="s">
        <v>305</v>
      </c>
      <c r="B491" t="s">
        <v>383</v>
      </c>
      <c r="C491" t="s">
        <v>317</v>
      </c>
      <c r="D491">
        <v>7.8</v>
      </c>
      <c r="E491" t="s">
        <v>205</v>
      </c>
      <c r="F491">
        <v>2023</v>
      </c>
      <c r="G491" t="str">
        <f>TRIM(RIGHT(Table156[[#This Row],[Item-Codigo]], LEN(Table156[[#This Row],[Item-Codigo]]) - FIND("|", CONCATENATE(B491), FIND("|", CONCATENATE(B491)) + 1)))</f>
        <v>KG</v>
      </c>
      <c r="H49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1059</v>
      </c>
      <c r="I491" s="40">
        <v>1059</v>
      </c>
      <c r="J49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7800</v>
      </c>
      <c r="K491" t="s">
        <v>151</v>
      </c>
    </row>
    <row r="492" spans="1:11" x14ac:dyDescent="0.35">
      <c r="A492" t="s">
        <v>305</v>
      </c>
      <c r="B492" t="s">
        <v>388</v>
      </c>
      <c r="C492" t="s">
        <v>321</v>
      </c>
      <c r="D492">
        <v>7.4</v>
      </c>
      <c r="E492" t="s">
        <v>205</v>
      </c>
      <c r="F492">
        <v>2023</v>
      </c>
      <c r="G492" t="str">
        <f>TRIM(RIGHT(Table156[[#This Row],[Item-Codigo]], LEN(Table156[[#This Row],[Item-Codigo]]) - FIND("|", CONCATENATE(B492), FIND("|", CONCATENATE(B492)) + 1)))</f>
        <v>KG</v>
      </c>
      <c r="H49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1068</v>
      </c>
      <c r="I492" s="40">
        <v>1068</v>
      </c>
      <c r="J49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7400</v>
      </c>
      <c r="K492" t="s">
        <v>145</v>
      </c>
    </row>
    <row r="493" spans="1:11" x14ac:dyDescent="0.35">
      <c r="A493" t="s">
        <v>305</v>
      </c>
      <c r="B493" t="s">
        <v>389</v>
      </c>
      <c r="C493" t="s">
        <v>390</v>
      </c>
      <c r="D493">
        <v>1.05</v>
      </c>
      <c r="E493" t="s">
        <v>205</v>
      </c>
      <c r="F493">
        <v>2023</v>
      </c>
      <c r="G493" t="str">
        <f>TRIM(RIGHT(Table156[[#This Row],[Item-Codigo]], LEN(Table156[[#This Row],[Item-Codigo]]) - FIND("|", CONCATENATE(B493), FIND("|", CONCATENATE(B493)) + 1)))</f>
        <v>KG</v>
      </c>
      <c r="H49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806</v>
      </c>
      <c r="I493" s="40">
        <v>806</v>
      </c>
      <c r="J49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1050</v>
      </c>
      <c r="K493" t="s">
        <v>134</v>
      </c>
    </row>
    <row r="494" spans="1:11" x14ac:dyDescent="0.35">
      <c r="A494" t="s">
        <v>305</v>
      </c>
      <c r="B494" t="s">
        <v>391</v>
      </c>
      <c r="C494" t="s">
        <v>390</v>
      </c>
      <c r="D494">
        <v>2</v>
      </c>
      <c r="E494" t="s">
        <v>205</v>
      </c>
      <c r="F494">
        <v>2023</v>
      </c>
      <c r="G494" t="str">
        <f>TRIM(RIGHT(Table156[[#This Row],[Item-Codigo]], LEN(Table156[[#This Row],[Item-Codigo]]) - FIND("|", CONCATENATE(B494), FIND("|", CONCATENATE(B494)) + 1)))</f>
        <v>KG</v>
      </c>
      <c r="H49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810</v>
      </c>
      <c r="I494" s="40">
        <v>810</v>
      </c>
      <c r="J49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2000</v>
      </c>
      <c r="K494" t="s">
        <v>144</v>
      </c>
    </row>
    <row r="495" spans="1:11" x14ac:dyDescent="0.35">
      <c r="A495" t="s">
        <v>305</v>
      </c>
      <c r="B495" t="s">
        <v>918</v>
      </c>
      <c r="C495" t="s">
        <v>345</v>
      </c>
      <c r="D495">
        <v>6.45</v>
      </c>
      <c r="E495" t="s">
        <v>205</v>
      </c>
      <c r="F495">
        <v>2023</v>
      </c>
      <c r="G495" t="str">
        <f>TRIM(RIGHT(Table156[[#This Row],[Item-Codigo]], LEN(Table156[[#This Row],[Item-Codigo]]) - FIND("|", CONCATENATE(B495), FIND("|", CONCATENATE(B495)) + 1)))</f>
        <v>KG</v>
      </c>
      <c r="H49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549</v>
      </c>
      <c r="I495" s="40">
        <v>549</v>
      </c>
      <c r="J49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6450</v>
      </c>
      <c r="K495" t="s">
        <v>1232</v>
      </c>
    </row>
    <row r="496" spans="1:11" x14ac:dyDescent="0.35">
      <c r="A496" t="s">
        <v>305</v>
      </c>
      <c r="B496" t="s">
        <v>392</v>
      </c>
      <c r="C496" t="s">
        <v>393</v>
      </c>
      <c r="D496">
        <v>2.8</v>
      </c>
      <c r="E496" t="s">
        <v>205</v>
      </c>
      <c r="F496">
        <v>2023</v>
      </c>
      <c r="G496" t="str">
        <f>TRIM(RIGHT(Table156[[#This Row],[Item-Codigo]], LEN(Table156[[#This Row],[Item-Codigo]]) - FIND("|", CONCATENATE(B496), FIND("|", CONCATENATE(B496)) + 1)))</f>
        <v>KG</v>
      </c>
      <c r="H49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170</v>
      </c>
      <c r="I496" s="40">
        <v>170</v>
      </c>
      <c r="J49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2800</v>
      </c>
      <c r="K496" t="s">
        <v>174</v>
      </c>
    </row>
    <row r="497" spans="1:11" x14ac:dyDescent="0.35">
      <c r="A497" t="s">
        <v>305</v>
      </c>
      <c r="B497" t="s">
        <v>394</v>
      </c>
      <c r="C497" t="s">
        <v>395</v>
      </c>
      <c r="D497">
        <v>19.75</v>
      </c>
      <c r="E497" t="s">
        <v>205</v>
      </c>
      <c r="F497">
        <v>2023</v>
      </c>
      <c r="G497" t="str">
        <f>TRIM(RIGHT(Table156[[#This Row],[Item-Codigo]], LEN(Table156[[#This Row],[Item-Codigo]]) - FIND("|", CONCATENATE(B497), FIND("|", CONCATENATE(B497)) + 1)))</f>
        <v>KG</v>
      </c>
      <c r="H49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</v>
      </c>
      <c r="I497" s="40">
        <v>70</v>
      </c>
      <c r="J49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19750</v>
      </c>
      <c r="K497" t="s">
        <v>159</v>
      </c>
    </row>
    <row r="498" spans="1:11" x14ac:dyDescent="0.35">
      <c r="A498" t="s">
        <v>305</v>
      </c>
      <c r="B498" t="s">
        <v>396</v>
      </c>
      <c r="C498" t="s">
        <v>345</v>
      </c>
      <c r="D498">
        <v>13.4</v>
      </c>
      <c r="E498" t="s">
        <v>205</v>
      </c>
      <c r="F498">
        <v>2023</v>
      </c>
      <c r="G498" t="str">
        <f>TRIM(RIGHT(Table156[[#This Row],[Item-Codigo]], LEN(Table156[[#This Row],[Item-Codigo]]) - FIND("|", CONCATENATE(B498), FIND("|", CONCATENATE(B498)) + 1)))</f>
        <v>KG</v>
      </c>
      <c r="H49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58</v>
      </c>
      <c r="I498" s="40">
        <v>58</v>
      </c>
      <c r="J49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13400</v>
      </c>
      <c r="K498" t="s">
        <v>172</v>
      </c>
    </row>
    <row r="499" spans="1:11" x14ac:dyDescent="0.35">
      <c r="A499" t="s">
        <v>305</v>
      </c>
      <c r="B499" t="s">
        <v>919</v>
      </c>
      <c r="C499" t="s">
        <v>920</v>
      </c>
      <c r="D499">
        <v>3.9246544916000001</v>
      </c>
      <c r="E499" t="s">
        <v>205</v>
      </c>
      <c r="F499">
        <v>2023</v>
      </c>
      <c r="G499" t="str">
        <f>TRIM(RIGHT(Table156[[#This Row],[Item-Codigo]], LEN(Table156[[#This Row],[Item-Codigo]]) - FIND("|", CONCATENATE(B499), FIND("|", CONCATENATE(B499)) + 1)))</f>
        <v>S 25KG</v>
      </c>
      <c r="H49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704</v>
      </c>
      <c r="I499" s="40">
        <v>704</v>
      </c>
      <c r="J49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3924.6544916000003</v>
      </c>
      <c r="K499" t="s">
        <v>132</v>
      </c>
    </row>
    <row r="500" spans="1:11" x14ac:dyDescent="0.35">
      <c r="A500" t="s">
        <v>305</v>
      </c>
      <c r="B500" t="s">
        <v>923</v>
      </c>
      <c r="C500" t="s">
        <v>924</v>
      </c>
      <c r="D500">
        <v>15.88</v>
      </c>
      <c r="E500" t="s">
        <v>205</v>
      </c>
      <c r="F500">
        <v>2023</v>
      </c>
      <c r="G500" t="str">
        <f>TRIM(RIGHT(Table156[[#This Row],[Item-Codigo]], LEN(Table156[[#This Row],[Item-Codigo]]) - FIND("|", CONCATENATE(B500), FIND("|", CONCATENATE(B500)) + 1)))</f>
        <v>KG</v>
      </c>
      <c r="H50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601</v>
      </c>
      <c r="I500" s="40">
        <v>601</v>
      </c>
      <c r="J50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15880</v>
      </c>
      <c r="K500" t="s">
        <v>167</v>
      </c>
    </row>
    <row r="501" spans="1:11" x14ac:dyDescent="0.35">
      <c r="A501" t="s">
        <v>305</v>
      </c>
      <c r="B501" t="s">
        <v>402</v>
      </c>
      <c r="C501" t="s">
        <v>404</v>
      </c>
      <c r="D501">
        <v>3.3</v>
      </c>
      <c r="E501" t="s">
        <v>205</v>
      </c>
      <c r="F501">
        <v>2023</v>
      </c>
      <c r="G501" t="str">
        <f>TRIM(RIGHT(Table156[[#This Row],[Item-Codigo]], LEN(Table156[[#This Row],[Item-Codigo]]) - FIND("|", CONCATENATE(B501), FIND("|", CONCATENATE(B501)) + 1)))</f>
        <v>KG</v>
      </c>
      <c r="H50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716</v>
      </c>
      <c r="I501" s="40">
        <v>716</v>
      </c>
      <c r="J50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3300</v>
      </c>
      <c r="K501" t="s">
        <v>162</v>
      </c>
    </row>
    <row r="502" spans="1:11" x14ac:dyDescent="0.35">
      <c r="A502" t="s">
        <v>305</v>
      </c>
      <c r="B502" t="s">
        <v>402</v>
      </c>
      <c r="C502" t="s">
        <v>381</v>
      </c>
      <c r="D502">
        <v>3.4</v>
      </c>
      <c r="E502" t="s">
        <v>205</v>
      </c>
      <c r="F502">
        <v>2023</v>
      </c>
      <c r="G502" t="str">
        <f>TRIM(RIGHT(Table156[[#This Row],[Item-Codigo]], LEN(Table156[[#This Row],[Item-Codigo]]) - FIND("|", CONCATENATE(B502), FIND("|", CONCATENATE(B502)) + 1)))</f>
        <v>KG</v>
      </c>
      <c r="H50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716</v>
      </c>
      <c r="I502" s="40">
        <v>716</v>
      </c>
      <c r="J50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3400</v>
      </c>
      <c r="K502" t="s">
        <v>162</v>
      </c>
    </row>
    <row r="503" spans="1:11" x14ac:dyDescent="0.35">
      <c r="A503" t="s">
        <v>305</v>
      </c>
      <c r="B503" t="s">
        <v>926</v>
      </c>
      <c r="C503" t="s">
        <v>927</v>
      </c>
      <c r="D503">
        <v>29.5124</v>
      </c>
      <c r="E503" t="s">
        <v>205</v>
      </c>
      <c r="F503">
        <v>2023</v>
      </c>
      <c r="G503" t="str">
        <f>TRIM(RIGHT(Table156[[#This Row],[Item-Codigo]], LEN(Table156[[#This Row],[Item-Codigo]]) - FIND("|", CONCATENATE(B503), FIND("|", CONCATENATE(B503)) + 1)))</f>
        <v>KG</v>
      </c>
      <c r="H50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951</v>
      </c>
      <c r="I503" s="40">
        <v>951</v>
      </c>
      <c r="J50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29512.399999999998</v>
      </c>
      <c r="K503" t="s">
        <v>459</v>
      </c>
    </row>
    <row r="504" spans="1:11" x14ac:dyDescent="0.35">
      <c r="A504" t="s">
        <v>305</v>
      </c>
      <c r="B504" t="s">
        <v>407</v>
      </c>
      <c r="C504" t="s">
        <v>390</v>
      </c>
      <c r="D504">
        <v>1.18</v>
      </c>
      <c r="E504" t="s">
        <v>205</v>
      </c>
      <c r="F504">
        <v>2023</v>
      </c>
      <c r="G504" t="str">
        <f>TRIM(RIGHT(Table156[[#This Row],[Item-Codigo]], LEN(Table156[[#This Row],[Item-Codigo]]) - FIND("|", CONCATENATE(B504), FIND("|", CONCATENATE(B504)) + 1)))</f>
        <v>KG</v>
      </c>
      <c r="H50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46.5</v>
      </c>
      <c r="I504" s="40" t="s">
        <v>535</v>
      </c>
      <c r="J50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1180</v>
      </c>
      <c r="K504" t="s">
        <v>161</v>
      </c>
    </row>
    <row r="505" spans="1:11" x14ac:dyDescent="0.35">
      <c r="A505" t="s">
        <v>305</v>
      </c>
      <c r="B505" t="s">
        <v>408</v>
      </c>
      <c r="C505" t="s">
        <v>385</v>
      </c>
      <c r="D505">
        <v>1.5</v>
      </c>
      <c r="E505" t="s">
        <v>205</v>
      </c>
      <c r="F505">
        <v>2023</v>
      </c>
      <c r="G505" t="str">
        <f>TRIM(RIGHT(Table156[[#This Row],[Item-Codigo]], LEN(Table156[[#This Row],[Item-Codigo]]) - FIND("|", CONCATENATE(B505), FIND("|", CONCATENATE(B505)) + 1)))</f>
        <v>KG</v>
      </c>
      <c r="H50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379</v>
      </c>
      <c r="I505" s="40">
        <v>379</v>
      </c>
      <c r="J50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1500</v>
      </c>
      <c r="K505" t="s">
        <v>139</v>
      </c>
    </row>
    <row r="506" spans="1:11" x14ac:dyDescent="0.35">
      <c r="A506" t="s">
        <v>305</v>
      </c>
      <c r="B506" t="s">
        <v>928</v>
      </c>
      <c r="C506" t="s">
        <v>315</v>
      </c>
      <c r="D506">
        <v>9</v>
      </c>
      <c r="E506" t="s">
        <v>205</v>
      </c>
      <c r="F506">
        <v>2023</v>
      </c>
      <c r="G506" t="str">
        <f>TRIM(RIGHT(Table156[[#This Row],[Item-Codigo]], LEN(Table156[[#This Row],[Item-Codigo]]) - FIND("|", CONCATENATE(B506), FIND("|", CONCATENATE(B506)) + 1)))</f>
        <v>KG</v>
      </c>
      <c r="H50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442.4</v>
      </c>
      <c r="I506" s="40" t="s">
        <v>531</v>
      </c>
      <c r="J50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506" t="s">
        <v>164</v>
      </c>
    </row>
    <row r="507" spans="1:11" x14ac:dyDescent="0.35">
      <c r="A507" t="s">
        <v>305</v>
      </c>
      <c r="B507" t="s">
        <v>412</v>
      </c>
      <c r="C507" t="s">
        <v>348</v>
      </c>
      <c r="D507">
        <v>30</v>
      </c>
      <c r="E507" t="s">
        <v>205</v>
      </c>
      <c r="F507">
        <v>2023</v>
      </c>
      <c r="G507" t="str">
        <f>TRIM(RIGHT(Table156[[#This Row],[Item-Codigo]], LEN(Table156[[#This Row],[Item-Codigo]]) - FIND("|", CONCATENATE(B507), FIND("|", CONCATENATE(B507)) + 1)))</f>
        <v>KG</v>
      </c>
      <c r="H50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981.2</v>
      </c>
      <c r="I507" s="40" t="s">
        <v>556</v>
      </c>
      <c r="J50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30000</v>
      </c>
      <c r="K507" t="s">
        <v>171</v>
      </c>
    </row>
    <row r="508" spans="1:11" x14ac:dyDescent="0.35">
      <c r="A508" t="s">
        <v>305</v>
      </c>
      <c r="B508" t="s">
        <v>930</v>
      </c>
      <c r="C508" t="s">
        <v>365</v>
      </c>
      <c r="D508">
        <v>4.17</v>
      </c>
      <c r="E508" t="s">
        <v>205</v>
      </c>
      <c r="F508">
        <v>2023</v>
      </c>
      <c r="G508" t="str">
        <f>TRIM(RIGHT(Table156[[#This Row],[Item-Codigo]], LEN(Table156[[#This Row],[Item-Codigo]]) - FIND("|", CONCATENATE(B508), FIND("|", CONCATENATE(B508)) + 1)))</f>
        <v>KG</v>
      </c>
      <c r="H50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456.13</v>
      </c>
      <c r="I508" s="40" t="s">
        <v>944</v>
      </c>
      <c r="J50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4170</v>
      </c>
      <c r="K508" t="s">
        <v>158</v>
      </c>
    </row>
    <row r="509" spans="1:11" x14ac:dyDescent="0.35">
      <c r="A509" t="s">
        <v>305</v>
      </c>
      <c r="B509" t="s">
        <v>416</v>
      </c>
      <c r="C509" t="s">
        <v>315</v>
      </c>
      <c r="D509">
        <v>2.75</v>
      </c>
      <c r="E509" t="s">
        <v>205</v>
      </c>
      <c r="F509">
        <v>2023</v>
      </c>
      <c r="G509" t="str">
        <f>TRIM(RIGHT(Table156[[#This Row],[Item-Codigo]], LEN(Table156[[#This Row],[Item-Codigo]]) - FIND("|", CONCATENATE(B509), FIND("|", CONCATENATE(B509)) + 1)))</f>
        <v>KG</v>
      </c>
      <c r="H50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1007.5</v>
      </c>
      <c r="I509" s="40" t="s">
        <v>495</v>
      </c>
      <c r="J50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2750</v>
      </c>
      <c r="K509" t="s">
        <v>141</v>
      </c>
    </row>
    <row r="510" spans="1:11" x14ac:dyDescent="0.35">
      <c r="A510" t="s">
        <v>196</v>
      </c>
      <c r="B510" t="s">
        <v>214</v>
      </c>
      <c r="C510" t="s">
        <v>817</v>
      </c>
      <c r="D510">
        <v>440.0031614792</v>
      </c>
      <c r="E510" t="s">
        <v>821</v>
      </c>
      <c r="F510">
        <v>2023</v>
      </c>
      <c r="G510" t="str">
        <f>TRIM(RIGHT(Table156[[#This Row],[Item-Codigo]], LEN(Table156[[#This Row],[Item-Codigo]]) - FIND("|", CONCATENATE(B510), FIND("|", CONCATENATE(B510)) + 1)))</f>
        <v>TM</v>
      </c>
      <c r="H51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223</v>
      </c>
      <c r="I510" s="40">
        <v>223</v>
      </c>
      <c r="J51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440.0031614792</v>
      </c>
      <c r="K510" t="s">
        <v>93</v>
      </c>
    </row>
    <row r="511" spans="1:11" x14ac:dyDescent="0.35">
      <c r="A511" t="s">
        <v>196</v>
      </c>
      <c r="B511" t="s">
        <v>216</v>
      </c>
      <c r="C511" t="s">
        <v>215</v>
      </c>
      <c r="D511">
        <v>554.77608769749997</v>
      </c>
      <c r="E511" t="s">
        <v>821</v>
      </c>
      <c r="F511">
        <v>2023</v>
      </c>
      <c r="G511" t="str">
        <f>TRIM(RIGHT(Table156[[#This Row],[Item-Codigo]], LEN(Table156[[#This Row],[Item-Codigo]]) - FIND("|", CONCATENATE(B511), FIND("|", CONCATENATE(B511)) + 1)))</f>
        <v>TM</v>
      </c>
      <c r="H51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122</v>
      </c>
      <c r="I511" s="40">
        <v>122</v>
      </c>
      <c r="J51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554.77608769749997</v>
      </c>
      <c r="K511" t="s">
        <v>180</v>
      </c>
    </row>
    <row r="512" spans="1:11" x14ac:dyDescent="0.35">
      <c r="A512" t="s">
        <v>196</v>
      </c>
      <c r="B512" t="s">
        <v>217</v>
      </c>
      <c r="C512" t="s">
        <v>215</v>
      </c>
      <c r="D512">
        <v>318.9607842497</v>
      </c>
      <c r="E512" t="s">
        <v>821</v>
      </c>
      <c r="F512">
        <v>2023</v>
      </c>
      <c r="G512" t="str">
        <f>TRIM(RIGHT(Table156[[#This Row],[Item-Codigo]], LEN(Table156[[#This Row],[Item-Codigo]]) - FIND("|", CONCATENATE(B512), FIND("|", CONCATENATE(B512)) + 1)))</f>
        <v>TM</v>
      </c>
      <c r="H51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871</v>
      </c>
      <c r="I512" s="40">
        <v>871</v>
      </c>
      <c r="J51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318.9607842497</v>
      </c>
      <c r="K512" t="s">
        <v>181</v>
      </c>
    </row>
    <row r="513" spans="1:11" x14ac:dyDescent="0.35">
      <c r="A513" t="s">
        <v>198</v>
      </c>
      <c r="B513" t="s">
        <v>219</v>
      </c>
      <c r="C513" t="s">
        <v>220</v>
      </c>
      <c r="D513">
        <v>883</v>
      </c>
      <c r="E513" t="s">
        <v>821</v>
      </c>
      <c r="F513">
        <v>2023</v>
      </c>
      <c r="G513" t="str">
        <f>TRIM(RIGHT(Table156[[#This Row],[Item-Codigo]], LEN(Table156[[#This Row],[Item-Codigo]]) - FIND("|", CONCATENATE(B513), FIND("|", CONCATENATE(B513)) + 1)))</f>
        <v>TM</v>
      </c>
      <c r="H51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513" s="40">
        <v>42</v>
      </c>
      <c r="J51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883</v>
      </c>
      <c r="K513" t="s">
        <v>94</v>
      </c>
    </row>
    <row r="514" spans="1:11" x14ac:dyDescent="0.35">
      <c r="A514" t="s">
        <v>198</v>
      </c>
      <c r="B514" t="s">
        <v>224</v>
      </c>
      <c r="C514" t="s">
        <v>831</v>
      </c>
      <c r="D514">
        <v>1885</v>
      </c>
      <c r="E514" t="s">
        <v>821</v>
      </c>
      <c r="F514">
        <v>2023</v>
      </c>
      <c r="G514" t="str">
        <f>TRIM(RIGHT(Table156[[#This Row],[Item-Codigo]], LEN(Table156[[#This Row],[Item-Codigo]]) - FIND("|", CONCATENATE(B514), FIND("|", CONCATENATE(B514)) + 1)))</f>
        <v>TM</v>
      </c>
      <c r="H51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40</v>
      </c>
      <c r="I514" s="40">
        <v>40</v>
      </c>
      <c r="J51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1885</v>
      </c>
      <c r="K514" t="s">
        <v>95</v>
      </c>
    </row>
    <row r="515" spans="1:11" x14ac:dyDescent="0.35">
      <c r="A515" t="s">
        <v>198</v>
      </c>
      <c r="B515" t="s">
        <v>225</v>
      </c>
      <c r="C515" t="s">
        <v>226</v>
      </c>
      <c r="D515">
        <v>387.0003575284</v>
      </c>
      <c r="E515" t="s">
        <v>821</v>
      </c>
      <c r="F515">
        <v>2023</v>
      </c>
      <c r="G515" t="str">
        <f>TRIM(RIGHT(Table156[[#This Row],[Item-Codigo]], LEN(Table156[[#This Row],[Item-Codigo]]) - FIND("|", CONCATENATE(B515), FIND("|", CONCATENATE(B515)) + 1)))</f>
        <v>TM</v>
      </c>
      <c r="H51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301</v>
      </c>
      <c r="I515" s="40">
        <v>301</v>
      </c>
      <c r="J51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387.0003575284</v>
      </c>
      <c r="K515" t="s">
        <v>96</v>
      </c>
    </row>
    <row r="516" spans="1:11" x14ac:dyDescent="0.35">
      <c r="A516" t="s">
        <v>198</v>
      </c>
      <c r="B516" t="s">
        <v>228</v>
      </c>
      <c r="C516" t="s">
        <v>229</v>
      </c>
      <c r="D516">
        <v>363.28712209780002</v>
      </c>
      <c r="E516" t="s">
        <v>821</v>
      </c>
      <c r="F516">
        <v>2023</v>
      </c>
      <c r="G516" t="str">
        <f>TRIM(RIGHT(Table156[[#This Row],[Item-Codigo]], LEN(Table156[[#This Row],[Item-Codigo]]) - FIND("|", CONCATENATE(B516), FIND("|", CONCATENATE(B516)) + 1)))</f>
        <v>TM</v>
      </c>
      <c r="H51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516" s="40">
        <v>200</v>
      </c>
      <c r="J51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363.28712209780002</v>
      </c>
      <c r="K516" t="s">
        <v>97</v>
      </c>
    </row>
    <row r="517" spans="1:11" x14ac:dyDescent="0.35">
      <c r="A517" t="s">
        <v>198</v>
      </c>
      <c r="B517" t="s">
        <v>230</v>
      </c>
      <c r="C517" t="s">
        <v>231</v>
      </c>
      <c r="D517">
        <v>4.5999999999999999E-2</v>
      </c>
      <c r="E517" t="s">
        <v>821</v>
      </c>
      <c r="F517">
        <v>2023</v>
      </c>
      <c r="G517" t="str">
        <f>TRIM(RIGHT(Table156[[#This Row],[Item-Codigo]], LEN(Table156[[#This Row],[Item-Codigo]]) - FIND("|", CONCATENATE(B517), FIND("|", CONCATENATE(B517)) + 1)))</f>
        <v>KG</v>
      </c>
      <c r="H51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517" s="40">
        <v>701</v>
      </c>
      <c r="J51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46</v>
      </c>
      <c r="K517" t="s">
        <v>98</v>
      </c>
    </row>
    <row r="518" spans="1:11" x14ac:dyDescent="0.35">
      <c r="A518" t="s">
        <v>198</v>
      </c>
      <c r="B518" t="s">
        <v>243</v>
      </c>
      <c r="C518" t="s">
        <v>218</v>
      </c>
      <c r="D518">
        <v>685.47005100700005</v>
      </c>
      <c r="E518" t="s">
        <v>821</v>
      </c>
      <c r="F518">
        <v>2023</v>
      </c>
      <c r="G518" t="str">
        <f>TRIM(RIGHT(Table156[[#This Row],[Item-Codigo]], LEN(Table156[[#This Row],[Item-Codigo]]) - FIND("|", CONCATENATE(B518), FIND("|", CONCATENATE(B518)) + 1)))</f>
        <v>TM</v>
      </c>
      <c r="H51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211</v>
      </c>
      <c r="I518" s="40">
        <v>211</v>
      </c>
      <c r="J51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685.47005100700005</v>
      </c>
      <c r="K518" t="s">
        <v>188</v>
      </c>
    </row>
    <row r="519" spans="1:11" x14ac:dyDescent="0.35">
      <c r="A519" t="s">
        <v>198</v>
      </c>
      <c r="B519" t="s">
        <v>199</v>
      </c>
      <c r="C519" t="s">
        <v>200</v>
      </c>
      <c r="D519">
        <v>16.992018323444</v>
      </c>
      <c r="E519" t="s">
        <v>821</v>
      </c>
      <c r="F519">
        <v>2023</v>
      </c>
      <c r="G519" t="str">
        <f>TRIM(RIGHT(Table156[[#This Row],[Item-Codigo]], LEN(Table156[[#This Row],[Item-Codigo]]) - FIND("|", CONCATENATE(B519), FIND("|", CONCATENATE(B519)) + 1)))</f>
        <v>QQ</v>
      </c>
      <c r="H51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519" s="40">
        <v>1</v>
      </c>
      <c r="J519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373.82440311576801</v>
      </c>
      <c r="K519" t="s">
        <v>182</v>
      </c>
    </row>
    <row r="520" spans="1:11" x14ac:dyDescent="0.35">
      <c r="A520" t="s">
        <v>198</v>
      </c>
      <c r="B520" t="s">
        <v>199</v>
      </c>
      <c r="C520" t="s">
        <v>201</v>
      </c>
      <c r="D520">
        <v>16.700002802659998</v>
      </c>
      <c r="E520" t="s">
        <v>821</v>
      </c>
      <c r="F520">
        <v>2023</v>
      </c>
      <c r="G520" t="str">
        <f>TRIM(RIGHT(Table156[[#This Row],[Item-Codigo]], LEN(Table156[[#This Row],[Item-Codigo]]) - FIND("|", CONCATENATE(B520), FIND("|", CONCATENATE(B520)) + 1)))</f>
        <v>QQ</v>
      </c>
      <c r="H52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520" s="40">
        <v>1</v>
      </c>
      <c r="J520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367.40006165851997</v>
      </c>
      <c r="K520" t="s">
        <v>182</v>
      </c>
    </row>
    <row r="521" spans="1:11" x14ac:dyDescent="0.35">
      <c r="A521" t="s">
        <v>198</v>
      </c>
      <c r="B521" t="s">
        <v>199</v>
      </c>
      <c r="C521" t="s">
        <v>203</v>
      </c>
      <c r="D521">
        <v>16.871551775380802</v>
      </c>
      <c r="E521" t="s">
        <v>821</v>
      </c>
      <c r="F521">
        <v>2023</v>
      </c>
      <c r="G521" t="str">
        <f>TRIM(RIGHT(Table156[[#This Row],[Item-Codigo]], LEN(Table156[[#This Row],[Item-Codigo]]) - FIND("|", CONCATENATE(B521), FIND("|", CONCATENATE(B521)) + 1)))</f>
        <v>QQ</v>
      </c>
      <c r="H52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521" s="40">
        <v>1</v>
      </c>
      <c r="J521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371.17413905837765</v>
      </c>
      <c r="K521" t="s">
        <v>182</v>
      </c>
    </row>
    <row r="522" spans="1:11" x14ac:dyDescent="0.35">
      <c r="A522" t="s">
        <v>198</v>
      </c>
      <c r="B522" t="s">
        <v>850</v>
      </c>
      <c r="C522" t="s">
        <v>244</v>
      </c>
      <c r="D522">
        <v>0.31968688844999998</v>
      </c>
      <c r="E522" t="s">
        <v>821</v>
      </c>
      <c r="F522">
        <v>2023</v>
      </c>
      <c r="G522" t="str">
        <f>TRIM(RIGHT(Table156[[#This Row],[Item-Codigo]], LEN(Table156[[#This Row],[Item-Codigo]]) - FIND("|", CONCATENATE(B522), FIND("|", CONCATENATE(B522)) + 1)))</f>
        <v>KG</v>
      </c>
      <c r="H52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14</v>
      </c>
      <c r="I522" s="40">
        <v>14</v>
      </c>
      <c r="J52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319.68688844999997</v>
      </c>
      <c r="K522" t="s">
        <v>187</v>
      </c>
    </row>
    <row r="523" spans="1:11" x14ac:dyDescent="0.35">
      <c r="A523" t="s">
        <v>198</v>
      </c>
      <c r="B523" t="s">
        <v>247</v>
      </c>
      <c r="C523" t="s">
        <v>248</v>
      </c>
      <c r="D523">
        <v>0.35560556319999997</v>
      </c>
      <c r="E523" t="s">
        <v>821</v>
      </c>
      <c r="F523">
        <v>2023</v>
      </c>
      <c r="G523" t="str">
        <f>TRIM(RIGHT(Table156[[#This Row],[Item-Codigo]], LEN(Table156[[#This Row],[Item-Codigo]]) - FIND("|", CONCATENATE(B523), FIND("|", CONCATENATE(B523)) + 1)))</f>
        <v>KG</v>
      </c>
      <c r="H52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214</v>
      </c>
      <c r="I523" s="40">
        <v>214</v>
      </c>
      <c r="J52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355.60556319999995</v>
      </c>
      <c r="K523" t="s">
        <v>186</v>
      </c>
    </row>
    <row r="524" spans="1:11" x14ac:dyDescent="0.35">
      <c r="A524" t="s">
        <v>198</v>
      </c>
      <c r="B524" t="s">
        <v>207</v>
      </c>
      <c r="C524" t="s">
        <v>861</v>
      </c>
      <c r="D524">
        <v>16.419962386449999</v>
      </c>
      <c r="E524" t="s">
        <v>821</v>
      </c>
      <c r="F524">
        <v>2023</v>
      </c>
      <c r="G524" t="str">
        <f>TRIM(RIGHT(Table156[[#This Row],[Item-Codigo]], LEN(Table156[[#This Row],[Item-Codigo]]) - FIND("|", CONCATENATE(B524), FIND("|", CONCATENATE(B524)) + 1)))</f>
        <v>QQ</v>
      </c>
      <c r="H52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524" s="40">
        <v>410</v>
      </c>
      <c r="J524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361.23917250189999</v>
      </c>
      <c r="K524" t="s">
        <v>183</v>
      </c>
    </row>
    <row r="525" spans="1:11" x14ac:dyDescent="0.35">
      <c r="A525" t="s">
        <v>198</v>
      </c>
      <c r="B525" t="s">
        <v>207</v>
      </c>
      <c r="C525" t="s">
        <v>210</v>
      </c>
      <c r="D525">
        <v>16.499667400100002</v>
      </c>
      <c r="E525" t="s">
        <v>821</v>
      </c>
      <c r="F525">
        <v>2023</v>
      </c>
      <c r="G525" t="str">
        <f>TRIM(RIGHT(Table156[[#This Row],[Item-Codigo]], LEN(Table156[[#This Row],[Item-Codigo]]) - FIND("|", CONCATENATE(B525), FIND("|", CONCATENATE(B525)) + 1)))</f>
        <v>QQ</v>
      </c>
      <c r="H52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525" s="40">
        <v>410</v>
      </c>
      <c r="J525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362.99268280220002</v>
      </c>
      <c r="K525" t="s">
        <v>183</v>
      </c>
    </row>
    <row r="526" spans="1:11" x14ac:dyDescent="0.35">
      <c r="A526" t="s">
        <v>198</v>
      </c>
      <c r="B526" t="s">
        <v>207</v>
      </c>
      <c r="C526" t="s">
        <v>211</v>
      </c>
      <c r="D526">
        <v>16.4601198905</v>
      </c>
      <c r="E526" t="s">
        <v>821</v>
      </c>
      <c r="F526">
        <v>2023</v>
      </c>
      <c r="G526" t="str">
        <f>TRIM(RIGHT(Table156[[#This Row],[Item-Codigo]], LEN(Table156[[#This Row],[Item-Codigo]]) - FIND("|", CONCATENATE(B526), FIND("|", CONCATENATE(B526)) + 1)))</f>
        <v>QQ</v>
      </c>
      <c r="H52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526" s="40">
        <v>410</v>
      </c>
      <c r="J526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362.122637591</v>
      </c>
      <c r="K526" t="s">
        <v>183</v>
      </c>
    </row>
    <row r="527" spans="1:11" x14ac:dyDescent="0.35">
      <c r="A527" t="s">
        <v>198</v>
      </c>
      <c r="B527" t="s">
        <v>207</v>
      </c>
      <c r="C527" t="s">
        <v>867</v>
      </c>
      <c r="D527">
        <v>16.477834028677801</v>
      </c>
      <c r="E527" t="s">
        <v>821</v>
      </c>
      <c r="F527">
        <v>2023</v>
      </c>
      <c r="G527" t="str">
        <f>TRIM(RIGHT(Table156[[#This Row],[Item-Codigo]], LEN(Table156[[#This Row],[Item-Codigo]]) - FIND("|", CONCATENATE(B527), FIND("|", CONCATENATE(B527)) + 1)))</f>
        <v>QQ</v>
      </c>
      <c r="H52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527" s="40">
        <v>410</v>
      </c>
      <c r="J527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362.51234863091162</v>
      </c>
      <c r="K527" t="s">
        <v>183</v>
      </c>
    </row>
    <row r="528" spans="1:11" x14ac:dyDescent="0.35">
      <c r="A528" t="s">
        <v>198</v>
      </c>
      <c r="B528" t="s">
        <v>207</v>
      </c>
      <c r="C528" t="s">
        <v>868</v>
      </c>
      <c r="D528">
        <v>16.8666020486333</v>
      </c>
      <c r="E528" t="s">
        <v>821</v>
      </c>
      <c r="F528">
        <v>2023</v>
      </c>
      <c r="G528" t="str">
        <f>TRIM(RIGHT(Table156[[#This Row],[Item-Codigo]], LEN(Table156[[#This Row],[Item-Codigo]]) - FIND("|", CONCATENATE(B528), FIND("|", CONCATENATE(B528)) + 1)))</f>
        <v>QQ</v>
      </c>
      <c r="H52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528" s="40">
        <v>410</v>
      </c>
      <c r="J528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371.06524506993259</v>
      </c>
      <c r="K528" t="s">
        <v>183</v>
      </c>
    </row>
    <row r="529" spans="1:11" x14ac:dyDescent="0.35">
      <c r="A529" t="s">
        <v>256</v>
      </c>
      <c r="B529" t="s">
        <v>875</v>
      </c>
      <c r="C529" t="s">
        <v>874</v>
      </c>
      <c r="D529">
        <v>1.2500000000000001E-2</v>
      </c>
      <c r="E529" t="s">
        <v>821</v>
      </c>
      <c r="F529">
        <v>2023</v>
      </c>
      <c r="G529" t="str">
        <f>TRIM(RIGHT(Table156[[#This Row],[Item-Codigo]], LEN(Table156[[#This Row],[Item-Codigo]]) - FIND("|", CONCATENATE(B529), FIND("|", CONCATENATE(B529)) + 1)))</f>
        <v>UND</v>
      </c>
      <c r="H52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9534</v>
      </c>
      <c r="I529" s="40">
        <v>9534</v>
      </c>
      <c r="J52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529" t="s">
        <v>41</v>
      </c>
    </row>
    <row r="530" spans="1:11" x14ac:dyDescent="0.35">
      <c r="A530" t="s">
        <v>256</v>
      </c>
      <c r="B530" t="s">
        <v>261</v>
      </c>
      <c r="C530" t="s">
        <v>262</v>
      </c>
      <c r="D530">
        <v>0.1496998604</v>
      </c>
      <c r="E530" t="s">
        <v>821</v>
      </c>
      <c r="F530">
        <v>2023</v>
      </c>
      <c r="G530" t="str">
        <f>TRIM(RIGHT(Table156[[#This Row],[Item-Codigo]], LEN(Table156[[#This Row],[Item-Codigo]]) - FIND("|", CONCATENATE(B530), FIND("|", CONCATENATE(B530)) + 1)))</f>
        <v>UND</v>
      </c>
      <c r="H53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530" s="40" t="s">
        <v>500</v>
      </c>
      <c r="J53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0.1496998604</v>
      </c>
      <c r="K530" t="s">
        <v>43</v>
      </c>
    </row>
    <row r="531" spans="1:11" x14ac:dyDescent="0.35">
      <c r="A531" t="s">
        <v>256</v>
      </c>
      <c r="B531" t="s">
        <v>261</v>
      </c>
      <c r="C531" t="s">
        <v>267</v>
      </c>
      <c r="D531">
        <v>0.15850005449999999</v>
      </c>
      <c r="E531" t="s">
        <v>821</v>
      </c>
      <c r="F531">
        <v>2023</v>
      </c>
      <c r="G531" t="str">
        <f>TRIM(RIGHT(Table156[[#This Row],[Item-Codigo]], LEN(Table156[[#This Row],[Item-Codigo]]) - FIND("|", CONCATENATE(B531), FIND("|", CONCATENATE(B531)) + 1)))</f>
        <v>UND</v>
      </c>
      <c r="H53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531" s="40" t="s">
        <v>500</v>
      </c>
      <c r="J53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0.15850005449999999</v>
      </c>
      <c r="K531" t="s">
        <v>43</v>
      </c>
    </row>
    <row r="532" spans="1:11" x14ac:dyDescent="0.35">
      <c r="A532" t="s">
        <v>256</v>
      </c>
      <c r="B532" t="s">
        <v>264</v>
      </c>
      <c r="C532" t="s">
        <v>262</v>
      </c>
      <c r="D532">
        <v>0.14970164975</v>
      </c>
      <c r="E532" t="s">
        <v>821</v>
      </c>
      <c r="F532">
        <v>2023</v>
      </c>
      <c r="G532" t="str">
        <f>TRIM(RIGHT(Table156[[#This Row],[Item-Codigo]], LEN(Table156[[#This Row],[Item-Codigo]]) - FIND("|", CONCATENATE(B532), FIND("|", CONCATENATE(B532)) + 1)))</f>
        <v>UND</v>
      </c>
      <c r="H53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1024-ME</v>
      </c>
      <c r="I532" s="40" t="s">
        <v>501</v>
      </c>
      <c r="J53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0.14970164975</v>
      </c>
      <c r="K532" t="s">
        <v>44</v>
      </c>
    </row>
    <row r="533" spans="1:11" x14ac:dyDescent="0.35">
      <c r="A533" t="s">
        <v>256</v>
      </c>
      <c r="B533" t="s">
        <v>264</v>
      </c>
      <c r="C533" t="s">
        <v>267</v>
      </c>
      <c r="D533">
        <v>0.1585</v>
      </c>
      <c r="E533" t="s">
        <v>821</v>
      </c>
      <c r="F533">
        <v>2023</v>
      </c>
      <c r="G533" t="str">
        <f>TRIM(RIGHT(Table156[[#This Row],[Item-Codigo]], LEN(Table156[[#This Row],[Item-Codigo]]) - FIND("|", CONCATENATE(B533), FIND("|", CONCATENATE(B533)) + 1)))</f>
        <v>UND</v>
      </c>
      <c r="H53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1024-ME</v>
      </c>
      <c r="I533" s="40" t="s">
        <v>501</v>
      </c>
      <c r="J53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0.1585</v>
      </c>
      <c r="K533" t="s">
        <v>44</v>
      </c>
    </row>
    <row r="534" spans="1:11" x14ac:dyDescent="0.35">
      <c r="A534" t="s">
        <v>256</v>
      </c>
      <c r="B534" t="s">
        <v>265</v>
      </c>
      <c r="C534" t="s">
        <v>262</v>
      </c>
      <c r="D534">
        <v>0.1497</v>
      </c>
      <c r="E534" t="s">
        <v>821</v>
      </c>
      <c r="F534">
        <v>2023</v>
      </c>
      <c r="G534" t="str">
        <f>TRIM(RIGHT(Table156[[#This Row],[Item-Codigo]], LEN(Table156[[#This Row],[Item-Codigo]]) - FIND("|", CONCATENATE(B534), FIND("|", CONCATENATE(B534)) + 1)))</f>
        <v>UND</v>
      </c>
      <c r="H53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1025-ME</v>
      </c>
      <c r="I534" s="40" t="s">
        <v>502</v>
      </c>
      <c r="J53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0.1497</v>
      </c>
      <c r="K534" t="s">
        <v>45</v>
      </c>
    </row>
    <row r="535" spans="1:11" x14ac:dyDescent="0.35">
      <c r="A535" t="s">
        <v>256</v>
      </c>
      <c r="B535" t="s">
        <v>265</v>
      </c>
      <c r="C535" t="s">
        <v>267</v>
      </c>
      <c r="D535">
        <v>0.1585005246</v>
      </c>
      <c r="E535" t="s">
        <v>821</v>
      </c>
      <c r="F535">
        <v>2023</v>
      </c>
      <c r="G535" t="str">
        <f>TRIM(RIGHT(Table156[[#This Row],[Item-Codigo]], LEN(Table156[[#This Row],[Item-Codigo]]) - FIND("|", CONCATENATE(B535), FIND("|", CONCATENATE(B535)) + 1)))</f>
        <v>UND</v>
      </c>
      <c r="H53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1025-ME</v>
      </c>
      <c r="I535" s="40" t="s">
        <v>502</v>
      </c>
      <c r="J53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0.1585005246</v>
      </c>
      <c r="K535" t="s">
        <v>45</v>
      </c>
    </row>
    <row r="536" spans="1:11" x14ac:dyDescent="0.35">
      <c r="A536" t="s">
        <v>256</v>
      </c>
      <c r="B536" t="s">
        <v>266</v>
      </c>
      <c r="C536" t="s">
        <v>262</v>
      </c>
      <c r="D536">
        <v>0.17</v>
      </c>
      <c r="E536" t="s">
        <v>821</v>
      </c>
      <c r="F536">
        <v>2023</v>
      </c>
      <c r="G536" t="str">
        <f>TRIM(RIGHT(Table156[[#This Row],[Item-Codigo]], LEN(Table156[[#This Row],[Item-Codigo]]) - FIND("|", CONCATENATE(B536), FIND("|", CONCATENATE(B536)) + 1)))</f>
        <v>UND</v>
      </c>
      <c r="H53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1026-ME</v>
      </c>
      <c r="I536" s="40" t="s">
        <v>503</v>
      </c>
      <c r="J53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</v>
      </c>
      <c r="K536" t="s">
        <v>46</v>
      </c>
    </row>
    <row r="537" spans="1:11" x14ac:dyDescent="0.35">
      <c r="A537" t="s">
        <v>256</v>
      </c>
      <c r="B537" t="s">
        <v>268</v>
      </c>
      <c r="C537" t="s">
        <v>262</v>
      </c>
      <c r="D537">
        <v>0.17</v>
      </c>
      <c r="E537" t="s">
        <v>821</v>
      </c>
      <c r="F537">
        <v>2023</v>
      </c>
      <c r="G537" t="str">
        <f>TRIM(RIGHT(Table156[[#This Row],[Item-Codigo]], LEN(Table156[[#This Row],[Item-Codigo]]) - FIND("|", CONCATENATE(B537), FIND("|", CONCATENATE(B537)) + 1)))</f>
        <v>UND</v>
      </c>
      <c r="H53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1028-ME</v>
      </c>
      <c r="I537" s="40" t="s">
        <v>505</v>
      </c>
      <c r="J53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</v>
      </c>
      <c r="K537" t="s">
        <v>48</v>
      </c>
    </row>
    <row r="538" spans="1:11" x14ac:dyDescent="0.35">
      <c r="A538" t="s">
        <v>256</v>
      </c>
      <c r="B538" t="s">
        <v>270</v>
      </c>
      <c r="C538" t="s">
        <v>271</v>
      </c>
      <c r="D538">
        <v>2</v>
      </c>
      <c r="E538" t="s">
        <v>821</v>
      </c>
      <c r="F538">
        <v>2023</v>
      </c>
      <c r="G538" t="str">
        <f>TRIM(RIGHT(Table156[[#This Row],[Item-Codigo]], LEN(Table156[[#This Row],[Item-Codigo]]) - FIND("|", CONCATENATE(B538), FIND("|", CONCATENATE(B538)) + 1)))</f>
        <v>UND</v>
      </c>
      <c r="H53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CINTA</v>
      </c>
      <c r="I538" s="40" t="s">
        <v>557</v>
      </c>
      <c r="J53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</v>
      </c>
      <c r="K538" t="s">
        <v>50</v>
      </c>
    </row>
    <row r="539" spans="1:11" x14ac:dyDescent="0.35">
      <c r="A539" t="s">
        <v>256</v>
      </c>
      <c r="B539" t="s">
        <v>272</v>
      </c>
      <c r="C539" t="s">
        <v>262</v>
      </c>
      <c r="D539">
        <v>0.1497001094</v>
      </c>
      <c r="E539" t="s">
        <v>821</v>
      </c>
      <c r="F539">
        <v>2023</v>
      </c>
      <c r="G539" t="str">
        <f>TRIM(RIGHT(Table156[[#This Row],[Item-Codigo]], LEN(Table156[[#This Row],[Item-Codigo]]) - FIND("|", CONCATENATE(B539), FIND("|", CONCATENATE(B539)) + 1)))</f>
        <v>UND</v>
      </c>
      <c r="H53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1029-ME</v>
      </c>
      <c r="I539" s="40" t="s">
        <v>506</v>
      </c>
      <c r="J53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0.1497001094</v>
      </c>
      <c r="K539" t="s">
        <v>51</v>
      </c>
    </row>
    <row r="540" spans="1:11" x14ac:dyDescent="0.35">
      <c r="A540" t="s">
        <v>256</v>
      </c>
      <c r="B540" t="s">
        <v>273</v>
      </c>
      <c r="C540" t="s">
        <v>262</v>
      </c>
      <c r="D540">
        <v>0.14970018925</v>
      </c>
      <c r="E540" t="s">
        <v>821</v>
      </c>
      <c r="F540">
        <v>2023</v>
      </c>
      <c r="G540" t="str">
        <f>TRIM(RIGHT(Table156[[#This Row],[Item-Codigo]], LEN(Table156[[#This Row],[Item-Codigo]]) - FIND("|", CONCATENATE(B540), FIND("|", CONCATENATE(B540)) + 1)))</f>
        <v>UND</v>
      </c>
      <c r="H54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1030-ME</v>
      </c>
      <c r="I540" s="40" t="s">
        <v>507</v>
      </c>
      <c r="J54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0.14970018925</v>
      </c>
      <c r="K540" t="s">
        <v>52</v>
      </c>
    </row>
    <row r="541" spans="1:11" x14ac:dyDescent="0.35">
      <c r="A541" t="s">
        <v>256</v>
      </c>
      <c r="B541" t="s">
        <v>274</v>
      </c>
      <c r="C541" t="s">
        <v>262</v>
      </c>
      <c r="D541">
        <v>0.1497</v>
      </c>
      <c r="E541" t="s">
        <v>821</v>
      </c>
      <c r="F541">
        <v>2023</v>
      </c>
      <c r="G541" t="str">
        <f>TRIM(RIGHT(Table156[[#This Row],[Item-Codigo]], LEN(Table156[[#This Row],[Item-Codigo]]) - FIND("|", CONCATENATE(B541), FIND("|", CONCATENATE(B541)) + 1)))</f>
        <v>UND</v>
      </c>
      <c r="H54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1031-ME</v>
      </c>
      <c r="I541" s="40" t="s">
        <v>508</v>
      </c>
      <c r="J54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0.1497</v>
      </c>
      <c r="K541" t="s">
        <v>53</v>
      </c>
    </row>
    <row r="542" spans="1:11" x14ac:dyDescent="0.35">
      <c r="A542" t="s">
        <v>256</v>
      </c>
      <c r="B542" t="s">
        <v>283</v>
      </c>
      <c r="C542" t="s">
        <v>262</v>
      </c>
      <c r="D542">
        <v>0.21879999999999999</v>
      </c>
      <c r="E542" t="s">
        <v>821</v>
      </c>
      <c r="F542">
        <v>2023</v>
      </c>
      <c r="G542" t="str">
        <f>TRIM(RIGHT(Table156[[#This Row],[Item-Codigo]], LEN(Table156[[#This Row],[Item-Codigo]]) - FIND("|", CONCATENATE(B542), FIND("|", CONCATENATE(B542)) + 1)))</f>
        <v>UND</v>
      </c>
      <c r="H54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0754-ME</v>
      </c>
      <c r="I542" s="40" t="s">
        <v>482</v>
      </c>
      <c r="J54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0.21879999999999999</v>
      </c>
      <c r="K542" t="s">
        <v>112</v>
      </c>
    </row>
    <row r="543" spans="1:11" x14ac:dyDescent="0.35">
      <c r="A543" t="s">
        <v>256</v>
      </c>
      <c r="B543" t="s">
        <v>288</v>
      </c>
      <c r="C543" t="s">
        <v>262</v>
      </c>
      <c r="D543">
        <v>0.221</v>
      </c>
      <c r="E543" t="s">
        <v>821</v>
      </c>
      <c r="F543">
        <v>2023</v>
      </c>
      <c r="G543" t="str">
        <f>TRIM(RIGHT(Table156[[#This Row],[Item-Codigo]], LEN(Table156[[#This Row],[Item-Codigo]]) - FIND("|", CONCATENATE(B543), FIND("|", CONCATENATE(B543)) + 1)))</f>
        <v>UND</v>
      </c>
      <c r="H54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0993-ME</v>
      </c>
      <c r="I543" s="40" t="s">
        <v>490</v>
      </c>
      <c r="J54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0.221</v>
      </c>
      <c r="K543" t="s">
        <v>106</v>
      </c>
    </row>
    <row r="544" spans="1:11" x14ac:dyDescent="0.35">
      <c r="A544" t="s">
        <v>256</v>
      </c>
      <c r="B544" t="s">
        <v>289</v>
      </c>
      <c r="C544" t="s">
        <v>267</v>
      </c>
      <c r="D544">
        <v>0.23170001870000001</v>
      </c>
      <c r="E544" t="s">
        <v>821</v>
      </c>
      <c r="F544">
        <v>2023</v>
      </c>
      <c r="G544" t="str">
        <f>TRIM(RIGHT(Table156[[#This Row],[Item-Codigo]], LEN(Table156[[#This Row],[Item-Codigo]]) - FIND("|", CONCATENATE(B544), FIND("|", CONCATENATE(B544)) + 1)))</f>
        <v>UND</v>
      </c>
      <c r="H54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0994-ME</v>
      </c>
      <c r="I544" s="40" t="s">
        <v>491</v>
      </c>
      <c r="J54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0.23170001870000001</v>
      </c>
      <c r="K544" t="s">
        <v>118</v>
      </c>
    </row>
    <row r="545" spans="1:11" x14ac:dyDescent="0.35">
      <c r="A545" t="s">
        <v>256</v>
      </c>
      <c r="B545" t="s">
        <v>290</v>
      </c>
      <c r="C545" t="s">
        <v>262</v>
      </c>
      <c r="D545">
        <v>0.22969999999999999</v>
      </c>
      <c r="E545" t="s">
        <v>821</v>
      </c>
      <c r="F545">
        <v>2023</v>
      </c>
      <c r="G545" t="str">
        <f>TRIM(RIGHT(Table156[[#This Row],[Item-Codigo]], LEN(Table156[[#This Row],[Item-Codigo]]) - FIND("|", CONCATENATE(B545), FIND("|", CONCATENATE(B545)) + 1)))</f>
        <v>UND</v>
      </c>
      <c r="H54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0995-ME</v>
      </c>
      <c r="I545" s="40" t="s">
        <v>492</v>
      </c>
      <c r="J54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0.22969999999999999</v>
      </c>
      <c r="K545" t="s">
        <v>108</v>
      </c>
    </row>
    <row r="546" spans="1:11" x14ac:dyDescent="0.35">
      <c r="A546" t="s">
        <v>256</v>
      </c>
      <c r="B546" t="s">
        <v>293</v>
      </c>
      <c r="C546" t="s">
        <v>263</v>
      </c>
      <c r="D546">
        <v>0.21</v>
      </c>
      <c r="E546" t="s">
        <v>821</v>
      </c>
      <c r="F546">
        <v>2023</v>
      </c>
      <c r="G546" t="str">
        <f>TRIM(RIGHT(Table156[[#This Row],[Item-Codigo]], LEN(Table156[[#This Row],[Item-Codigo]]) - FIND("|", CONCATENATE(B546), FIND("|", CONCATENATE(B546)) + 1)))</f>
        <v>UND</v>
      </c>
      <c r="H54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0201-ME</v>
      </c>
      <c r="I546" s="40" t="s">
        <v>478</v>
      </c>
      <c r="J54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</v>
      </c>
      <c r="K546" t="s">
        <v>105</v>
      </c>
    </row>
    <row r="547" spans="1:11" x14ac:dyDescent="0.35">
      <c r="A547" t="s">
        <v>256</v>
      </c>
      <c r="B547" t="s">
        <v>891</v>
      </c>
      <c r="C547" t="s">
        <v>262</v>
      </c>
      <c r="D547">
        <v>0.2079</v>
      </c>
      <c r="E547" t="s">
        <v>821</v>
      </c>
      <c r="F547">
        <v>2023</v>
      </c>
      <c r="G547" t="str">
        <f>TRIM(RIGHT(Table156[[#This Row],[Item-Codigo]], LEN(Table156[[#This Row],[Item-Codigo]]) - FIND("|", CONCATENATE(B547), FIND("|", CONCATENATE(B547)) + 1)))</f>
        <v>UND</v>
      </c>
      <c r="H54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0202-ME</v>
      </c>
      <c r="I547" s="40" t="s">
        <v>479</v>
      </c>
      <c r="J54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0.2079</v>
      </c>
      <c r="K547" t="s">
        <v>128</v>
      </c>
    </row>
    <row r="548" spans="1:11" x14ac:dyDescent="0.35">
      <c r="A548" t="s">
        <v>256</v>
      </c>
      <c r="B548" t="s">
        <v>892</v>
      </c>
      <c r="C548" t="s">
        <v>262</v>
      </c>
      <c r="D548">
        <v>0.221</v>
      </c>
      <c r="E548" t="s">
        <v>821</v>
      </c>
      <c r="F548">
        <v>2023</v>
      </c>
      <c r="G548" t="str">
        <f>TRIM(RIGHT(Table156[[#This Row],[Item-Codigo]], LEN(Table156[[#This Row],[Item-Codigo]]) - FIND("|", CONCATENATE(B548), FIND("|", CONCATENATE(B548)) + 1)))</f>
        <v>UND</v>
      </c>
      <c r="H54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0986-ME</v>
      </c>
      <c r="I548" s="40" t="s">
        <v>487</v>
      </c>
      <c r="J54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0.221</v>
      </c>
      <c r="K548" t="s">
        <v>120</v>
      </c>
    </row>
    <row r="549" spans="1:11" x14ac:dyDescent="0.35">
      <c r="A549" t="s">
        <v>256</v>
      </c>
      <c r="B549" t="s">
        <v>296</v>
      </c>
      <c r="C549" t="s">
        <v>262</v>
      </c>
      <c r="D549">
        <v>0.221</v>
      </c>
      <c r="E549" t="s">
        <v>821</v>
      </c>
      <c r="F549">
        <v>2023</v>
      </c>
      <c r="G549" t="str">
        <f>TRIM(RIGHT(Table156[[#This Row],[Item-Codigo]], LEN(Table156[[#This Row],[Item-Codigo]]) - FIND("|", CONCATENATE(B549), FIND("|", CONCATENATE(B549)) + 1)))</f>
        <v>UND</v>
      </c>
      <c r="H54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1018-ME</v>
      </c>
      <c r="I549" s="40" t="s">
        <v>496</v>
      </c>
      <c r="J54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0.221</v>
      </c>
      <c r="K549" t="s">
        <v>109</v>
      </c>
    </row>
    <row r="550" spans="1:11" x14ac:dyDescent="0.35">
      <c r="A550" t="s">
        <v>256</v>
      </c>
      <c r="B550" t="s">
        <v>296</v>
      </c>
      <c r="C550" t="s">
        <v>263</v>
      </c>
      <c r="D550">
        <v>0.23520008549999999</v>
      </c>
      <c r="E550" t="s">
        <v>821</v>
      </c>
      <c r="F550">
        <v>2023</v>
      </c>
      <c r="G550" t="str">
        <f>TRIM(RIGHT(Table156[[#This Row],[Item-Codigo]], LEN(Table156[[#This Row],[Item-Codigo]]) - FIND("|", CONCATENATE(B550), FIND("|", CONCATENATE(B550)) + 1)))</f>
        <v>UND</v>
      </c>
      <c r="H55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1018-ME</v>
      </c>
      <c r="I550" s="40" t="s">
        <v>496</v>
      </c>
      <c r="J55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0.23520008549999999</v>
      </c>
      <c r="K550" t="s">
        <v>109</v>
      </c>
    </row>
    <row r="551" spans="1:11" x14ac:dyDescent="0.35">
      <c r="A551" t="s">
        <v>256</v>
      </c>
      <c r="B551" t="s">
        <v>893</v>
      </c>
      <c r="C551" t="s">
        <v>267</v>
      </c>
      <c r="D551">
        <v>0.2317003567</v>
      </c>
      <c r="E551" t="s">
        <v>821</v>
      </c>
      <c r="F551">
        <v>2023</v>
      </c>
      <c r="G551" t="str">
        <f>TRIM(RIGHT(Table156[[#This Row],[Item-Codigo]], LEN(Table156[[#This Row],[Item-Codigo]]) - FIND("|", CONCATENATE(B551), FIND("|", CONCATENATE(B551)) + 1)))</f>
        <v>UND</v>
      </c>
      <c r="H55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0983-ME</v>
      </c>
      <c r="I551" s="40" t="s">
        <v>484</v>
      </c>
      <c r="J55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0.2317003567</v>
      </c>
      <c r="K551" t="s">
        <v>113</v>
      </c>
    </row>
    <row r="552" spans="1:11" x14ac:dyDescent="0.35">
      <c r="A552" t="s">
        <v>256</v>
      </c>
      <c r="B552" t="s">
        <v>298</v>
      </c>
      <c r="C552" t="s">
        <v>262</v>
      </c>
      <c r="D552">
        <v>0.221</v>
      </c>
      <c r="E552" t="s">
        <v>821</v>
      </c>
      <c r="F552">
        <v>2023</v>
      </c>
      <c r="G552" t="str">
        <f>TRIM(RIGHT(Table156[[#This Row],[Item-Codigo]], LEN(Table156[[#This Row],[Item-Codigo]]) - FIND("|", CONCATENATE(B552), FIND("|", CONCATENATE(B552)) + 1)))</f>
        <v>UND</v>
      </c>
      <c r="H55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1019-ME</v>
      </c>
      <c r="I552" s="40" t="s">
        <v>497</v>
      </c>
      <c r="J55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0.221</v>
      </c>
      <c r="K552" t="s">
        <v>111</v>
      </c>
    </row>
    <row r="553" spans="1:11" x14ac:dyDescent="0.35">
      <c r="A553" t="s">
        <v>256</v>
      </c>
      <c r="B553" t="s">
        <v>300</v>
      </c>
      <c r="C553" t="s">
        <v>262</v>
      </c>
      <c r="D553">
        <v>0.22320000000000001</v>
      </c>
      <c r="E553" t="s">
        <v>821</v>
      </c>
      <c r="F553">
        <v>2023</v>
      </c>
      <c r="G553" t="str">
        <f>TRIM(RIGHT(Table156[[#This Row],[Item-Codigo]], LEN(Table156[[#This Row],[Item-Codigo]]) - FIND("|", CONCATENATE(B553), FIND("|", CONCATENATE(B553)) + 1)))</f>
        <v>UND</v>
      </c>
      <c r="H55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0751-ME</v>
      </c>
      <c r="I553" s="40" t="s">
        <v>480</v>
      </c>
      <c r="J55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0.22320000000000001</v>
      </c>
      <c r="K553" t="s">
        <v>110</v>
      </c>
    </row>
    <row r="554" spans="1:11" x14ac:dyDescent="0.35">
      <c r="A554" t="s">
        <v>256</v>
      </c>
      <c r="B554" t="s">
        <v>301</v>
      </c>
      <c r="C554" t="s">
        <v>262</v>
      </c>
      <c r="D554">
        <v>0.22969999999999999</v>
      </c>
      <c r="E554" t="s">
        <v>821</v>
      </c>
      <c r="F554">
        <v>2023</v>
      </c>
      <c r="G554" t="str">
        <f>TRIM(RIGHT(Table156[[#This Row],[Item-Codigo]], LEN(Table156[[#This Row],[Item-Codigo]]) - FIND("|", CONCATENATE(B554), FIND("|", CONCATENATE(B554)) + 1)))</f>
        <v>UND</v>
      </c>
      <c r="H55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0171-ME</v>
      </c>
      <c r="I554" s="40" t="s">
        <v>476</v>
      </c>
      <c r="J55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0.22969999999999999</v>
      </c>
      <c r="K554" t="s">
        <v>107</v>
      </c>
    </row>
    <row r="555" spans="1:11" x14ac:dyDescent="0.35">
      <c r="A555" t="s">
        <v>256</v>
      </c>
      <c r="B555" t="s">
        <v>301</v>
      </c>
      <c r="C555" t="s">
        <v>267</v>
      </c>
      <c r="D555">
        <v>0.24340000000000001</v>
      </c>
      <c r="E555" t="s">
        <v>821</v>
      </c>
      <c r="F555">
        <v>2023</v>
      </c>
      <c r="G555" t="str">
        <f>TRIM(RIGHT(Table156[[#This Row],[Item-Codigo]], LEN(Table156[[#This Row],[Item-Codigo]]) - FIND("|", CONCATENATE(B555), FIND("|", CONCATENATE(B555)) + 1)))</f>
        <v>UND</v>
      </c>
      <c r="H55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0171-ME</v>
      </c>
      <c r="I555" s="40" t="s">
        <v>476</v>
      </c>
      <c r="J55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0.24340000000000001</v>
      </c>
      <c r="K555" t="s">
        <v>107</v>
      </c>
    </row>
    <row r="556" spans="1:11" x14ac:dyDescent="0.35">
      <c r="A556" t="s">
        <v>302</v>
      </c>
      <c r="B556" t="s">
        <v>303</v>
      </c>
      <c r="C556" t="s">
        <v>304</v>
      </c>
      <c r="D556">
        <v>2.25</v>
      </c>
      <c r="E556" t="s">
        <v>821</v>
      </c>
      <c r="F556">
        <v>2023</v>
      </c>
      <c r="G556" t="str">
        <f>TRIM(RIGHT(Table156[[#This Row],[Item-Codigo]], LEN(Table156[[#This Row],[Item-Codigo]]) - FIND("|", CONCATENATE(B556), FIND("|", CONCATENATE(B556)) + 1)))</f>
        <v>KG</v>
      </c>
      <c r="H55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511.2</v>
      </c>
      <c r="I556" s="40" t="s">
        <v>545</v>
      </c>
      <c r="J55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2250</v>
      </c>
      <c r="K556" t="s">
        <v>130</v>
      </c>
    </row>
    <row r="557" spans="1:11" x14ac:dyDescent="0.35">
      <c r="A557" t="s">
        <v>305</v>
      </c>
      <c r="B557" t="s">
        <v>310</v>
      </c>
      <c r="C557" t="s">
        <v>311</v>
      </c>
      <c r="D557">
        <v>1.92</v>
      </c>
      <c r="E557" t="s">
        <v>821</v>
      </c>
      <c r="F557">
        <v>2023</v>
      </c>
      <c r="G557" t="str">
        <f>TRIM(RIGHT(Table156[[#This Row],[Item-Codigo]], LEN(Table156[[#This Row],[Item-Codigo]]) - FIND("|", CONCATENATE(B557), FIND("|", CONCATENATE(B557)) + 1)))</f>
        <v>KG</v>
      </c>
      <c r="H55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1010</v>
      </c>
      <c r="I557" s="40">
        <v>1010</v>
      </c>
      <c r="J55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1920</v>
      </c>
      <c r="K557" t="s">
        <v>68</v>
      </c>
    </row>
    <row r="558" spans="1:11" x14ac:dyDescent="0.35">
      <c r="A558" t="s">
        <v>305</v>
      </c>
      <c r="B558" t="s">
        <v>312</v>
      </c>
      <c r="C558" t="s">
        <v>377</v>
      </c>
      <c r="D558">
        <v>7.95</v>
      </c>
      <c r="E558" t="s">
        <v>821</v>
      </c>
      <c r="F558">
        <v>2023</v>
      </c>
      <c r="G558" t="str">
        <f>TRIM(RIGHT(Table156[[#This Row],[Item-Codigo]], LEN(Table156[[#This Row],[Item-Codigo]]) - FIND("|", CONCATENATE(B558), FIND("|", CONCATENATE(B558)) + 1)))</f>
        <v>KG</v>
      </c>
      <c r="H55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317</v>
      </c>
      <c r="I558" s="40">
        <v>317</v>
      </c>
      <c r="J55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7950</v>
      </c>
      <c r="K558" t="s">
        <v>69</v>
      </c>
    </row>
    <row r="559" spans="1:11" x14ac:dyDescent="0.35">
      <c r="A559" t="s">
        <v>305</v>
      </c>
      <c r="B559" t="s">
        <v>316</v>
      </c>
      <c r="C559" t="s">
        <v>327</v>
      </c>
      <c r="D559">
        <v>75</v>
      </c>
      <c r="E559" t="s">
        <v>821</v>
      </c>
      <c r="F559">
        <v>2023</v>
      </c>
      <c r="G559" t="str">
        <f>TRIM(RIGHT(Table156[[#This Row],[Item-Codigo]], LEN(Table156[[#This Row],[Item-Codigo]]) - FIND("|", CONCATENATE(B559), FIND("|", CONCATENATE(B559)) + 1)))</f>
        <v>KG</v>
      </c>
      <c r="H55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929</v>
      </c>
      <c r="I559" s="40">
        <v>929</v>
      </c>
      <c r="J55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75000</v>
      </c>
      <c r="K559" t="s">
        <v>71</v>
      </c>
    </row>
    <row r="560" spans="1:11" x14ac:dyDescent="0.35">
      <c r="A560" t="s">
        <v>305</v>
      </c>
      <c r="B560" t="s">
        <v>320</v>
      </c>
      <c r="C560" t="s">
        <v>321</v>
      </c>
      <c r="D560">
        <v>8.75</v>
      </c>
      <c r="E560" t="s">
        <v>821</v>
      </c>
      <c r="F560">
        <v>2023</v>
      </c>
      <c r="G560" t="str">
        <f>TRIM(RIGHT(Table156[[#This Row],[Item-Codigo]], LEN(Table156[[#This Row],[Item-Codigo]]) - FIND("|", CONCATENATE(B560), FIND("|", CONCATENATE(B560)) + 1)))</f>
        <v>KG</v>
      </c>
      <c r="H56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1009</v>
      </c>
      <c r="I560" s="40">
        <v>1009</v>
      </c>
      <c r="J56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8750</v>
      </c>
      <c r="K560" t="s">
        <v>73</v>
      </c>
    </row>
    <row r="561" spans="1:11" x14ac:dyDescent="0.35">
      <c r="A561" t="s">
        <v>305</v>
      </c>
      <c r="B561" t="s">
        <v>325</v>
      </c>
      <c r="C561" t="s">
        <v>319</v>
      </c>
      <c r="D561">
        <v>5.6</v>
      </c>
      <c r="E561" t="s">
        <v>821</v>
      </c>
      <c r="F561">
        <v>2023</v>
      </c>
      <c r="G561" t="str">
        <f>TRIM(RIGHT(Table156[[#This Row],[Item-Codigo]], LEN(Table156[[#This Row],[Item-Codigo]]) - FIND("|", CONCATENATE(B561), FIND("|", CONCATENATE(B561)) + 1)))</f>
        <v>KG</v>
      </c>
      <c r="H56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1045</v>
      </c>
      <c r="I561" s="40">
        <v>1045</v>
      </c>
      <c r="J56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561" t="s">
        <v>76</v>
      </c>
    </row>
    <row r="562" spans="1:11" x14ac:dyDescent="0.35">
      <c r="A562" t="s">
        <v>305</v>
      </c>
      <c r="B562" t="s">
        <v>332</v>
      </c>
      <c r="C562" t="s">
        <v>333</v>
      </c>
      <c r="D562">
        <v>1.6893605751</v>
      </c>
      <c r="E562" t="s">
        <v>821</v>
      </c>
      <c r="F562">
        <v>2023</v>
      </c>
      <c r="G562" t="str">
        <f>TRIM(RIGHT(Table156[[#This Row],[Item-Codigo]], LEN(Table156[[#This Row],[Item-Codigo]]) - FIND("|", CONCATENATE(B562), FIND("|", CONCATENATE(B562)) + 1)))</f>
        <v>KG</v>
      </c>
      <c r="H56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1073</v>
      </c>
      <c r="I562" s="40">
        <v>1073</v>
      </c>
      <c r="J56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1689.3605751</v>
      </c>
      <c r="K562" t="s">
        <v>81</v>
      </c>
    </row>
    <row r="563" spans="1:11" x14ac:dyDescent="0.35">
      <c r="A563" t="s">
        <v>305</v>
      </c>
      <c r="B563" t="s">
        <v>334</v>
      </c>
      <c r="C563" t="s">
        <v>323</v>
      </c>
      <c r="D563">
        <v>4.6399999999999997</v>
      </c>
      <c r="E563" t="s">
        <v>821</v>
      </c>
      <c r="F563">
        <v>2023</v>
      </c>
      <c r="G563" t="str">
        <f>TRIM(RIGHT(Table156[[#This Row],[Item-Codigo]], LEN(Table156[[#This Row],[Item-Codigo]]) - FIND("|", CONCATENATE(B563), FIND("|", CONCATENATE(B563)) + 1)))</f>
        <v>KG</v>
      </c>
      <c r="H56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475</v>
      </c>
      <c r="I563" s="40">
        <v>475</v>
      </c>
      <c r="J56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4640</v>
      </c>
      <c r="K563" t="s">
        <v>82</v>
      </c>
    </row>
    <row r="564" spans="1:11" x14ac:dyDescent="0.35">
      <c r="A564" t="s">
        <v>305</v>
      </c>
      <c r="B564" t="s">
        <v>335</v>
      </c>
      <c r="C564" t="s">
        <v>309</v>
      </c>
      <c r="D564">
        <v>1.6</v>
      </c>
      <c r="E564" t="s">
        <v>821</v>
      </c>
      <c r="F564">
        <v>2023</v>
      </c>
      <c r="G564" t="str">
        <f>TRIM(RIGHT(Table156[[#This Row],[Item-Codigo]], LEN(Table156[[#This Row],[Item-Codigo]]) - FIND("|", CONCATENATE(B564), FIND("|", CONCATENATE(B564)) + 1)))</f>
        <v>KG</v>
      </c>
      <c r="H56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131.3</v>
      </c>
      <c r="I564" s="40" t="s">
        <v>523</v>
      </c>
      <c r="J56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1600</v>
      </c>
      <c r="K564" t="s">
        <v>83</v>
      </c>
    </row>
    <row r="565" spans="1:11" x14ac:dyDescent="0.35">
      <c r="A565" t="s">
        <v>305</v>
      </c>
      <c r="B565" t="s">
        <v>336</v>
      </c>
      <c r="C565" t="s">
        <v>327</v>
      </c>
      <c r="D565">
        <v>5</v>
      </c>
      <c r="E565" t="s">
        <v>821</v>
      </c>
      <c r="F565">
        <v>2023</v>
      </c>
      <c r="G565" t="str">
        <f>TRIM(RIGHT(Table156[[#This Row],[Item-Codigo]], LEN(Table156[[#This Row],[Item-Codigo]]) - FIND("|", CONCATENATE(B565), FIND("|", CONCATENATE(B565)) + 1)))</f>
        <v>KG</v>
      </c>
      <c r="H56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340.1</v>
      </c>
      <c r="I565" s="40" t="s">
        <v>529</v>
      </c>
      <c r="J56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5000</v>
      </c>
      <c r="K565" t="s">
        <v>84</v>
      </c>
    </row>
    <row r="566" spans="1:11" x14ac:dyDescent="0.35">
      <c r="A566" t="s">
        <v>305</v>
      </c>
      <c r="B566" t="s">
        <v>337</v>
      </c>
      <c r="C566" t="s">
        <v>307</v>
      </c>
      <c r="D566">
        <v>13.5</v>
      </c>
      <c r="E566" t="s">
        <v>821</v>
      </c>
      <c r="F566">
        <v>2023</v>
      </c>
      <c r="G566" t="str">
        <f>TRIM(RIGHT(Table156[[#This Row],[Item-Codigo]], LEN(Table156[[#This Row],[Item-Codigo]]) - FIND("|", CONCATENATE(B566), FIND("|", CONCATENATE(B566)) + 1)))</f>
        <v>KG</v>
      </c>
      <c r="H56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936</v>
      </c>
      <c r="I566" s="40">
        <v>936</v>
      </c>
      <c r="J56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13500</v>
      </c>
      <c r="K566" t="s">
        <v>85</v>
      </c>
    </row>
    <row r="567" spans="1:11" x14ac:dyDescent="0.35">
      <c r="A567" t="s">
        <v>305</v>
      </c>
      <c r="B567" t="s">
        <v>338</v>
      </c>
      <c r="C567" t="s">
        <v>307</v>
      </c>
      <c r="D567">
        <v>11</v>
      </c>
      <c r="E567" t="s">
        <v>821</v>
      </c>
      <c r="F567">
        <v>2023</v>
      </c>
      <c r="G567" t="str">
        <f>TRIM(RIGHT(Table156[[#This Row],[Item-Codigo]], LEN(Table156[[#This Row],[Item-Codigo]]) - FIND("|", CONCATENATE(B567), FIND("|", CONCATENATE(B567)) + 1)))</f>
        <v>KG</v>
      </c>
      <c r="H56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937</v>
      </c>
      <c r="I567" s="40">
        <v>937</v>
      </c>
      <c r="J56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11000</v>
      </c>
      <c r="K567" t="s">
        <v>86</v>
      </c>
    </row>
    <row r="568" spans="1:11" x14ac:dyDescent="0.35">
      <c r="A568" t="s">
        <v>305</v>
      </c>
      <c r="B568" t="s">
        <v>340</v>
      </c>
      <c r="C568" t="s">
        <v>327</v>
      </c>
      <c r="D568">
        <v>11.25</v>
      </c>
      <c r="E568" t="s">
        <v>821</v>
      </c>
      <c r="F568">
        <v>2023</v>
      </c>
      <c r="G568" t="str">
        <f>TRIM(RIGHT(Table156[[#This Row],[Item-Codigo]], LEN(Table156[[#This Row],[Item-Codigo]]) - FIND("|", CONCATENATE(B568), FIND("|", CONCATENATE(B568)) + 1)))</f>
        <v>KG</v>
      </c>
      <c r="H56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877</v>
      </c>
      <c r="I568" s="40">
        <v>877</v>
      </c>
      <c r="J56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11250</v>
      </c>
      <c r="K568" t="s">
        <v>1074</v>
      </c>
    </row>
    <row r="569" spans="1:11" x14ac:dyDescent="0.35">
      <c r="A569" t="s">
        <v>305</v>
      </c>
      <c r="B569" t="s">
        <v>343</v>
      </c>
      <c r="C569" t="s">
        <v>385</v>
      </c>
      <c r="D569">
        <v>560</v>
      </c>
      <c r="E569" t="s">
        <v>821</v>
      </c>
      <c r="F569">
        <v>2023</v>
      </c>
      <c r="G569" t="str">
        <f>TRIM(RIGHT(Table156[[#This Row],[Item-Codigo]], LEN(Table156[[#This Row],[Item-Codigo]]) - FIND("|", CONCATENATE(B569), FIND("|", CONCATENATE(B569)) + 1)))</f>
        <v>TM</v>
      </c>
      <c r="H56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719</v>
      </c>
      <c r="I569" s="40">
        <v>719</v>
      </c>
      <c r="J56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</v>
      </c>
      <c r="K569" t="s">
        <v>1077</v>
      </c>
    </row>
    <row r="570" spans="1:11" x14ac:dyDescent="0.35">
      <c r="A570" t="s">
        <v>305</v>
      </c>
      <c r="B570" t="s">
        <v>344</v>
      </c>
      <c r="C570" t="s">
        <v>345</v>
      </c>
      <c r="D570">
        <v>95</v>
      </c>
      <c r="E570" t="s">
        <v>821</v>
      </c>
      <c r="F570">
        <v>2023</v>
      </c>
      <c r="G570" t="str">
        <f>TRIM(RIGHT(Table156[[#This Row],[Item-Codigo]], LEN(Table156[[#This Row],[Item-Codigo]]) - FIND("|", CONCATENATE(B570), FIND("|", CONCATENATE(B570)) + 1)))</f>
        <v>KG</v>
      </c>
      <c r="H57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912.5</v>
      </c>
      <c r="I570" s="40" t="s">
        <v>555</v>
      </c>
      <c r="J57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95000</v>
      </c>
      <c r="K570" t="s">
        <v>90</v>
      </c>
    </row>
    <row r="571" spans="1:11" x14ac:dyDescent="0.35">
      <c r="A571" t="s">
        <v>305</v>
      </c>
      <c r="B571" t="s">
        <v>347</v>
      </c>
      <c r="C571" t="s">
        <v>348</v>
      </c>
      <c r="D571">
        <v>19</v>
      </c>
      <c r="E571" t="s">
        <v>821</v>
      </c>
      <c r="F571">
        <v>2023</v>
      </c>
      <c r="G571" t="str">
        <f>TRIM(RIGHT(Table156[[#This Row],[Item-Codigo]], LEN(Table156[[#This Row],[Item-Codigo]]) - FIND("|", CONCATENATE(B571), FIND("|", CONCATENATE(B571)) + 1)))</f>
        <v>KG</v>
      </c>
      <c r="H57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550</v>
      </c>
      <c r="I571" s="40">
        <v>550</v>
      </c>
      <c r="J57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19000</v>
      </c>
      <c r="K571" t="s">
        <v>92</v>
      </c>
    </row>
    <row r="572" spans="1:11" x14ac:dyDescent="0.35">
      <c r="A572" t="s">
        <v>305</v>
      </c>
      <c r="B572" t="s">
        <v>907</v>
      </c>
      <c r="C572" t="s">
        <v>345</v>
      </c>
      <c r="D572">
        <v>12.6</v>
      </c>
      <c r="E572" t="s">
        <v>821</v>
      </c>
      <c r="F572">
        <v>2023</v>
      </c>
      <c r="G572" t="str">
        <f>TRIM(RIGHT(Table156[[#This Row],[Item-Codigo]], LEN(Table156[[#This Row],[Item-Codigo]]) - FIND("|", CONCATENATE(B572), FIND("|", CONCATENATE(B572)) + 1)))</f>
        <v>KG</v>
      </c>
      <c r="H57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549.1</v>
      </c>
      <c r="I572" s="40" t="s">
        <v>940</v>
      </c>
      <c r="J57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12600</v>
      </c>
      <c r="K572" t="s">
        <v>92</v>
      </c>
    </row>
    <row r="573" spans="1:11" x14ac:dyDescent="0.35">
      <c r="A573" t="s">
        <v>305</v>
      </c>
      <c r="B573" t="s">
        <v>350</v>
      </c>
      <c r="C573" t="s">
        <v>351</v>
      </c>
      <c r="D573">
        <v>1.75</v>
      </c>
      <c r="E573" t="s">
        <v>821</v>
      </c>
      <c r="F573">
        <v>2023</v>
      </c>
      <c r="G573" t="str">
        <f>TRIM(RIGHT(Table156[[#This Row],[Item-Codigo]], LEN(Table156[[#This Row],[Item-Codigo]]) - FIND("|", CONCATENATE(B573), FIND("|", CONCATENATE(B573)) + 1)))</f>
        <v>KG</v>
      </c>
      <c r="H57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173</v>
      </c>
      <c r="I573" s="40">
        <v>173</v>
      </c>
      <c r="J57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1750</v>
      </c>
      <c r="K573" t="s">
        <v>138</v>
      </c>
    </row>
    <row r="574" spans="1:11" x14ac:dyDescent="0.35">
      <c r="A574" t="s">
        <v>305</v>
      </c>
      <c r="B574" t="s">
        <v>352</v>
      </c>
      <c r="C574" t="s">
        <v>353</v>
      </c>
      <c r="D574">
        <v>9.35</v>
      </c>
      <c r="E574" t="s">
        <v>821</v>
      </c>
      <c r="F574">
        <v>2023</v>
      </c>
      <c r="G574" t="str">
        <f>TRIM(RIGHT(Table156[[#This Row],[Item-Codigo]], LEN(Table156[[#This Row],[Item-Codigo]]) - FIND("|", CONCATENATE(B574), FIND("|", CONCATENATE(B574)) + 1)))</f>
        <v>KG</v>
      </c>
      <c r="H57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742</v>
      </c>
      <c r="I574" s="40">
        <v>742</v>
      </c>
      <c r="J57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9350</v>
      </c>
      <c r="K574" t="s">
        <v>147</v>
      </c>
    </row>
    <row r="575" spans="1:11" x14ac:dyDescent="0.35">
      <c r="A575" t="s">
        <v>305</v>
      </c>
      <c r="B575" t="s">
        <v>354</v>
      </c>
      <c r="C575" t="s">
        <v>353</v>
      </c>
      <c r="D575">
        <v>9.24</v>
      </c>
      <c r="E575" t="s">
        <v>821</v>
      </c>
      <c r="F575">
        <v>2023</v>
      </c>
      <c r="G575" t="str">
        <f>TRIM(RIGHT(Table156[[#This Row],[Item-Codigo]], LEN(Table156[[#This Row],[Item-Codigo]]) - FIND("|", CONCATENATE(B575), FIND("|", CONCATENATE(B575)) + 1)))</f>
        <v>KG</v>
      </c>
      <c r="H57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741</v>
      </c>
      <c r="I575" s="40">
        <v>741</v>
      </c>
      <c r="J57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9240</v>
      </c>
      <c r="K575" t="s">
        <v>146</v>
      </c>
    </row>
    <row r="576" spans="1:11" x14ac:dyDescent="0.35">
      <c r="A576" t="s">
        <v>305</v>
      </c>
      <c r="B576" t="s">
        <v>355</v>
      </c>
      <c r="C576" t="s">
        <v>353</v>
      </c>
      <c r="D576">
        <v>8.85</v>
      </c>
      <c r="E576" t="s">
        <v>821</v>
      </c>
      <c r="F576">
        <v>2023</v>
      </c>
      <c r="G576" t="str">
        <f>TRIM(RIGHT(Table156[[#This Row],[Item-Codigo]], LEN(Table156[[#This Row],[Item-Codigo]]) - FIND("|", CONCATENATE(B576), FIND("|", CONCATENATE(B576)) + 1)))</f>
        <v>KG</v>
      </c>
      <c r="H57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740</v>
      </c>
      <c r="I576" s="40">
        <v>740</v>
      </c>
      <c r="J57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8850</v>
      </c>
      <c r="K576" t="s">
        <v>143</v>
      </c>
    </row>
    <row r="577" spans="1:11" x14ac:dyDescent="0.35">
      <c r="A577" t="s">
        <v>305</v>
      </c>
      <c r="B577" t="s">
        <v>908</v>
      </c>
      <c r="C577" t="s">
        <v>351</v>
      </c>
      <c r="D577">
        <v>10.3</v>
      </c>
      <c r="E577" t="s">
        <v>821</v>
      </c>
      <c r="F577">
        <v>2023</v>
      </c>
      <c r="G577" t="str">
        <f>TRIM(RIGHT(Table156[[#This Row],[Item-Codigo]], LEN(Table156[[#This Row],[Item-Codigo]]) - FIND("|", CONCATENATE(B577), FIND("|", CONCATENATE(B577)) + 1)))</f>
        <v>KG</v>
      </c>
      <c r="H57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903.18</v>
      </c>
      <c r="I577" s="40" t="s">
        <v>941</v>
      </c>
      <c r="J57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10300</v>
      </c>
      <c r="K577" t="s">
        <v>1233</v>
      </c>
    </row>
    <row r="578" spans="1:11" x14ac:dyDescent="0.35">
      <c r="A578" t="s">
        <v>305</v>
      </c>
      <c r="B578" t="s">
        <v>362</v>
      </c>
      <c r="C578" t="s">
        <v>363</v>
      </c>
      <c r="D578">
        <v>1.3148</v>
      </c>
      <c r="E578" t="s">
        <v>821</v>
      </c>
      <c r="F578">
        <v>2023</v>
      </c>
      <c r="G578" t="str">
        <f>TRIM(RIGHT(Table156[[#This Row],[Item-Codigo]], LEN(Table156[[#This Row],[Item-Codigo]]) - FIND("|", CONCATENATE(B578), FIND("|", CONCATENATE(B578)) + 1)))</f>
        <v>KG</v>
      </c>
      <c r="H57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439</v>
      </c>
      <c r="I578" s="40">
        <v>439</v>
      </c>
      <c r="J57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1314.8</v>
      </c>
      <c r="K578" t="s">
        <v>137</v>
      </c>
    </row>
    <row r="579" spans="1:11" x14ac:dyDescent="0.35">
      <c r="A579" t="s">
        <v>305</v>
      </c>
      <c r="B579" t="s">
        <v>364</v>
      </c>
      <c r="C579" t="s">
        <v>365</v>
      </c>
      <c r="D579">
        <v>1.43</v>
      </c>
      <c r="E579" t="s">
        <v>821</v>
      </c>
      <c r="F579">
        <v>2023</v>
      </c>
      <c r="G579" t="str">
        <f>TRIM(RIGHT(Table156[[#This Row],[Item-Codigo]], LEN(Table156[[#This Row],[Item-Codigo]]) - FIND("|", CONCATENATE(B579), FIND("|", CONCATENATE(B579)) + 1)))</f>
        <v>KG</v>
      </c>
      <c r="H57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488.1</v>
      </c>
      <c r="I579" s="40" t="s">
        <v>538</v>
      </c>
      <c r="J57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1430</v>
      </c>
      <c r="K579" t="s">
        <v>149</v>
      </c>
    </row>
    <row r="580" spans="1:11" x14ac:dyDescent="0.35">
      <c r="A580" t="s">
        <v>305</v>
      </c>
      <c r="B580" t="s">
        <v>366</v>
      </c>
      <c r="C580" t="s">
        <v>365</v>
      </c>
      <c r="D580">
        <v>2.89</v>
      </c>
      <c r="E580" t="s">
        <v>821</v>
      </c>
      <c r="F580">
        <v>2023</v>
      </c>
      <c r="G580" t="str">
        <f>TRIM(RIGHT(Table156[[#This Row],[Item-Codigo]], LEN(Table156[[#This Row],[Item-Codigo]]) - FIND("|", CONCATENATE(B580), FIND("|", CONCATENATE(B580)) + 1)))</f>
        <v>KG</v>
      </c>
      <c r="H58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499.11</v>
      </c>
      <c r="I580" s="40" t="s">
        <v>543</v>
      </c>
      <c r="J58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2890</v>
      </c>
      <c r="K580" t="s">
        <v>142</v>
      </c>
    </row>
    <row r="581" spans="1:11" x14ac:dyDescent="0.35">
      <c r="A581" t="s">
        <v>305</v>
      </c>
      <c r="B581" t="s">
        <v>372</v>
      </c>
      <c r="C581" t="s">
        <v>373</v>
      </c>
      <c r="D581">
        <v>1.2</v>
      </c>
      <c r="E581" t="s">
        <v>821</v>
      </c>
      <c r="F581">
        <v>2023</v>
      </c>
      <c r="G581" t="str">
        <f>TRIM(RIGHT(Table156[[#This Row],[Item-Codigo]], LEN(Table156[[#This Row],[Item-Codigo]]) - FIND("|", CONCATENATE(B581), FIND("|", CONCATENATE(B581)) + 1)))</f>
        <v>KG</v>
      </c>
      <c r="H58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701.2</v>
      </c>
      <c r="I581" s="40" t="s">
        <v>553</v>
      </c>
      <c r="J58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1200</v>
      </c>
      <c r="K581" t="s">
        <v>140</v>
      </c>
    </row>
    <row r="582" spans="1:11" x14ac:dyDescent="0.35">
      <c r="A582" t="s">
        <v>305</v>
      </c>
      <c r="B582" t="s">
        <v>375</v>
      </c>
      <c r="C582" t="s">
        <v>317</v>
      </c>
      <c r="D582">
        <v>6</v>
      </c>
      <c r="E582" t="s">
        <v>821</v>
      </c>
      <c r="F582">
        <v>2023</v>
      </c>
      <c r="G582" t="str">
        <f>TRIM(RIGHT(Table156[[#This Row],[Item-Codigo]], LEN(Table156[[#This Row],[Item-Codigo]]) - FIND("|", CONCATENATE(B582), FIND("|", CONCATENATE(B582)) + 1)))</f>
        <v>KG</v>
      </c>
      <c r="H58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945</v>
      </c>
      <c r="I582" s="40">
        <v>945</v>
      </c>
      <c r="J58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582" t="s">
        <v>148</v>
      </c>
    </row>
    <row r="583" spans="1:11" x14ac:dyDescent="0.35">
      <c r="A583" t="s">
        <v>305</v>
      </c>
      <c r="B583" t="s">
        <v>376</v>
      </c>
      <c r="C583" t="s">
        <v>377</v>
      </c>
      <c r="D583">
        <v>2.6</v>
      </c>
      <c r="E583" t="s">
        <v>821</v>
      </c>
      <c r="F583">
        <v>2023</v>
      </c>
      <c r="G583" t="str">
        <f>TRIM(RIGHT(Table156[[#This Row],[Item-Codigo]], LEN(Table156[[#This Row],[Item-Codigo]]) - FIND("|", CONCATENATE(B583), FIND("|", CONCATENATE(B583)) + 1)))</f>
        <v>KG</v>
      </c>
      <c r="H58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311</v>
      </c>
      <c r="I583" s="40">
        <v>311</v>
      </c>
      <c r="J58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2600</v>
      </c>
      <c r="K583" t="s">
        <v>168</v>
      </c>
    </row>
    <row r="584" spans="1:11" x14ac:dyDescent="0.35">
      <c r="A584" t="s">
        <v>305</v>
      </c>
      <c r="B584" t="s">
        <v>378</v>
      </c>
      <c r="C584" t="s">
        <v>377</v>
      </c>
      <c r="D584">
        <v>2.15</v>
      </c>
      <c r="E584" t="s">
        <v>821</v>
      </c>
      <c r="F584">
        <v>2023</v>
      </c>
      <c r="G584" t="str">
        <f>TRIM(RIGHT(Table156[[#This Row],[Item-Codigo]], LEN(Table156[[#This Row],[Item-Codigo]]) - FIND("|", CONCATENATE(B584), FIND("|", CONCATENATE(B584)) + 1)))</f>
        <v>KG</v>
      </c>
      <c r="H58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316</v>
      </c>
      <c r="I584" s="40">
        <v>316</v>
      </c>
      <c r="J58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2150</v>
      </c>
      <c r="K584" t="s">
        <v>165</v>
      </c>
    </row>
    <row r="585" spans="1:11" x14ac:dyDescent="0.35">
      <c r="A585" t="s">
        <v>305</v>
      </c>
      <c r="B585" t="s">
        <v>380</v>
      </c>
      <c r="C585" t="s">
        <v>381</v>
      </c>
      <c r="D585">
        <v>4.2</v>
      </c>
      <c r="E585" t="s">
        <v>821</v>
      </c>
      <c r="F585">
        <v>2023</v>
      </c>
      <c r="G585" t="str">
        <f>TRIM(RIGHT(Table156[[#This Row],[Item-Codigo]], LEN(Table156[[#This Row],[Item-Codigo]]) - FIND("|", CONCATENATE(B585), FIND("|", CONCATENATE(B585)) + 1)))</f>
        <v>KG</v>
      </c>
      <c r="H58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706</v>
      </c>
      <c r="I585" s="40">
        <v>706</v>
      </c>
      <c r="J58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4200</v>
      </c>
      <c r="K585" t="s">
        <v>156</v>
      </c>
    </row>
    <row r="586" spans="1:11" x14ac:dyDescent="0.35">
      <c r="A586" t="s">
        <v>305</v>
      </c>
      <c r="B586" t="s">
        <v>382</v>
      </c>
      <c r="C586" t="s">
        <v>327</v>
      </c>
      <c r="D586">
        <v>8</v>
      </c>
      <c r="E586" t="s">
        <v>821</v>
      </c>
      <c r="F586">
        <v>2023</v>
      </c>
      <c r="G586" t="str">
        <f>TRIM(RIGHT(Table156[[#This Row],[Item-Codigo]], LEN(Table156[[#This Row],[Item-Codigo]]) - FIND("|", CONCATENATE(B586), FIND("|", CONCATENATE(B586)) + 1)))</f>
        <v>KG</v>
      </c>
      <c r="H58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68</v>
      </c>
      <c r="I586" s="40">
        <v>68</v>
      </c>
      <c r="J58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8000</v>
      </c>
      <c r="K586" t="s">
        <v>160</v>
      </c>
    </row>
    <row r="587" spans="1:11" x14ac:dyDescent="0.35">
      <c r="A587" t="s">
        <v>305</v>
      </c>
      <c r="B587" t="s">
        <v>383</v>
      </c>
      <c r="C587" t="s">
        <v>317</v>
      </c>
      <c r="D587">
        <v>7.8</v>
      </c>
      <c r="E587" t="s">
        <v>821</v>
      </c>
      <c r="F587">
        <v>2023</v>
      </c>
      <c r="G587" t="str">
        <f>TRIM(RIGHT(Table156[[#This Row],[Item-Codigo]], LEN(Table156[[#This Row],[Item-Codigo]]) - FIND("|", CONCATENATE(B587), FIND("|", CONCATENATE(B587)) + 1)))</f>
        <v>KG</v>
      </c>
      <c r="H58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1059</v>
      </c>
      <c r="I587" s="40">
        <v>1059</v>
      </c>
      <c r="J58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7800</v>
      </c>
      <c r="K587" t="s">
        <v>151</v>
      </c>
    </row>
    <row r="588" spans="1:11" x14ac:dyDescent="0.35">
      <c r="A588" t="s">
        <v>305</v>
      </c>
      <c r="B588" t="s">
        <v>384</v>
      </c>
      <c r="C588" t="s">
        <v>385</v>
      </c>
      <c r="D588">
        <v>40</v>
      </c>
      <c r="E588" t="s">
        <v>821</v>
      </c>
      <c r="F588">
        <v>2023</v>
      </c>
      <c r="G588" t="str">
        <f>TRIM(RIGHT(Table156[[#This Row],[Item-Codigo]], LEN(Table156[[#This Row],[Item-Codigo]]) - FIND("|", CONCATENATE(B588), FIND("|", CONCATENATE(B588)) + 1)))</f>
        <v>KG</v>
      </c>
      <c r="H58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527.1</v>
      </c>
      <c r="I588" s="40" t="s">
        <v>547</v>
      </c>
      <c r="J58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40000</v>
      </c>
      <c r="K588" t="s">
        <v>1078</v>
      </c>
    </row>
    <row r="589" spans="1:11" x14ac:dyDescent="0.35">
      <c r="A589" t="s">
        <v>305</v>
      </c>
      <c r="B589" t="s">
        <v>386</v>
      </c>
      <c r="C589" t="s">
        <v>351</v>
      </c>
      <c r="D589">
        <v>5.75</v>
      </c>
      <c r="E589" t="s">
        <v>821</v>
      </c>
      <c r="F589">
        <v>2023</v>
      </c>
      <c r="G589" t="str">
        <f>TRIM(RIGHT(Table156[[#This Row],[Item-Codigo]], LEN(Table156[[#This Row],[Item-Codigo]]) - FIND("|", CONCATENATE(B589), FIND("|", CONCATENATE(B589)) + 1)))</f>
        <v>KG</v>
      </c>
      <c r="H58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110.2</v>
      </c>
      <c r="I589" s="40" t="s">
        <v>522</v>
      </c>
      <c r="J58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5750</v>
      </c>
      <c r="K589" t="s">
        <v>170</v>
      </c>
    </row>
    <row r="590" spans="1:11" x14ac:dyDescent="0.35">
      <c r="A590" t="s">
        <v>305</v>
      </c>
      <c r="B590" t="s">
        <v>388</v>
      </c>
      <c r="C590" t="s">
        <v>321</v>
      </c>
      <c r="D590">
        <v>7.4</v>
      </c>
      <c r="E590" t="s">
        <v>821</v>
      </c>
      <c r="F590">
        <v>2023</v>
      </c>
      <c r="G590" t="str">
        <f>TRIM(RIGHT(Table156[[#This Row],[Item-Codigo]], LEN(Table156[[#This Row],[Item-Codigo]]) - FIND("|", CONCATENATE(B590), FIND("|", CONCATENATE(B590)) + 1)))</f>
        <v>KG</v>
      </c>
      <c r="H59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1068</v>
      </c>
      <c r="I590" s="40">
        <v>1068</v>
      </c>
      <c r="J59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7400</v>
      </c>
      <c r="K590" t="s">
        <v>145</v>
      </c>
    </row>
    <row r="591" spans="1:11" x14ac:dyDescent="0.35">
      <c r="A591" t="s">
        <v>305</v>
      </c>
      <c r="B591" t="s">
        <v>389</v>
      </c>
      <c r="C591" t="s">
        <v>390</v>
      </c>
      <c r="D591">
        <v>1.05</v>
      </c>
      <c r="E591" t="s">
        <v>821</v>
      </c>
      <c r="F591">
        <v>2023</v>
      </c>
      <c r="G591" t="str">
        <f>TRIM(RIGHT(Table156[[#This Row],[Item-Codigo]], LEN(Table156[[#This Row],[Item-Codigo]]) - FIND("|", CONCATENATE(B591), FIND("|", CONCATENATE(B591)) + 1)))</f>
        <v>KG</v>
      </c>
      <c r="H59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806</v>
      </c>
      <c r="I591" s="40">
        <v>806</v>
      </c>
      <c r="J59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1050</v>
      </c>
      <c r="K591" t="s">
        <v>134</v>
      </c>
    </row>
    <row r="592" spans="1:11" x14ac:dyDescent="0.35">
      <c r="A592" t="s">
        <v>305</v>
      </c>
      <c r="B592" t="s">
        <v>391</v>
      </c>
      <c r="C592" t="s">
        <v>390</v>
      </c>
      <c r="D592">
        <v>2</v>
      </c>
      <c r="E592" t="s">
        <v>821</v>
      </c>
      <c r="F592">
        <v>2023</v>
      </c>
      <c r="G592" t="str">
        <f>TRIM(RIGHT(Table156[[#This Row],[Item-Codigo]], LEN(Table156[[#This Row],[Item-Codigo]]) - FIND("|", CONCATENATE(B592), FIND("|", CONCATENATE(B592)) + 1)))</f>
        <v>KG</v>
      </c>
      <c r="H59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810</v>
      </c>
      <c r="I592" s="40">
        <v>810</v>
      </c>
      <c r="J59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2000</v>
      </c>
      <c r="K592" t="s">
        <v>144</v>
      </c>
    </row>
    <row r="593" spans="1:11" x14ac:dyDescent="0.35">
      <c r="A593" t="s">
        <v>305</v>
      </c>
      <c r="B593" t="s">
        <v>397</v>
      </c>
      <c r="C593" t="s">
        <v>327</v>
      </c>
      <c r="D593">
        <v>9</v>
      </c>
      <c r="E593" t="s">
        <v>821</v>
      </c>
      <c r="F593">
        <v>2023</v>
      </c>
      <c r="G593" t="str">
        <f>TRIM(RIGHT(Table156[[#This Row],[Item-Codigo]], LEN(Table156[[#This Row],[Item-Codigo]]) - FIND("|", CONCATENATE(B593), FIND("|", CONCATENATE(B593)) + 1)))</f>
        <v>KG</v>
      </c>
      <c r="H59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933</v>
      </c>
      <c r="I593" s="40">
        <v>933</v>
      </c>
      <c r="J59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593" t="s">
        <v>163</v>
      </c>
    </row>
    <row r="594" spans="1:11" x14ac:dyDescent="0.35">
      <c r="A594" t="s">
        <v>305</v>
      </c>
      <c r="B594" t="s">
        <v>919</v>
      </c>
      <c r="C594" t="s">
        <v>399</v>
      </c>
      <c r="D594">
        <v>4.22</v>
      </c>
      <c r="E594" t="s">
        <v>821</v>
      </c>
      <c r="F594">
        <v>2023</v>
      </c>
      <c r="G594" t="str">
        <f>TRIM(RIGHT(Table156[[#This Row],[Item-Codigo]], LEN(Table156[[#This Row],[Item-Codigo]]) - FIND("|", CONCATENATE(B594), FIND("|", CONCATENATE(B594)) + 1)))</f>
        <v>S 25KG</v>
      </c>
      <c r="H59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704</v>
      </c>
      <c r="I594" s="40">
        <v>704</v>
      </c>
      <c r="J59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4220</v>
      </c>
      <c r="K594" t="s">
        <v>132</v>
      </c>
    </row>
    <row r="595" spans="1:11" x14ac:dyDescent="0.35">
      <c r="A595" t="s">
        <v>305</v>
      </c>
      <c r="B595" t="s">
        <v>921</v>
      </c>
      <c r="C595" t="s">
        <v>348</v>
      </c>
      <c r="D595">
        <v>4</v>
      </c>
      <c r="E595" t="s">
        <v>821</v>
      </c>
      <c r="F595">
        <v>2023</v>
      </c>
      <c r="G595" t="str">
        <f>TRIM(RIGHT(Table156[[#This Row],[Item-Codigo]], LEN(Table156[[#This Row],[Item-Codigo]]) - FIND("|", CONCATENATE(B595), FIND("|", CONCATENATE(B595)) + 1)))</f>
        <v>KG</v>
      </c>
      <c r="H59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475.1</v>
      </c>
      <c r="I595" s="40" t="s">
        <v>537</v>
      </c>
      <c r="J59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</v>
      </c>
      <c r="K595" t="s">
        <v>82</v>
      </c>
    </row>
    <row r="596" spans="1:11" x14ac:dyDescent="0.35">
      <c r="A596" t="s">
        <v>305</v>
      </c>
      <c r="B596" t="s">
        <v>922</v>
      </c>
      <c r="C596" t="s">
        <v>385</v>
      </c>
      <c r="D596">
        <v>0.95</v>
      </c>
      <c r="E596" t="s">
        <v>821</v>
      </c>
      <c r="F596">
        <v>2023</v>
      </c>
      <c r="G596" t="str">
        <f>TRIM(RIGHT(Table156[[#This Row],[Item-Codigo]], LEN(Table156[[#This Row],[Item-Codigo]]) - FIND("|", CONCATENATE(B596), FIND("|", CONCATENATE(B596)) + 1)))</f>
        <v>KG</v>
      </c>
      <c r="H59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701.3</v>
      </c>
      <c r="I596" s="40" t="s">
        <v>943</v>
      </c>
      <c r="J59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950</v>
      </c>
      <c r="K596" t="s">
        <v>1234</v>
      </c>
    </row>
    <row r="597" spans="1:11" x14ac:dyDescent="0.35">
      <c r="A597" t="s">
        <v>305</v>
      </c>
      <c r="B597" t="s">
        <v>401</v>
      </c>
      <c r="C597" t="s">
        <v>345</v>
      </c>
      <c r="D597">
        <v>33.85</v>
      </c>
      <c r="E597" t="s">
        <v>821</v>
      </c>
      <c r="F597">
        <v>2023</v>
      </c>
      <c r="G597" t="str">
        <f>TRIM(RIGHT(Table156[[#This Row],[Item-Codigo]], LEN(Table156[[#This Row],[Item-Codigo]]) - FIND("|", CONCATENATE(B597), FIND("|", CONCATENATE(B597)) + 1)))</f>
        <v>KG</v>
      </c>
      <c r="H59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1049</v>
      </c>
      <c r="I597" s="40">
        <v>1049</v>
      </c>
      <c r="J59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33850</v>
      </c>
      <c r="K597" t="s">
        <v>973</v>
      </c>
    </row>
    <row r="598" spans="1:11" x14ac:dyDescent="0.35">
      <c r="A598" t="s">
        <v>305</v>
      </c>
      <c r="B598" t="s">
        <v>402</v>
      </c>
      <c r="C598" t="s">
        <v>381</v>
      </c>
      <c r="D598">
        <v>3.2</v>
      </c>
      <c r="E598" t="s">
        <v>821</v>
      </c>
      <c r="F598">
        <v>2023</v>
      </c>
      <c r="G598" t="str">
        <f>TRIM(RIGHT(Table156[[#This Row],[Item-Codigo]], LEN(Table156[[#This Row],[Item-Codigo]]) - FIND("|", CONCATENATE(B598), FIND("|", CONCATENATE(B598)) + 1)))</f>
        <v>KG</v>
      </c>
      <c r="H59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716</v>
      </c>
      <c r="I598" s="40">
        <v>716</v>
      </c>
      <c r="J59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3200</v>
      </c>
      <c r="K598" t="s">
        <v>162</v>
      </c>
    </row>
    <row r="599" spans="1:11" x14ac:dyDescent="0.35">
      <c r="A599" t="s">
        <v>305</v>
      </c>
      <c r="B599" t="s">
        <v>405</v>
      </c>
      <c r="C599" t="s">
        <v>215</v>
      </c>
      <c r="D599">
        <v>845</v>
      </c>
      <c r="E599" t="s">
        <v>821</v>
      </c>
      <c r="F599">
        <v>2023</v>
      </c>
      <c r="G599" t="str">
        <f>TRIM(RIGHT(Table156[[#This Row],[Item-Codigo]], LEN(Table156[[#This Row],[Item-Codigo]]) - FIND("|", CONCATENATE(B599), FIND("|", CONCATENATE(B599)) + 1)))</f>
        <v>TM</v>
      </c>
      <c r="H59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497.5</v>
      </c>
      <c r="I599" s="40" t="s">
        <v>540</v>
      </c>
      <c r="J59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845</v>
      </c>
      <c r="K599" t="s">
        <v>133</v>
      </c>
    </row>
    <row r="600" spans="1:11" x14ac:dyDescent="0.35">
      <c r="A600" t="s">
        <v>305</v>
      </c>
      <c r="B600" t="s">
        <v>407</v>
      </c>
      <c r="C600" t="s">
        <v>390</v>
      </c>
      <c r="D600">
        <v>1.18</v>
      </c>
      <c r="E600" t="s">
        <v>821</v>
      </c>
      <c r="F600">
        <v>2023</v>
      </c>
      <c r="G600" t="str">
        <f>TRIM(RIGHT(Table156[[#This Row],[Item-Codigo]], LEN(Table156[[#This Row],[Item-Codigo]]) - FIND("|", CONCATENATE(B600), FIND("|", CONCATENATE(B600)) + 1)))</f>
        <v>KG</v>
      </c>
      <c r="H60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46.5</v>
      </c>
      <c r="I600" s="40" t="s">
        <v>535</v>
      </c>
      <c r="J60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1180</v>
      </c>
      <c r="K600" t="s">
        <v>161</v>
      </c>
    </row>
    <row r="601" spans="1:11" x14ac:dyDescent="0.35">
      <c r="A601" t="s">
        <v>305</v>
      </c>
      <c r="B601" t="s">
        <v>410</v>
      </c>
      <c r="C601" t="s">
        <v>385</v>
      </c>
      <c r="D601">
        <v>4.5</v>
      </c>
      <c r="E601" t="s">
        <v>821</v>
      </c>
      <c r="F601">
        <v>2023</v>
      </c>
      <c r="G601" t="str">
        <f>TRIM(RIGHT(Table156[[#This Row],[Item-Codigo]], LEN(Table156[[#This Row],[Item-Codigo]]) - FIND("|", CONCATENATE(B601), FIND("|", CONCATENATE(B601)) + 1)))</f>
        <v>KG</v>
      </c>
      <c r="H60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508</v>
      </c>
      <c r="I601" s="40">
        <v>508</v>
      </c>
      <c r="J60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4500</v>
      </c>
      <c r="K601" t="s">
        <v>154</v>
      </c>
    </row>
    <row r="602" spans="1:11" x14ac:dyDescent="0.35">
      <c r="A602" t="s">
        <v>305</v>
      </c>
      <c r="B602" t="s">
        <v>410</v>
      </c>
      <c r="C602" t="s">
        <v>313</v>
      </c>
      <c r="D602">
        <v>5.9</v>
      </c>
      <c r="E602" t="s">
        <v>821</v>
      </c>
      <c r="F602">
        <v>2023</v>
      </c>
      <c r="G602" t="str">
        <f>TRIM(RIGHT(Table156[[#This Row],[Item-Codigo]], LEN(Table156[[#This Row],[Item-Codigo]]) - FIND("|", CONCATENATE(B602), FIND("|", CONCATENATE(B602)) + 1)))</f>
        <v>KG</v>
      </c>
      <c r="H60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508</v>
      </c>
      <c r="I602" s="40">
        <v>508</v>
      </c>
      <c r="J60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5900</v>
      </c>
      <c r="K602" t="s">
        <v>154</v>
      </c>
    </row>
    <row r="603" spans="1:11" x14ac:dyDescent="0.35">
      <c r="A603" t="s">
        <v>305</v>
      </c>
      <c r="B603" t="s">
        <v>412</v>
      </c>
      <c r="C603" t="s">
        <v>348</v>
      </c>
      <c r="D603">
        <v>30</v>
      </c>
      <c r="E603" t="s">
        <v>821</v>
      </c>
      <c r="F603">
        <v>2023</v>
      </c>
      <c r="G603" t="str">
        <f>TRIM(RIGHT(Table156[[#This Row],[Item-Codigo]], LEN(Table156[[#This Row],[Item-Codigo]]) - FIND("|", CONCATENATE(B603), FIND("|", CONCATENATE(B603)) + 1)))</f>
        <v>KG</v>
      </c>
      <c r="H60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981.2</v>
      </c>
      <c r="I603" s="40" t="s">
        <v>556</v>
      </c>
      <c r="J60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30000</v>
      </c>
      <c r="K603" t="s">
        <v>171</v>
      </c>
    </row>
    <row r="604" spans="1:11" x14ac:dyDescent="0.35">
      <c r="A604" t="s">
        <v>305</v>
      </c>
      <c r="B604" t="s">
        <v>413</v>
      </c>
      <c r="C604" t="s">
        <v>365</v>
      </c>
      <c r="D604">
        <v>2.2999999999999998</v>
      </c>
      <c r="E604" t="s">
        <v>821</v>
      </c>
      <c r="F604">
        <v>2023</v>
      </c>
      <c r="G604" t="str">
        <f>TRIM(RIGHT(Table156[[#This Row],[Item-Codigo]], LEN(Table156[[#This Row],[Item-Codigo]]) - FIND("|", CONCATENATE(B604), FIND("|", CONCATENATE(B604)) + 1)))</f>
        <v>KG</v>
      </c>
      <c r="H60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456.12</v>
      </c>
      <c r="I604" s="40" t="s">
        <v>533</v>
      </c>
      <c r="J60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2300</v>
      </c>
      <c r="K604" t="s">
        <v>153</v>
      </c>
    </row>
    <row r="605" spans="1:11" x14ac:dyDescent="0.35">
      <c r="A605" t="s">
        <v>305</v>
      </c>
      <c r="B605" t="s">
        <v>416</v>
      </c>
      <c r="C605" t="s">
        <v>323</v>
      </c>
      <c r="D605">
        <v>2.5</v>
      </c>
      <c r="E605" t="s">
        <v>821</v>
      </c>
      <c r="F605">
        <v>2023</v>
      </c>
      <c r="G605" t="str">
        <f>TRIM(RIGHT(Table156[[#This Row],[Item-Codigo]], LEN(Table156[[#This Row],[Item-Codigo]]) - FIND("|", CONCATENATE(B605), FIND("|", CONCATENATE(B605)) + 1)))</f>
        <v>KG</v>
      </c>
      <c r="H60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1007.5</v>
      </c>
      <c r="I605" s="40" t="s">
        <v>495</v>
      </c>
      <c r="J60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2500</v>
      </c>
      <c r="K605" t="s">
        <v>141</v>
      </c>
    </row>
    <row r="606" spans="1:11" x14ac:dyDescent="0.35">
      <c r="A606" t="s">
        <v>196</v>
      </c>
      <c r="B606" t="s">
        <v>214</v>
      </c>
      <c r="C606" t="s">
        <v>817</v>
      </c>
      <c r="D606">
        <v>439.99852990800002</v>
      </c>
      <c r="E606" t="s">
        <v>820</v>
      </c>
      <c r="F606">
        <v>2023</v>
      </c>
      <c r="G606" t="str">
        <f>TRIM(RIGHT(Table156[[#This Row],[Item-Codigo]], LEN(Table156[[#This Row],[Item-Codigo]]) - FIND("|", CONCATENATE(B606), FIND("|", CONCATENATE(B606)) + 1)))</f>
        <v>TM</v>
      </c>
      <c r="H60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223</v>
      </c>
      <c r="I606" s="40">
        <v>223</v>
      </c>
      <c r="J60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439.99852990800002</v>
      </c>
      <c r="K606" t="s">
        <v>93</v>
      </c>
    </row>
    <row r="607" spans="1:11" x14ac:dyDescent="0.35">
      <c r="A607" t="s">
        <v>196</v>
      </c>
      <c r="B607" t="s">
        <v>217</v>
      </c>
      <c r="C607" t="s">
        <v>218</v>
      </c>
      <c r="D607">
        <v>423.31752049695001</v>
      </c>
      <c r="E607" t="s">
        <v>820</v>
      </c>
      <c r="F607">
        <v>2023</v>
      </c>
      <c r="G607" t="str">
        <f>TRIM(RIGHT(Table156[[#This Row],[Item-Codigo]], LEN(Table156[[#This Row],[Item-Codigo]]) - FIND("|", CONCATENATE(B607), FIND("|", CONCATENATE(B607)) + 1)))</f>
        <v>TM</v>
      </c>
      <c r="H60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871</v>
      </c>
      <c r="I607" s="40">
        <v>871</v>
      </c>
      <c r="J60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423.31752049695001</v>
      </c>
      <c r="K607" t="s">
        <v>181</v>
      </c>
    </row>
    <row r="608" spans="1:11" x14ac:dyDescent="0.35">
      <c r="A608" t="s">
        <v>198</v>
      </c>
      <c r="B608" t="s">
        <v>219</v>
      </c>
      <c r="C608" t="s">
        <v>221</v>
      </c>
      <c r="D608">
        <v>900</v>
      </c>
      <c r="E608" t="s">
        <v>820</v>
      </c>
      <c r="F608">
        <v>2023</v>
      </c>
      <c r="G608" t="str">
        <f>TRIM(RIGHT(Table156[[#This Row],[Item-Codigo]], LEN(Table156[[#This Row],[Item-Codigo]]) - FIND("|", CONCATENATE(B608), FIND("|", CONCATENATE(B608)) + 1)))</f>
        <v>TM</v>
      </c>
      <c r="H60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608" s="40">
        <v>42</v>
      </c>
      <c r="J60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</v>
      </c>
      <c r="K608" t="s">
        <v>94</v>
      </c>
    </row>
    <row r="609" spans="1:11" x14ac:dyDescent="0.35">
      <c r="A609" t="s">
        <v>198</v>
      </c>
      <c r="B609" t="s">
        <v>830</v>
      </c>
      <c r="C609" t="s">
        <v>223</v>
      </c>
      <c r="D609">
        <v>1.879</v>
      </c>
      <c r="E609" t="s">
        <v>820</v>
      </c>
      <c r="F609">
        <v>2023</v>
      </c>
      <c r="G609" t="str">
        <f>TRIM(RIGHT(Table156[[#This Row],[Item-Codigo]], LEN(Table156[[#This Row],[Item-Codigo]]) - FIND("|", CONCATENATE(B609), FIND("|", CONCATENATE(B609)) + 1)))</f>
        <v>KG</v>
      </c>
      <c r="H60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40</v>
      </c>
      <c r="I609" s="40">
        <v>40</v>
      </c>
      <c r="J60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1879</v>
      </c>
      <c r="K609" t="s">
        <v>95</v>
      </c>
    </row>
    <row r="610" spans="1:11" x14ac:dyDescent="0.35">
      <c r="A610" t="s">
        <v>198</v>
      </c>
      <c r="B610" t="s">
        <v>228</v>
      </c>
      <c r="C610" t="s">
        <v>218</v>
      </c>
      <c r="D610">
        <v>358.58433638526901</v>
      </c>
      <c r="E610" t="s">
        <v>820</v>
      </c>
      <c r="F610">
        <v>2023</v>
      </c>
      <c r="G610" t="str">
        <f>TRIM(RIGHT(Table156[[#This Row],[Item-Codigo]], LEN(Table156[[#This Row],[Item-Codigo]]) - FIND("|", CONCATENATE(B610), FIND("|", CONCATENATE(B610)) + 1)))</f>
        <v>TM</v>
      </c>
      <c r="H61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610" s="40">
        <v>200</v>
      </c>
      <c r="J61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358.58433638526901</v>
      </c>
      <c r="K610" t="s">
        <v>97</v>
      </c>
    </row>
    <row r="611" spans="1:11" x14ac:dyDescent="0.35">
      <c r="A611" t="s">
        <v>198</v>
      </c>
      <c r="B611" t="s">
        <v>228</v>
      </c>
      <c r="C611" t="s">
        <v>229</v>
      </c>
      <c r="D611">
        <v>361.60176678325001</v>
      </c>
      <c r="E611" t="s">
        <v>820</v>
      </c>
      <c r="F611">
        <v>2023</v>
      </c>
      <c r="G611" t="str">
        <f>TRIM(RIGHT(Table156[[#This Row],[Item-Codigo]], LEN(Table156[[#This Row],[Item-Codigo]]) - FIND("|", CONCATENATE(B611), FIND("|", CONCATENATE(B611)) + 1)))</f>
        <v>TM</v>
      </c>
      <c r="H61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611" s="40">
        <v>200</v>
      </c>
      <c r="J61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361.60176678325001</v>
      </c>
      <c r="K611" t="s">
        <v>97</v>
      </c>
    </row>
    <row r="612" spans="1:11" x14ac:dyDescent="0.35">
      <c r="A612" t="s">
        <v>198</v>
      </c>
      <c r="B612" t="s">
        <v>230</v>
      </c>
      <c r="C612" t="s">
        <v>231</v>
      </c>
      <c r="D612">
        <v>4.6000033766666698E-2</v>
      </c>
      <c r="E612" t="s">
        <v>820</v>
      </c>
      <c r="F612">
        <v>2023</v>
      </c>
      <c r="G612" t="str">
        <f>TRIM(RIGHT(Table156[[#This Row],[Item-Codigo]], LEN(Table156[[#This Row],[Item-Codigo]]) - FIND("|", CONCATENATE(B612), FIND("|", CONCATENATE(B612)) + 1)))</f>
        <v>KG</v>
      </c>
      <c r="H61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612" s="40">
        <v>701</v>
      </c>
      <c r="J61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46.000033766666697</v>
      </c>
      <c r="K612" t="s">
        <v>98</v>
      </c>
    </row>
    <row r="613" spans="1:11" x14ac:dyDescent="0.35">
      <c r="A613" t="s">
        <v>198</v>
      </c>
      <c r="B613" t="s">
        <v>230</v>
      </c>
      <c r="C613" t="s">
        <v>834</v>
      </c>
      <c r="D613">
        <v>5.6000000000000001E-2</v>
      </c>
      <c r="E613" t="s">
        <v>820</v>
      </c>
      <c r="F613">
        <v>2023</v>
      </c>
      <c r="G613" t="str">
        <f>TRIM(RIGHT(Table156[[#This Row],[Item-Codigo]], LEN(Table156[[#This Row],[Item-Codigo]]) - FIND("|", CONCATENATE(B613), FIND("|", CONCATENATE(B613)) + 1)))</f>
        <v>KG</v>
      </c>
      <c r="H61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613" s="40">
        <v>701</v>
      </c>
      <c r="J61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</v>
      </c>
      <c r="K613" t="s">
        <v>98</v>
      </c>
    </row>
    <row r="614" spans="1:11" x14ac:dyDescent="0.35">
      <c r="A614" t="s">
        <v>198</v>
      </c>
      <c r="B614" t="s">
        <v>232</v>
      </c>
      <c r="C614" t="s">
        <v>231</v>
      </c>
      <c r="D614">
        <v>46</v>
      </c>
      <c r="E614" t="s">
        <v>820</v>
      </c>
      <c r="F614">
        <v>2023</v>
      </c>
      <c r="G614" t="str">
        <f>TRIM(RIGHT(Table156[[#This Row],[Item-Codigo]], LEN(Table156[[#This Row],[Item-Codigo]]) - FIND("|", CONCATENATE(B614), FIND("|", CONCATENATE(B614)) + 1)))</f>
        <v>TM</v>
      </c>
      <c r="H61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614" s="40">
        <v>701</v>
      </c>
      <c r="J61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46</v>
      </c>
      <c r="K614" t="s">
        <v>98</v>
      </c>
    </row>
    <row r="615" spans="1:11" x14ac:dyDescent="0.35">
      <c r="A615" t="s">
        <v>198</v>
      </c>
      <c r="B615" t="s">
        <v>237</v>
      </c>
      <c r="C615" t="s">
        <v>239</v>
      </c>
      <c r="D615">
        <v>1300</v>
      </c>
      <c r="E615" t="s">
        <v>820</v>
      </c>
      <c r="F615">
        <v>2023</v>
      </c>
      <c r="G615" t="str">
        <f>TRIM(RIGHT(Table156[[#This Row],[Item-Codigo]], LEN(Table156[[#This Row],[Item-Codigo]]) - FIND("|", CONCATENATE(B615), FIND("|", CONCATENATE(B615)) + 1)))</f>
        <v>TM</v>
      </c>
      <c r="H61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615" s="40">
        <v>116</v>
      </c>
      <c r="J61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1300</v>
      </c>
      <c r="K615" t="s">
        <v>99</v>
      </c>
    </row>
    <row r="616" spans="1:11" x14ac:dyDescent="0.35">
      <c r="A616" t="s">
        <v>198</v>
      </c>
      <c r="B616" t="s">
        <v>838</v>
      </c>
      <c r="C616" t="s">
        <v>238</v>
      </c>
      <c r="D616">
        <v>940</v>
      </c>
      <c r="E616" t="s">
        <v>820</v>
      </c>
      <c r="F616">
        <v>2023</v>
      </c>
      <c r="G616" t="str">
        <f>TRIM(RIGHT(Table156[[#This Row],[Item-Codigo]], LEN(Table156[[#This Row],[Item-Codigo]]) - FIND("|", CONCATENATE(B616), FIND("|", CONCATENATE(B616)) + 1)))</f>
        <v>TM</v>
      </c>
      <c r="H61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111.5</v>
      </c>
      <c r="I616" s="40" t="s">
        <v>933</v>
      </c>
      <c r="J61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940</v>
      </c>
      <c r="K616" t="s">
        <v>184</v>
      </c>
    </row>
    <row r="617" spans="1:11" x14ac:dyDescent="0.35">
      <c r="A617" t="s">
        <v>198</v>
      </c>
      <c r="B617" t="s">
        <v>838</v>
      </c>
      <c r="C617" t="s">
        <v>239</v>
      </c>
      <c r="D617">
        <v>945</v>
      </c>
      <c r="E617" t="s">
        <v>820</v>
      </c>
      <c r="F617">
        <v>2023</v>
      </c>
      <c r="G617" t="str">
        <f>TRIM(RIGHT(Table156[[#This Row],[Item-Codigo]], LEN(Table156[[#This Row],[Item-Codigo]]) - FIND("|", CONCATENATE(B617), FIND("|", CONCATENATE(B617)) + 1)))</f>
        <v>TM</v>
      </c>
      <c r="H61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111.5</v>
      </c>
      <c r="I617" s="40" t="s">
        <v>933</v>
      </c>
      <c r="J61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945</v>
      </c>
      <c r="K617" t="s">
        <v>184</v>
      </c>
    </row>
    <row r="618" spans="1:11" x14ac:dyDescent="0.35">
      <c r="A618" t="s">
        <v>198</v>
      </c>
      <c r="B618" t="s">
        <v>841</v>
      </c>
      <c r="C618" t="s">
        <v>837</v>
      </c>
      <c r="D618">
        <v>763.91547554963302</v>
      </c>
      <c r="E618" t="s">
        <v>820</v>
      </c>
      <c r="F618">
        <v>2023</v>
      </c>
      <c r="G618" t="str">
        <f>TRIM(RIGHT(Table156[[#This Row],[Item-Codigo]], LEN(Table156[[#This Row],[Item-Codigo]]) - FIND("|", CONCATENATE(B618), FIND("|", CONCATENATE(B618)) + 1)))</f>
        <v>TM</v>
      </c>
      <c r="H61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159</v>
      </c>
      <c r="I618" s="40">
        <v>159</v>
      </c>
      <c r="J61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763.91547554963302</v>
      </c>
      <c r="K618" t="s">
        <v>191</v>
      </c>
    </row>
    <row r="619" spans="1:11" x14ac:dyDescent="0.35">
      <c r="A619" t="s">
        <v>198</v>
      </c>
      <c r="B619" t="s">
        <v>841</v>
      </c>
      <c r="C619" t="s">
        <v>241</v>
      </c>
      <c r="D619">
        <v>760.11508465452005</v>
      </c>
      <c r="E619" t="s">
        <v>820</v>
      </c>
      <c r="F619">
        <v>2023</v>
      </c>
      <c r="G619" t="str">
        <f>TRIM(RIGHT(Table156[[#This Row],[Item-Codigo]], LEN(Table156[[#This Row],[Item-Codigo]]) - FIND("|", CONCATENATE(B619), FIND("|", CONCATENATE(B619)) + 1)))</f>
        <v>TM</v>
      </c>
      <c r="H61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159</v>
      </c>
      <c r="I619" s="40">
        <v>159</v>
      </c>
      <c r="J61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760.11508465452005</v>
      </c>
      <c r="K619" t="s">
        <v>191</v>
      </c>
    </row>
    <row r="620" spans="1:11" x14ac:dyDescent="0.35">
      <c r="A620" t="s">
        <v>198</v>
      </c>
      <c r="B620" t="s">
        <v>841</v>
      </c>
      <c r="C620" t="s">
        <v>842</v>
      </c>
      <c r="D620">
        <v>764.99588528716697</v>
      </c>
      <c r="E620" t="s">
        <v>820</v>
      </c>
      <c r="F620">
        <v>2023</v>
      </c>
      <c r="G620" t="str">
        <f>TRIM(RIGHT(Table156[[#This Row],[Item-Codigo]], LEN(Table156[[#This Row],[Item-Codigo]]) - FIND("|", CONCATENATE(B620), FIND("|", CONCATENATE(B620)) + 1)))</f>
        <v>TM</v>
      </c>
      <c r="H62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159</v>
      </c>
      <c r="I620" s="40">
        <v>159</v>
      </c>
      <c r="J62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764.99588528716697</v>
      </c>
      <c r="K620" t="s">
        <v>191</v>
      </c>
    </row>
    <row r="621" spans="1:11" x14ac:dyDescent="0.35">
      <c r="A621" t="s">
        <v>198</v>
      </c>
      <c r="B621" t="s">
        <v>199</v>
      </c>
      <c r="C621" t="s">
        <v>200</v>
      </c>
      <c r="D621">
        <v>17.200003658100002</v>
      </c>
      <c r="E621" t="s">
        <v>820</v>
      </c>
      <c r="F621">
        <v>2023</v>
      </c>
      <c r="G621" t="str">
        <f>TRIM(RIGHT(Table156[[#This Row],[Item-Codigo]], LEN(Table156[[#This Row],[Item-Codigo]]) - FIND("|", CONCATENATE(B621), FIND("|", CONCATENATE(B621)) + 1)))</f>
        <v>QQ</v>
      </c>
      <c r="H62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621" s="40">
        <v>1</v>
      </c>
      <c r="J621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378.40008047820004</v>
      </c>
      <c r="K621" t="s">
        <v>182</v>
      </c>
    </row>
    <row r="622" spans="1:11" x14ac:dyDescent="0.35">
      <c r="A622" t="s">
        <v>198</v>
      </c>
      <c r="B622" t="s">
        <v>199</v>
      </c>
      <c r="C622" t="s">
        <v>201</v>
      </c>
      <c r="D622">
        <v>17.229033324051599</v>
      </c>
      <c r="E622" t="s">
        <v>820</v>
      </c>
      <c r="F622">
        <v>2023</v>
      </c>
      <c r="G622" t="str">
        <f>TRIM(RIGHT(Table156[[#This Row],[Item-Codigo]], LEN(Table156[[#This Row],[Item-Codigo]]) - FIND("|", CONCATENATE(B622), FIND("|", CONCATENATE(B622)) + 1)))</f>
        <v>QQ</v>
      </c>
      <c r="H62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622" s="40">
        <v>1</v>
      </c>
      <c r="J622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379.03873312913515</v>
      </c>
      <c r="K622" t="s">
        <v>182</v>
      </c>
    </row>
    <row r="623" spans="1:11" x14ac:dyDescent="0.35">
      <c r="A623" t="s">
        <v>198</v>
      </c>
      <c r="B623" t="s">
        <v>199</v>
      </c>
      <c r="C623" t="s">
        <v>203</v>
      </c>
      <c r="D623">
        <v>17.100005576379999</v>
      </c>
      <c r="E623" t="s">
        <v>820</v>
      </c>
      <c r="F623">
        <v>2023</v>
      </c>
      <c r="G623" t="str">
        <f>TRIM(RIGHT(Table156[[#This Row],[Item-Codigo]], LEN(Table156[[#This Row],[Item-Codigo]]) - FIND("|", CONCATENATE(B623), FIND("|", CONCATENATE(B623)) + 1)))</f>
        <v>QQ</v>
      </c>
      <c r="H62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623" s="40">
        <v>1</v>
      </c>
      <c r="J623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376.20012268035998</v>
      </c>
      <c r="K623" t="s">
        <v>182</v>
      </c>
    </row>
    <row r="624" spans="1:11" x14ac:dyDescent="0.35">
      <c r="A624" t="s">
        <v>198</v>
      </c>
      <c r="B624" t="s">
        <v>199</v>
      </c>
      <c r="C624" t="s">
        <v>847</v>
      </c>
      <c r="D624">
        <v>17.199991569175001</v>
      </c>
      <c r="E624" t="s">
        <v>820</v>
      </c>
      <c r="F624">
        <v>2023</v>
      </c>
      <c r="G624" t="str">
        <f>TRIM(RIGHT(Table156[[#This Row],[Item-Codigo]], LEN(Table156[[#This Row],[Item-Codigo]]) - FIND("|", CONCATENATE(B624), FIND("|", CONCATENATE(B624)) + 1)))</f>
        <v>QQ</v>
      </c>
      <c r="H62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624" s="40">
        <v>1</v>
      </c>
      <c r="J624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378.39981452185003</v>
      </c>
      <c r="K624" t="s">
        <v>182</v>
      </c>
    </row>
    <row r="625" spans="1:11" x14ac:dyDescent="0.35">
      <c r="A625" t="s">
        <v>198</v>
      </c>
      <c r="B625" t="s">
        <v>245</v>
      </c>
      <c r="C625" t="s">
        <v>244</v>
      </c>
      <c r="D625">
        <v>350</v>
      </c>
      <c r="E625" t="s">
        <v>820</v>
      </c>
      <c r="F625">
        <v>2023</v>
      </c>
      <c r="G625" t="str">
        <f>TRIM(RIGHT(Table156[[#This Row],[Item-Codigo]], LEN(Table156[[#This Row],[Item-Codigo]]) - FIND("|", CONCATENATE(B625), FIND("|", CONCATENATE(B625)) + 1)))</f>
        <v>TM</v>
      </c>
      <c r="H62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14</v>
      </c>
      <c r="I625" s="40">
        <v>14</v>
      </c>
      <c r="J62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350</v>
      </c>
      <c r="K625" t="s">
        <v>187</v>
      </c>
    </row>
    <row r="626" spans="1:11" x14ac:dyDescent="0.35">
      <c r="A626" t="s">
        <v>198</v>
      </c>
      <c r="B626" t="s">
        <v>247</v>
      </c>
      <c r="C626" t="s">
        <v>852</v>
      </c>
      <c r="D626">
        <v>0.36024989089999998</v>
      </c>
      <c r="E626" t="s">
        <v>820</v>
      </c>
      <c r="F626">
        <v>2023</v>
      </c>
      <c r="G626" t="str">
        <f>TRIM(RIGHT(Table156[[#This Row],[Item-Codigo]], LEN(Table156[[#This Row],[Item-Codigo]]) - FIND("|", CONCATENATE(B626), FIND("|", CONCATENATE(B626)) + 1)))</f>
        <v>KG</v>
      </c>
      <c r="H62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214</v>
      </c>
      <c r="I626" s="40">
        <v>214</v>
      </c>
      <c r="J62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360.24989089999997</v>
      </c>
      <c r="K626" t="s">
        <v>186</v>
      </c>
    </row>
    <row r="627" spans="1:11" x14ac:dyDescent="0.35">
      <c r="A627" t="s">
        <v>198</v>
      </c>
      <c r="B627" t="s">
        <v>854</v>
      </c>
      <c r="C627" t="s">
        <v>852</v>
      </c>
      <c r="D627">
        <v>363.03447438950002</v>
      </c>
      <c r="E627" t="s">
        <v>820</v>
      </c>
      <c r="F627">
        <v>2023</v>
      </c>
      <c r="G627" t="str">
        <f>TRIM(RIGHT(Table156[[#This Row],[Item-Codigo]], LEN(Table156[[#This Row],[Item-Codigo]]) - FIND("|", CONCATENATE(B627), FIND("|", CONCATENATE(B627)) + 1)))</f>
        <v>TM</v>
      </c>
      <c r="H62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214</v>
      </c>
      <c r="I627" s="40">
        <v>214</v>
      </c>
      <c r="J62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363.03447438950002</v>
      </c>
      <c r="K627" t="s">
        <v>186</v>
      </c>
    </row>
    <row r="628" spans="1:11" x14ac:dyDescent="0.35">
      <c r="A628" t="s">
        <v>198</v>
      </c>
      <c r="B628" t="s">
        <v>207</v>
      </c>
      <c r="C628" t="s">
        <v>857</v>
      </c>
      <c r="D628">
        <v>17.226681069216699</v>
      </c>
      <c r="E628" t="s">
        <v>820</v>
      </c>
      <c r="F628">
        <v>2023</v>
      </c>
      <c r="G628" t="str">
        <f>TRIM(RIGHT(Table156[[#This Row],[Item-Codigo]], LEN(Table156[[#This Row],[Item-Codigo]]) - FIND("|", CONCATENATE(B628), FIND("|", CONCATENATE(B628)) + 1)))</f>
        <v>QQ</v>
      </c>
      <c r="H62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628" s="40">
        <v>410</v>
      </c>
      <c r="J628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378.98698352276739</v>
      </c>
      <c r="K628" t="s">
        <v>183</v>
      </c>
    </row>
    <row r="629" spans="1:11" x14ac:dyDescent="0.35">
      <c r="A629" t="s">
        <v>198</v>
      </c>
      <c r="B629" t="s">
        <v>207</v>
      </c>
      <c r="C629" t="s">
        <v>858</v>
      </c>
      <c r="D629">
        <v>17.2599494639333</v>
      </c>
      <c r="E629" t="s">
        <v>820</v>
      </c>
      <c r="F629">
        <v>2023</v>
      </c>
      <c r="G629" t="str">
        <f>TRIM(RIGHT(Table156[[#This Row],[Item-Codigo]], LEN(Table156[[#This Row],[Item-Codigo]]) - FIND("|", CONCATENATE(B629), FIND("|", CONCATENATE(B629)) + 1)))</f>
        <v>QQ</v>
      </c>
      <c r="H62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629" s="40">
        <v>410</v>
      </c>
      <c r="J629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379.7188882065326</v>
      </c>
      <c r="K629" t="s">
        <v>183</v>
      </c>
    </row>
    <row r="630" spans="1:11" x14ac:dyDescent="0.35">
      <c r="A630" t="s">
        <v>198</v>
      </c>
      <c r="B630" t="s">
        <v>207</v>
      </c>
      <c r="C630" t="s">
        <v>859</v>
      </c>
      <c r="D630">
        <v>17.859940686150001</v>
      </c>
      <c r="E630" t="s">
        <v>820</v>
      </c>
      <c r="F630">
        <v>2023</v>
      </c>
      <c r="G630" t="str">
        <f>TRIM(RIGHT(Table156[[#This Row],[Item-Codigo]], LEN(Table156[[#This Row],[Item-Codigo]]) - FIND("|", CONCATENATE(B630), FIND("|", CONCATENATE(B630)) + 1)))</f>
        <v>QQ</v>
      </c>
      <c r="H63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630" s="40">
        <v>410</v>
      </c>
      <c r="J630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392.9186950953</v>
      </c>
      <c r="K630" t="s">
        <v>183</v>
      </c>
    </row>
    <row r="631" spans="1:11" x14ac:dyDescent="0.35">
      <c r="A631" t="s">
        <v>198</v>
      </c>
      <c r="B631" t="s">
        <v>207</v>
      </c>
      <c r="C631" t="s">
        <v>860</v>
      </c>
      <c r="D631">
        <v>17.343783087412501</v>
      </c>
      <c r="E631" t="s">
        <v>820</v>
      </c>
      <c r="F631">
        <v>2023</v>
      </c>
      <c r="G631" t="str">
        <f>TRIM(RIGHT(Table156[[#This Row],[Item-Codigo]], LEN(Table156[[#This Row],[Item-Codigo]]) - FIND("|", CONCATENATE(B631), FIND("|", CONCATENATE(B631)) + 1)))</f>
        <v>QQ</v>
      </c>
      <c r="H63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631" s="40">
        <v>410</v>
      </c>
      <c r="J631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381.56322792307503</v>
      </c>
      <c r="K631" t="s">
        <v>183</v>
      </c>
    </row>
    <row r="632" spans="1:11" x14ac:dyDescent="0.35">
      <c r="A632" t="s">
        <v>198</v>
      </c>
      <c r="B632" t="s">
        <v>207</v>
      </c>
      <c r="C632" t="s">
        <v>861</v>
      </c>
      <c r="D632">
        <v>17.37467673575</v>
      </c>
      <c r="E632" t="s">
        <v>820</v>
      </c>
      <c r="F632">
        <v>2023</v>
      </c>
      <c r="G632" t="str">
        <f>TRIM(RIGHT(Table156[[#This Row],[Item-Codigo]], LEN(Table156[[#This Row],[Item-Codigo]]) - FIND("|", CONCATENATE(B632), FIND("|", CONCATENATE(B632)) + 1)))</f>
        <v>QQ</v>
      </c>
      <c r="H63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632" s="40">
        <v>410</v>
      </c>
      <c r="J632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382.24288818650001</v>
      </c>
      <c r="K632" t="s">
        <v>183</v>
      </c>
    </row>
    <row r="633" spans="1:11" x14ac:dyDescent="0.35">
      <c r="A633" t="s">
        <v>198</v>
      </c>
      <c r="B633" t="s">
        <v>207</v>
      </c>
      <c r="C633" t="s">
        <v>209</v>
      </c>
      <c r="D633">
        <v>17.416935075360001</v>
      </c>
      <c r="E633" t="s">
        <v>820</v>
      </c>
      <c r="F633">
        <v>2023</v>
      </c>
      <c r="G633" t="str">
        <f>TRIM(RIGHT(Table156[[#This Row],[Item-Codigo]], LEN(Table156[[#This Row],[Item-Codigo]]) - FIND("|", CONCATENATE(B633), FIND("|", CONCATENATE(B633)) + 1)))</f>
        <v>QQ</v>
      </c>
      <c r="H63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633" s="40">
        <v>410</v>
      </c>
      <c r="J633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383.17257165792</v>
      </c>
      <c r="K633" t="s">
        <v>183</v>
      </c>
    </row>
    <row r="634" spans="1:11" x14ac:dyDescent="0.35">
      <c r="A634" t="s">
        <v>198</v>
      </c>
      <c r="B634" t="s">
        <v>207</v>
      </c>
      <c r="C634" t="s">
        <v>864</v>
      </c>
      <c r="D634">
        <v>17.310006280250001</v>
      </c>
      <c r="E634" t="s">
        <v>820</v>
      </c>
      <c r="F634">
        <v>2023</v>
      </c>
      <c r="G634" t="str">
        <f>TRIM(RIGHT(Table156[[#This Row],[Item-Codigo]], LEN(Table156[[#This Row],[Item-Codigo]]) - FIND("|", CONCATENATE(B634), FIND("|", CONCATENATE(B634)) + 1)))</f>
        <v>QQ</v>
      </c>
      <c r="H63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634" s="40">
        <v>410</v>
      </c>
      <c r="J634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380.8201381655</v>
      </c>
      <c r="K634" t="s">
        <v>183</v>
      </c>
    </row>
    <row r="635" spans="1:11" x14ac:dyDescent="0.35">
      <c r="A635" t="s">
        <v>198</v>
      </c>
      <c r="B635" t="s">
        <v>207</v>
      </c>
      <c r="C635" t="s">
        <v>211</v>
      </c>
      <c r="D635">
        <v>17.4314434622143</v>
      </c>
      <c r="E635" t="s">
        <v>820</v>
      </c>
      <c r="F635">
        <v>2023</v>
      </c>
      <c r="G635" t="str">
        <f>TRIM(RIGHT(Table156[[#This Row],[Item-Codigo]], LEN(Table156[[#This Row],[Item-Codigo]]) - FIND("|", CONCATENATE(B635), FIND("|", CONCATENATE(B635)) + 1)))</f>
        <v>QQ</v>
      </c>
      <c r="H63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635" s="40">
        <v>410</v>
      </c>
      <c r="J635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383.49175616871463</v>
      </c>
      <c r="K635" t="s">
        <v>183</v>
      </c>
    </row>
    <row r="636" spans="1:11" x14ac:dyDescent="0.35">
      <c r="A636" t="s">
        <v>198</v>
      </c>
      <c r="B636" t="s">
        <v>207</v>
      </c>
      <c r="C636" t="s">
        <v>865</v>
      </c>
      <c r="D636">
        <v>17.19200909972</v>
      </c>
      <c r="E636" t="s">
        <v>820</v>
      </c>
      <c r="F636">
        <v>2023</v>
      </c>
      <c r="G636" t="str">
        <f>TRIM(RIGHT(Table156[[#This Row],[Item-Codigo]], LEN(Table156[[#This Row],[Item-Codigo]]) - FIND("|", CONCATENATE(B636), FIND("|", CONCATENATE(B636)) + 1)))</f>
        <v>QQ</v>
      </c>
      <c r="H63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636" s="40">
        <v>410</v>
      </c>
      <c r="J636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378.22420019383998</v>
      </c>
      <c r="K636" t="s">
        <v>183</v>
      </c>
    </row>
    <row r="637" spans="1:11" x14ac:dyDescent="0.35">
      <c r="A637" t="s">
        <v>198</v>
      </c>
      <c r="B637" t="s">
        <v>207</v>
      </c>
      <c r="C637" t="s">
        <v>866</v>
      </c>
      <c r="D637">
        <v>17.325981752960001</v>
      </c>
      <c r="E637" t="s">
        <v>820</v>
      </c>
      <c r="F637">
        <v>2023</v>
      </c>
      <c r="G637" t="str">
        <f>TRIM(RIGHT(Table156[[#This Row],[Item-Codigo]], LEN(Table156[[#This Row],[Item-Codigo]]) - FIND("|", CONCATENATE(B637), FIND("|", CONCATENATE(B637)) + 1)))</f>
        <v>QQ</v>
      </c>
      <c r="H63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637" s="40">
        <v>410</v>
      </c>
      <c r="J637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381.17159856512001</v>
      </c>
      <c r="K637" t="s">
        <v>183</v>
      </c>
    </row>
    <row r="638" spans="1:11" x14ac:dyDescent="0.35">
      <c r="A638" t="s">
        <v>198</v>
      </c>
      <c r="B638" t="s">
        <v>207</v>
      </c>
      <c r="C638" t="s">
        <v>867</v>
      </c>
      <c r="D638">
        <v>17.251127287675001</v>
      </c>
      <c r="E638" t="s">
        <v>820</v>
      </c>
      <c r="F638">
        <v>2023</v>
      </c>
      <c r="G638" t="str">
        <f>TRIM(RIGHT(Table156[[#This Row],[Item-Codigo]], LEN(Table156[[#This Row],[Item-Codigo]]) - FIND("|", CONCATENATE(B638), FIND("|", CONCATENATE(B638)) + 1)))</f>
        <v>QQ</v>
      </c>
      <c r="H63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638" s="40">
        <v>410</v>
      </c>
      <c r="J638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379.52480032885001</v>
      </c>
      <c r="K638" t="s">
        <v>183</v>
      </c>
    </row>
    <row r="639" spans="1:11" x14ac:dyDescent="0.35">
      <c r="A639" t="s">
        <v>198</v>
      </c>
      <c r="B639" t="s">
        <v>207</v>
      </c>
      <c r="C639" t="s">
        <v>868</v>
      </c>
      <c r="D639">
        <v>17.459862555737502</v>
      </c>
      <c r="E639" t="s">
        <v>820</v>
      </c>
      <c r="F639">
        <v>2023</v>
      </c>
      <c r="G639" t="str">
        <f>TRIM(RIGHT(Table156[[#This Row],[Item-Codigo]], LEN(Table156[[#This Row],[Item-Codigo]]) - FIND("|", CONCATENATE(B639), FIND("|", CONCATENATE(B639)) + 1)))</f>
        <v>QQ</v>
      </c>
      <c r="H63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639" s="40">
        <v>410</v>
      </c>
      <c r="J639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384.11697622622501</v>
      </c>
      <c r="K639" t="s">
        <v>183</v>
      </c>
    </row>
    <row r="640" spans="1:11" x14ac:dyDescent="0.35">
      <c r="A640" t="s">
        <v>256</v>
      </c>
      <c r="B640" t="s">
        <v>261</v>
      </c>
      <c r="C640" t="s">
        <v>262</v>
      </c>
      <c r="D640">
        <v>0.1496997578</v>
      </c>
      <c r="E640" t="s">
        <v>820</v>
      </c>
      <c r="F640">
        <v>2023</v>
      </c>
      <c r="G640" t="str">
        <f>TRIM(RIGHT(Table156[[#This Row],[Item-Codigo]], LEN(Table156[[#This Row],[Item-Codigo]]) - FIND("|", CONCATENATE(B640), FIND("|", CONCATENATE(B640)) + 1)))</f>
        <v>UND</v>
      </c>
      <c r="H64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640" s="40" t="s">
        <v>500</v>
      </c>
      <c r="J64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0.1496997578</v>
      </c>
      <c r="K640" t="s">
        <v>43</v>
      </c>
    </row>
    <row r="641" spans="1:11" x14ac:dyDescent="0.35">
      <c r="A641" t="s">
        <v>256</v>
      </c>
      <c r="B641" t="s">
        <v>261</v>
      </c>
      <c r="C641" t="s">
        <v>267</v>
      </c>
      <c r="D641">
        <v>0.1585</v>
      </c>
      <c r="E641" t="s">
        <v>820</v>
      </c>
      <c r="F641">
        <v>2023</v>
      </c>
      <c r="G641" t="str">
        <f>TRIM(RIGHT(Table156[[#This Row],[Item-Codigo]], LEN(Table156[[#This Row],[Item-Codigo]]) - FIND("|", CONCATENATE(B641), FIND("|", CONCATENATE(B641)) + 1)))</f>
        <v>UND</v>
      </c>
      <c r="H64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641" s="40" t="s">
        <v>500</v>
      </c>
      <c r="J64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0.1585</v>
      </c>
      <c r="K641" t="s">
        <v>43</v>
      </c>
    </row>
    <row r="642" spans="1:11" x14ac:dyDescent="0.35">
      <c r="A642" t="s">
        <v>256</v>
      </c>
      <c r="B642" t="s">
        <v>264</v>
      </c>
      <c r="C642" t="s">
        <v>262</v>
      </c>
      <c r="D642">
        <v>0.1497</v>
      </c>
      <c r="E642" t="s">
        <v>820</v>
      </c>
      <c r="F642">
        <v>2023</v>
      </c>
      <c r="G642" t="str">
        <f>TRIM(RIGHT(Table156[[#This Row],[Item-Codigo]], LEN(Table156[[#This Row],[Item-Codigo]]) - FIND("|", CONCATENATE(B642), FIND("|", CONCATENATE(B642)) + 1)))</f>
        <v>UND</v>
      </c>
      <c r="H64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1024-ME</v>
      </c>
      <c r="I642" s="40" t="s">
        <v>501</v>
      </c>
      <c r="J64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0.1497</v>
      </c>
      <c r="K642" t="s">
        <v>44</v>
      </c>
    </row>
    <row r="643" spans="1:11" x14ac:dyDescent="0.35">
      <c r="A643" t="s">
        <v>256</v>
      </c>
      <c r="B643" t="s">
        <v>877</v>
      </c>
      <c r="C643" t="s">
        <v>262</v>
      </c>
      <c r="D643">
        <v>0.17</v>
      </c>
      <c r="E643" t="s">
        <v>820</v>
      </c>
      <c r="F643">
        <v>2023</v>
      </c>
      <c r="G643" t="str">
        <f>TRIM(RIGHT(Table156[[#This Row],[Item-Codigo]], LEN(Table156[[#This Row],[Item-Codigo]]) - FIND("|", CONCATENATE(B643), FIND("|", CONCATENATE(B643)) + 1)))</f>
        <v>UND</v>
      </c>
      <c r="H64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1027-ME</v>
      </c>
      <c r="I643" s="40" t="s">
        <v>504</v>
      </c>
      <c r="J64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</v>
      </c>
      <c r="K643" t="s">
        <v>47</v>
      </c>
    </row>
    <row r="644" spans="1:11" x14ac:dyDescent="0.35">
      <c r="A644" t="s">
        <v>256</v>
      </c>
      <c r="B644" t="s">
        <v>272</v>
      </c>
      <c r="C644" t="s">
        <v>262</v>
      </c>
      <c r="D644">
        <v>0.1497</v>
      </c>
      <c r="E644" t="s">
        <v>820</v>
      </c>
      <c r="F644">
        <v>2023</v>
      </c>
      <c r="G644" t="str">
        <f>TRIM(RIGHT(Table156[[#This Row],[Item-Codigo]], LEN(Table156[[#This Row],[Item-Codigo]]) - FIND("|", CONCATENATE(B644), FIND("|", CONCATENATE(B644)) + 1)))</f>
        <v>UND</v>
      </c>
      <c r="H64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1029-ME</v>
      </c>
      <c r="I644" s="40" t="s">
        <v>506</v>
      </c>
      <c r="J64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0.1497</v>
      </c>
      <c r="K644" t="s">
        <v>51</v>
      </c>
    </row>
    <row r="645" spans="1:11" x14ac:dyDescent="0.35">
      <c r="A645" t="s">
        <v>256</v>
      </c>
      <c r="B645" t="s">
        <v>272</v>
      </c>
      <c r="C645" t="s">
        <v>263</v>
      </c>
      <c r="D645">
        <v>0.1674004305</v>
      </c>
      <c r="E645" t="s">
        <v>820</v>
      </c>
      <c r="F645">
        <v>2023</v>
      </c>
      <c r="G645" t="str">
        <f>TRIM(RIGHT(Table156[[#This Row],[Item-Codigo]], LEN(Table156[[#This Row],[Item-Codigo]]) - FIND("|", CONCATENATE(B645), FIND("|", CONCATENATE(B645)) + 1)))</f>
        <v>UND</v>
      </c>
      <c r="H64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1029-ME</v>
      </c>
      <c r="I645" s="40" t="s">
        <v>506</v>
      </c>
      <c r="J64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0.1674004305</v>
      </c>
      <c r="K645" t="s">
        <v>51</v>
      </c>
    </row>
    <row r="646" spans="1:11" x14ac:dyDescent="0.35">
      <c r="A646" t="s">
        <v>256</v>
      </c>
      <c r="B646" t="s">
        <v>273</v>
      </c>
      <c r="C646" t="s">
        <v>262</v>
      </c>
      <c r="D646">
        <v>0.14970041319999999</v>
      </c>
      <c r="E646" t="s">
        <v>820</v>
      </c>
      <c r="F646">
        <v>2023</v>
      </c>
      <c r="G646" t="str">
        <f>TRIM(RIGHT(Table156[[#This Row],[Item-Codigo]], LEN(Table156[[#This Row],[Item-Codigo]]) - FIND("|", CONCATENATE(B646), FIND("|", CONCATENATE(B646)) + 1)))</f>
        <v>UND</v>
      </c>
      <c r="H64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1030-ME</v>
      </c>
      <c r="I646" s="40" t="s">
        <v>507</v>
      </c>
      <c r="J64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0.14970041319999999</v>
      </c>
      <c r="K646" t="s">
        <v>52</v>
      </c>
    </row>
    <row r="647" spans="1:11" x14ac:dyDescent="0.35">
      <c r="A647" t="s">
        <v>256</v>
      </c>
      <c r="B647" t="s">
        <v>284</v>
      </c>
      <c r="C647" t="s">
        <v>286</v>
      </c>
      <c r="D647">
        <v>11.89</v>
      </c>
      <c r="E647" t="s">
        <v>820</v>
      </c>
      <c r="F647">
        <v>2023</v>
      </c>
      <c r="G647" t="str">
        <f>TRIM(RIGHT(Table156[[#This Row],[Item-Codigo]], LEN(Table156[[#This Row],[Item-Codigo]]) - FIND("|", CONCATENATE(B647), FIND("|", CONCATENATE(B647)) + 1)))</f>
        <v>UND</v>
      </c>
      <c r="H64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PIOLA (UNID)</v>
      </c>
      <c r="I647" s="40" t="s">
        <v>558</v>
      </c>
      <c r="J64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11.89</v>
      </c>
      <c r="K647" t="s">
        <v>127</v>
      </c>
    </row>
    <row r="648" spans="1:11" x14ac:dyDescent="0.35">
      <c r="A648" t="s">
        <v>256</v>
      </c>
      <c r="B648" t="s">
        <v>889</v>
      </c>
      <c r="C648" t="s">
        <v>874</v>
      </c>
      <c r="D648">
        <v>1.4E-2</v>
      </c>
      <c r="E648" t="s">
        <v>820</v>
      </c>
      <c r="F648">
        <v>2023</v>
      </c>
      <c r="G648" t="str">
        <f>TRIM(RIGHT(Table156[[#This Row],[Item-Codigo]], LEN(Table156[[#This Row],[Item-Codigo]]) - FIND("|", CONCATENATE(B648), FIND("|", CONCATENATE(B648)) + 1)))</f>
        <v>UND</v>
      </c>
      <c r="H64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9517</v>
      </c>
      <c r="I648" s="40">
        <v>9517</v>
      </c>
      <c r="J64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1.4E-2</v>
      </c>
      <c r="K648" t="s">
        <v>129</v>
      </c>
    </row>
    <row r="649" spans="1:11" x14ac:dyDescent="0.35">
      <c r="A649" t="s">
        <v>256</v>
      </c>
      <c r="B649" t="s">
        <v>890</v>
      </c>
      <c r="C649" t="s">
        <v>262</v>
      </c>
      <c r="D649">
        <v>0.21660040559999999</v>
      </c>
      <c r="E649" t="s">
        <v>820</v>
      </c>
      <c r="F649">
        <v>2023</v>
      </c>
      <c r="G649" t="str">
        <f>TRIM(RIGHT(Table156[[#This Row],[Item-Codigo]], LEN(Table156[[#This Row],[Item-Codigo]]) - FIND("|", CONCATENATE(B649), FIND("|", CONCATENATE(B649)) + 1)))</f>
        <v>UND</v>
      </c>
      <c r="H64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0996-ME</v>
      </c>
      <c r="I649" s="40" t="s">
        <v>493</v>
      </c>
      <c r="J64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0.21660040559999999</v>
      </c>
      <c r="K649" t="s">
        <v>121</v>
      </c>
    </row>
    <row r="650" spans="1:11" x14ac:dyDescent="0.35">
      <c r="A650" t="s">
        <v>256</v>
      </c>
      <c r="B650" t="s">
        <v>293</v>
      </c>
      <c r="C650" t="s">
        <v>263</v>
      </c>
      <c r="D650">
        <v>0.21</v>
      </c>
      <c r="E650" t="s">
        <v>820</v>
      </c>
      <c r="F650">
        <v>2023</v>
      </c>
      <c r="G650" t="str">
        <f>TRIM(RIGHT(Table156[[#This Row],[Item-Codigo]], LEN(Table156[[#This Row],[Item-Codigo]]) - FIND("|", CONCATENATE(B650), FIND("|", CONCATENATE(B650)) + 1)))</f>
        <v>UND</v>
      </c>
      <c r="H65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0201-ME</v>
      </c>
      <c r="I650" s="40" t="s">
        <v>478</v>
      </c>
      <c r="J65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</v>
      </c>
      <c r="K650" t="s">
        <v>105</v>
      </c>
    </row>
    <row r="651" spans="1:11" x14ac:dyDescent="0.35">
      <c r="A651" t="s">
        <v>256</v>
      </c>
      <c r="B651" t="s">
        <v>294</v>
      </c>
      <c r="C651" t="s">
        <v>262</v>
      </c>
      <c r="D651">
        <v>0.19789999999999999</v>
      </c>
      <c r="E651" t="s">
        <v>820</v>
      </c>
      <c r="F651">
        <v>2023</v>
      </c>
      <c r="G651" t="str">
        <f>TRIM(RIGHT(Table156[[#This Row],[Item-Codigo]], LEN(Table156[[#This Row],[Item-Codigo]]) - FIND("|", CONCATENATE(B651), FIND("|", CONCATENATE(B651)) + 1)))</f>
        <v>UND</v>
      </c>
      <c r="H65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0111-ME</v>
      </c>
      <c r="I651" s="40" t="s">
        <v>472</v>
      </c>
      <c r="J65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0.19789999999999999</v>
      </c>
      <c r="K651" t="s">
        <v>125</v>
      </c>
    </row>
    <row r="652" spans="1:11" x14ac:dyDescent="0.35">
      <c r="A652" t="s">
        <v>256</v>
      </c>
      <c r="B652" t="s">
        <v>296</v>
      </c>
      <c r="C652" t="s">
        <v>263</v>
      </c>
      <c r="D652">
        <v>0.23519820490000001</v>
      </c>
      <c r="E652" t="s">
        <v>820</v>
      </c>
      <c r="F652">
        <v>2023</v>
      </c>
      <c r="G652" t="str">
        <f>TRIM(RIGHT(Table156[[#This Row],[Item-Codigo]], LEN(Table156[[#This Row],[Item-Codigo]]) - FIND("|", CONCATENATE(B652), FIND("|", CONCATENATE(B652)) + 1)))</f>
        <v>UND</v>
      </c>
      <c r="H65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1018-ME</v>
      </c>
      <c r="I652" s="40" t="s">
        <v>496</v>
      </c>
      <c r="J65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0.23519820490000001</v>
      </c>
      <c r="K652" t="s">
        <v>109</v>
      </c>
    </row>
    <row r="653" spans="1:11" x14ac:dyDescent="0.35">
      <c r="A653" t="s">
        <v>256</v>
      </c>
      <c r="B653" t="s">
        <v>301</v>
      </c>
      <c r="C653" t="s">
        <v>262</v>
      </c>
      <c r="D653">
        <v>0.22969999999999999</v>
      </c>
      <c r="E653" t="s">
        <v>820</v>
      </c>
      <c r="F653">
        <v>2023</v>
      </c>
      <c r="G653" t="str">
        <f>TRIM(RIGHT(Table156[[#This Row],[Item-Codigo]], LEN(Table156[[#This Row],[Item-Codigo]]) - FIND("|", CONCATENATE(B653), FIND("|", CONCATENATE(B653)) + 1)))</f>
        <v>UND</v>
      </c>
      <c r="H65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0171-ME</v>
      </c>
      <c r="I653" s="40" t="s">
        <v>476</v>
      </c>
      <c r="J65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0.22969999999999999</v>
      </c>
      <c r="K653" t="s">
        <v>107</v>
      </c>
    </row>
    <row r="654" spans="1:11" x14ac:dyDescent="0.35">
      <c r="A654" t="s">
        <v>305</v>
      </c>
      <c r="B654" t="s">
        <v>308</v>
      </c>
      <c r="C654" t="s">
        <v>319</v>
      </c>
      <c r="D654">
        <v>9.1999999999999993</v>
      </c>
      <c r="E654" t="s">
        <v>820</v>
      </c>
      <c r="F654">
        <v>2023</v>
      </c>
      <c r="G654" t="str">
        <f>TRIM(RIGHT(Table156[[#This Row],[Item-Codigo]], LEN(Table156[[#This Row],[Item-Codigo]]) - FIND("|", CONCATENATE(B654), FIND("|", CONCATENATE(B654)) + 1)))</f>
        <v>KG</v>
      </c>
      <c r="H65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1039</v>
      </c>
      <c r="I654" s="40">
        <v>1039</v>
      </c>
      <c r="J65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9200</v>
      </c>
      <c r="K654" t="s">
        <v>67</v>
      </c>
    </row>
    <row r="655" spans="1:11" x14ac:dyDescent="0.35">
      <c r="A655" t="s">
        <v>305</v>
      </c>
      <c r="B655" t="s">
        <v>312</v>
      </c>
      <c r="C655" t="s">
        <v>377</v>
      </c>
      <c r="D655">
        <v>7.95</v>
      </c>
      <c r="E655" t="s">
        <v>820</v>
      </c>
      <c r="F655">
        <v>2023</v>
      </c>
      <c r="G655" t="str">
        <f>TRIM(RIGHT(Table156[[#This Row],[Item-Codigo]], LEN(Table156[[#This Row],[Item-Codigo]]) - FIND("|", CONCATENATE(B655), FIND("|", CONCATENATE(B655)) + 1)))</f>
        <v>KG</v>
      </c>
      <c r="H65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317</v>
      </c>
      <c r="I655" s="40">
        <v>317</v>
      </c>
      <c r="J65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7950</v>
      </c>
      <c r="K655" t="s">
        <v>69</v>
      </c>
    </row>
    <row r="656" spans="1:11" x14ac:dyDescent="0.35">
      <c r="A656" t="s">
        <v>305</v>
      </c>
      <c r="B656" t="s">
        <v>900</v>
      </c>
      <c r="C656" t="s">
        <v>323</v>
      </c>
      <c r="D656">
        <v>2.62</v>
      </c>
      <c r="E656" t="s">
        <v>820</v>
      </c>
      <c r="F656">
        <v>2023</v>
      </c>
      <c r="G656" t="str">
        <f>TRIM(RIGHT(Table156[[#This Row],[Item-Codigo]], LEN(Table156[[#This Row],[Item-Codigo]]) - FIND("|", CONCATENATE(B656), FIND("|", CONCATENATE(B656)) + 1)))</f>
        <v>KG</v>
      </c>
      <c r="H65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1010.6</v>
      </c>
      <c r="I656" s="40" t="s">
        <v>937</v>
      </c>
      <c r="J65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2620</v>
      </c>
      <c r="K656" t="s">
        <v>1226</v>
      </c>
    </row>
    <row r="657" spans="1:11" x14ac:dyDescent="0.35">
      <c r="A657" t="s">
        <v>305</v>
      </c>
      <c r="B657" t="s">
        <v>320</v>
      </c>
      <c r="C657" t="s">
        <v>321</v>
      </c>
      <c r="D657">
        <v>8.75</v>
      </c>
      <c r="E657" t="s">
        <v>820</v>
      </c>
      <c r="F657">
        <v>2023</v>
      </c>
      <c r="G657" t="str">
        <f>TRIM(RIGHT(Table156[[#This Row],[Item-Codigo]], LEN(Table156[[#This Row],[Item-Codigo]]) - FIND("|", CONCATENATE(B657), FIND("|", CONCATENATE(B657)) + 1)))</f>
        <v>KG</v>
      </c>
      <c r="H65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1009</v>
      </c>
      <c r="I657" s="40">
        <v>1009</v>
      </c>
      <c r="J65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8750</v>
      </c>
      <c r="K657" t="s">
        <v>73</v>
      </c>
    </row>
    <row r="658" spans="1:11" x14ac:dyDescent="0.35">
      <c r="A658" t="s">
        <v>305</v>
      </c>
      <c r="B658" t="s">
        <v>325</v>
      </c>
      <c r="C658" t="s">
        <v>319</v>
      </c>
      <c r="D658">
        <v>5.6</v>
      </c>
      <c r="E658" t="s">
        <v>820</v>
      </c>
      <c r="F658">
        <v>2023</v>
      </c>
      <c r="G658" t="str">
        <f>TRIM(RIGHT(Table156[[#This Row],[Item-Codigo]], LEN(Table156[[#This Row],[Item-Codigo]]) - FIND("|", CONCATENATE(B658), FIND("|", CONCATENATE(B658)) + 1)))</f>
        <v>KG</v>
      </c>
      <c r="H65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1045</v>
      </c>
      <c r="I658" s="40">
        <v>1045</v>
      </c>
      <c r="J65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658" t="s">
        <v>76</v>
      </c>
    </row>
    <row r="659" spans="1:11" x14ac:dyDescent="0.35">
      <c r="A659" t="s">
        <v>305</v>
      </c>
      <c r="B659" t="s">
        <v>335</v>
      </c>
      <c r="C659" t="s">
        <v>309</v>
      </c>
      <c r="D659">
        <v>1.6</v>
      </c>
      <c r="E659" t="s">
        <v>820</v>
      </c>
      <c r="F659">
        <v>2023</v>
      </c>
      <c r="G659" t="str">
        <f>TRIM(RIGHT(Table156[[#This Row],[Item-Codigo]], LEN(Table156[[#This Row],[Item-Codigo]]) - FIND("|", CONCATENATE(B659), FIND("|", CONCATENATE(B659)) + 1)))</f>
        <v>KG</v>
      </c>
      <c r="H65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131.3</v>
      </c>
      <c r="I659" s="40" t="s">
        <v>523</v>
      </c>
      <c r="J65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1600</v>
      </c>
      <c r="K659" t="s">
        <v>83</v>
      </c>
    </row>
    <row r="660" spans="1:11" x14ac:dyDescent="0.35">
      <c r="A660" t="s">
        <v>305</v>
      </c>
      <c r="B660" t="s">
        <v>336</v>
      </c>
      <c r="C660" t="s">
        <v>327</v>
      </c>
      <c r="D660">
        <v>5</v>
      </c>
      <c r="E660" t="s">
        <v>820</v>
      </c>
      <c r="F660">
        <v>2023</v>
      </c>
      <c r="G660" t="str">
        <f>TRIM(RIGHT(Table156[[#This Row],[Item-Codigo]], LEN(Table156[[#This Row],[Item-Codigo]]) - FIND("|", CONCATENATE(B660), FIND("|", CONCATENATE(B660)) + 1)))</f>
        <v>KG</v>
      </c>
      <c r="H66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340.1</v>
      </c>
      <c r="I660" s="40" t="s">
        <v>529</v>
      </c>
      <c r="J66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5000</v>
      </c>
      <c r="K660" t="s">
        <v>84</v>
      </c>
    </row>
    <row r="661" spans="1:11" x14ac:dyDescent="0.35">
      <c r="A661" t="s">
        <v>305</v>
      </c>
      <c r="B661" t="s">
        <v>337</v>
      </c>
      <c r="C661" t="s">
        <v>307</v>
      </c>
      <c r="D661">
        <v>13.5</v>
      </c>
      <c r="E661" t="s">
        <v>820</v>
      </c>
      <c r="F661">
        <v>2023</v>
      </c>
      <c r="G661" t="str">
        <f>TRIM(RIGHT(Table156[[#This Row],[Item-Codigo]], LEN(Table156[[#This Row],[Item-Codigo]]) - FIND("|", CONCATENATE(B661), FIND("|", CONCATENATE(B661)) + 1)))</f>
        <v>KG</v>
      </c>
      <c r="H66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936</v>
      </c>
      <c r="I661" s="40">
        <v>936</v>
      </c>
      <c r="J66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13500</v>
      </c>
      <c r="K661" t="s">
        <v>85</v>
      </c>
    </row>
    <row r="662" spans="1:11" x14ac:dyDescent="0.35">
      <c r="A662" t="s">
        <v>305</v>
      </c>
      <c r="B662" t="s">
        <v>340</v>
      </c>
      <c r="C662" t="s">
        <v>327</v>
      </c>
      <c r="D662">
        <v>11.25</v>
      </c>
      <c r="E662" t="s">
        <v>820</v>
      </c>
      <c r="F662">
        <v>2023</v>
      </c>
      <c r="G662" t="str">
        <f>TRIM(RIGHT(Table156[[#This Row],[Item-Codigo]], LEN(Table156[[#This Row],[Item-Codigo]]) - FIND("|", CONCATENATE(B662), FIND("|", CONCATENATE(B662)) + 1)))</f>
        <v>KG</v>
      </c>
      <c r="H66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877</v>
      </c>
      <c r="I662" s="40">
        <v>877</v>
      </c>
      <c r="J66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11250</v>
      </c>
      <c r="K662" t="s">
        <v>1074</v>
      </c>
    </row>
    <row r="663" spans="1:11" x14ac:dyDescent="0.35">
      <c r="A663" t="s">
        <v>305</v>
      </c>
      <c r="B663" t="s">
        <v>343</v>
      </c>
      <c r="C663" t="s">
        <v>385</v>
      </c>
      <c r="D663">
        <v>580</v>
      </c>
      <c r="E663" t="s">
        <v>820</v>
      </c>
      <c r="F663">
        <v>2023</v>
      </c>
      <c r="G663" t="str">
        <f>TRIM(RIGHT(Table156[[#This Row],[Item-Codigo]], LEN(Table156[[#This Row],[Item-Codigo]]) - FIND("|", CONCATENATE(B663), FIND("|", CONCATENATE(B663)) + 1)))</f>
        <v>TM</v>
      </c>
      <c r="H66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719</v>
      </c>
      <c r="I663" s="40">
        <v>719</v>
      </c>
      <c r="J66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580</v>
      </c>
      <c r="K663" t="s">
        <v>1077</v>
      </c>
    </row>
    <row r="664" spans="1:11" x14ac:dyDescent="0.35">
      <c r="A664" t="s">
        <v>305</v>
      </c>
      <c r="B664" t="s">
        <v>344</v>
      </c>
      <c r="C664" t="s">
        <v>345</v>
      </c>
      <c r="D664">
        <v>95</v>
      </c>
      <c r="E664" t="s">
        <v>820</v>
      </c>
      <c r="F664">
        <v>2023</v>
      </c>
      <c r="G664" t="str">
        <f>TRIM(RIGHT(Table156[[#This Row],[Item-Codigo]], LEN(Table156[[#This Row],[Item-Codigo]]) - FIND("|", CONCATENATE(B664), FIND("|", CONCATENATE(B664)) + 1)))</f>
        <v>KG</v>
      </c>
      <c r="H66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912.5</v>
      </c>
      <c r="I664" s="40" t="s">
        <v>555</v>
      </c>
      <c r="J66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95000</v>
      </c>
      <c r="K664" t="s">
        <v>90</v>
      </c>
    </row>
    <row r="665" spans="1:11" x14ac:dyDescent="0.35">
      <c r="A665" t="s">
        <v>305</v>
      </c>
      <c r="B665" t="s">
        <v>346</v>
      </c>
      <c r="C665" t="s">
        <v>327</v>
      </c>
      <c r="D665">
        <v>9</v>
      </c>
      <c r="E665" t="s">
        <v>820</v>
      </c>
      <c r="F665">
        <v>2023</v>
      </c>
      <c r="G665" t="str">
        <f>TRIM(RIGHT(Table156[[#This Row],[Item-Codigo]], LEN(Table156[[#This Row],[Item-Codigo]]) - FIND("|", CONCATENATE(B665), FIND("|", CONCATENATE(B665)) + 1)))</f>
        <v>KG</v>
      </c>
      <c r="H66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492.12</v>
      </c>
      <c r="I665" s="40" t="s">
        <v>539</v>
      </c>
      <c r="J66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665" t="s">
        <v>91</v>
      </c>
    </row>
    <row r="666" spans="1:11" x14ac:dyDescent="0.35">
      <c r="A666" t="s">
        <v>305</v>
      </c>
      <c r="B666" t="s">
        <v>347</v>
      </c>
      <c r="C666" t="s">
        <v>348</v>
      </c>
      <c r="D666">
        <v>19</v>
      </c>
      <c r="E666" t="s">
        <v>820</v>
      </c>
      <c r="F666">
        <v>2023</v>
      </c>
      <c r="G666" t="str">
        <f>TRIM(RIGHT(Table156[[#This Row],[Item-Codigo]], LEN(Table156[[#This Row],[Item-Codigo]]) - FIND("|", CONCATENATE(B666), FIND("|", CONCATENATE(B666)) + 1)))</f>
        <v>KG</v>
      </c>
      <c r="H66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550</v>
      </c>
      <c r="I666" s="40">
        <v>550</v>
      </c>
      <c r="J66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19000</v>
      </c>
      <c r="K666" t="s">
        <v>92</v>
      </c>
    </row>
    <row r="667" spans="1:11" x14ac:dyDescent="0.35">
      <c r="A667" t="s">
        <v>305</v>
      </c>
      <c r="B667" t="s">
        <v>350</v>
      </c>
      <c r="C667" t="s">
        <v>351</v>
      </c>
      <c r="D667">
        <v>1.86</v>
      </c>
      <c r="E667" t="s">
        <v>820</v>
      </c>
      <c r="F667">
        <v>2023</v>
      </c>
      <c r="G667" t="str">
        <f>TRIM(RIGHT(Table156[[#This Row],[Item-Codigo]], LEN(Table156[[#This Row],[Item-Codigo]]) - FIND("|", CONCATENATE(B667), FIND("|", CONCATENATE(B667)) + 1)))</f>
        <v>KG</v>
      </c>
      <c r="H66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173</v>
      </c>
      <c r="I667" s="40">
        <v>173</v>
      </c>
      <c r="J66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1860</v>
      </c>
      <c r="K667" t="s">
        <v>138</v>
      </c>
    </row>
    <row r="668" spans="1:11" x14ac:dyDescent="0.35">
      <c r="A668" t="s">
        <v>305</v>
      </c>
      <c r="B668" t="s">
        <v>352</v>
      </c>
      <c r="C668" t="s">
        <v>353</v>
      </c>
      <c r="D668">
        <v>9.35</v>
      </c>
      <c r="E668" t="s">
        <v>820</v>
      </c>
      <c r="F668">
        <v>2023</v>
      </c>
      <c r="G668" t="str">
        <f>TRIM(RIGHT(Table156[[#This Row],[Item-Codigo]], LEN(Table156[[#This Row],[Item-Codigo]]) - FIND("|", CONCATENATE(B668), FIND("|", CONCATENATE(B668)) + 1)))</f>
        <v>KG</v>
      </c>
      <c r="H66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742</v>
      </c>
      <c r="I668" s="40">
        <v>742</v>
      </c>
      <c r="J66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9350</v>
      </c>
      <c r="K668" t="s">
        <v>147</v>
      </c>
    </row>
    <row r="669" spans="1:11" x14ac:dyDescent="0.35">
      <c r="A669" t="s">
        <v>305</v>
      </c>
      <c r="B669" t="s">
        <v>355</v>
      </c>
      <c r="C669" t="s">
        <v>353</v>
      </c>
      <c r="D669">
        <v>8.85</v>
      </c>
      <c r="E669" t="s">
        <v>820</v>
      </c>
      <c r="F669">
        <v>2023</v>
      </c>
      <c r="G669" t="str">
        <f>TRIM(RIGHT(Table156[[#This Row],[Item-Codigo]], LEN(Table156[[#This Row],[Item-Codigo]]) - FIND("|", CONCATENATE(B669), FIND("|", CONCATENATE(B669)) + 1)))</f>
        <v>KG</v>
      </c>
      <c r="H66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740</v>
      </c>
      <c r="I669" s="40">
        <v>740</v>
      </c>
      <c r="J66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8850</v>
      </c>
      <c r="K669" t="s">
        <v>143</v>
      </c>
    </row>
    <row r="670" spans="1:11" x14ac:dyDescent="0.35">
      <c r="A670" t="s">
        <v>305</v>
      </c>
      <c r="B670" t="s">
        <v>360</v>
      </c>
      <c r="C670" t="s">
        <v>215</v>
      </c>
      <c r="D670">
        <v>1161.4079999999999</v>
      </c>
      <c r="E670" t="s">
        <v>820</v>
      </c>
      <c r="F670">
        <v>2023</v>
      </c>
      <c r="G670" t="str">
        <f>TRIM(RIGHT(Table156[[#This Row],[Item-Codigo]], LEN(Table156[[#This Row],[Item-Codigo]]) - FIND("|", CONCATENATE(B670), FIND("|", CONCATENATE(B670)) + 1)))</f>
        <v>TM</v>
      </c>
      <c r="H67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</v>
      </c>
      <c r="I670" s="40">
        <v>45</v>
      </c>
      <c r="J67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1161.4079999999999</v>
      </c>
      <c r="K670" t="s">
        <v>131</v>
      </c>
    </row>
    <row r="671" spans="1:11" x14ac:dyDescent="0.35">
      <c r="A671" t="s">
        <v>305</v>
      </c>
      <c r="B671" t="s">
        <v>362</v>
      </c>
      <c r="C671" t="s">
        <v>363</v>
      </c>
      <c r="D671">
        <v>1.3148</v>
      </c>
      <c r="E671" t="s">
        <v>820</v>
      </c>
      <c r="F671">
        <v>2023</v>
      </c>
      <c r="G671" t="str">
        <f>TRIM(RIGHT(Table156[[#This Row],[Item-Codigo]], LEN(Table156[[#This Row],[Item-Codigo]]) - FIND("|", CONCATENATE(B671), FIND("|", CONCATENATE(B671)) + 1)))</f>
        <v>KG</v>
      </c>
      <c r="H67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439</v>
      </c>
      <c r="I671" s="40">
        <v>439</v>
      </c>
      <c r="J67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1314.8</v>
      </c>
      <c r="K671" t="s">
        <v>137</v>
      </c>
    </row>
    <row r="672" spans="1:11" x14ac:dyDescent="0.35">
      <c r="A672" t="s">
        <v>305</v>
      </c>
      <c r="B672" t="s">
        <v>912</v>
      </c>
      <c r="C672" t="s">
        <v>327</v>
      </c>
      <c r="D672">
        <v>2.72</v>
      </c>
      <c r="E672" t="s">
        <v>820</v>
      </c>
      <c r="F672">
        <v>2023</v>
      </c>
      <c r="G672" t="str">
        <f>TRIM(RIGHT(Table156[[#This Row],[Item-Codigo]], LEN(Table156[[#This Row],[Item-Codigo]]) - FIND("|", CONCATENATE(B672), FIND("|", CONCATENATE(B672)) + 1)))</f>
        <v>KG</v>
      </c>
      <c r="H67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498.4</v>
      </c>
      <c r="I672" s="40" t="s">
        <v>942</v>
      </c>
      <c r="J67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2720</v>
      </c>
      <c r="K672" t="s">
        <v>1230</v>
      </c>
    </row>
    <row r="673" spans="1:11" x14ac:dyDescent="0.35">
      <c r="A673" t="s">
        <v>305</v>
      </c>
      <c r="B673" t="s">
        <v>913</v>
      </c>
      <c r="C673" t="s">
        <v>365</v>
      </c>
      <c r="D673">
        <v>3.57</v>
      </c>
      <c r="E673" t="s">
        <v>820</v>
      </c>
      <c r="F673">
        <v>2023</v>
      </c>
      <c r="G673" t="str">
        <f>TRIM(RIGHT(Table156[[#This Row],[Item-Codigo]], LEN(Table156[[#This Row],[Item-Codigo]]) - FIND("|", CONCATENATE(B673), FIND("|", CONCATENATE(B673)) + 1)))</f>
        <v>KG</v>
      </c>
      <c r="H67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499.12</v>
      </c>
      <c r="I673" s="40" t="s">
        <v>544</v>
      </c>
      <c r="J67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3570</v>
      </c>
      <c r="K673" t="s">
        <v>972</v>
      </c>
    </row>
    <row r="674" spans="1:11" x14ac:dyDescent="0.35">
      <c r="A674" t="s">
        <v>305</v>
      </c>
      <c r="B674" t="s">
        <v>366</v>
      </c>
      <c r="C674" t="s">
        <v>365</v>
      </c>
      <c r="D674">
        <v>2.89</v>
      </c>
      <c r="E674" t="s">
        <v>820</v>
      </c>
      <c r="F674">
        <v>2023</v>
      </c>
      <c r="G674" t="str">
        <f>TRIM(RIGHT(Table156[[#This Row],[Item-Codigo]], LEN(Table156[[#This Row],[Item-Codigo]]) - FIND("|", CONCATENATE(B674), FIND("|", CONCATENATE(B674)) + 1)))</f>
        <v>KG</v>
      </c>
      <c r="H67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499.11</v>
      </c>
      <c r="I674" s="40" t="s">
        <v>543</v>
      </c>
      <c r="J67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2890</v>
      </c>
      <c r="K674" t="s">
        <v>142</v>
      </c>
    </row>
    <row r="675" spans="1:11" x14ac:dyDescent="0.35">
      <c r="A675" t="s">
        <v>305</v>
      </c>
      <c r="B675" t="s">
        <v>368</v>
      </c>
      <c r="C675" t="s">
        <v>348</v>
      </c>
      <c r="D675">
        <v>4.5</v>
      </c>
      <c r="E675" t="s">
        <v>820</v>
      </c>
      <c r="F675">
        <v>2023</v>
      </c>
      <c r="G675" t="str">
        <f>TRIM(RIGHT(Table156[[#This Row],[Item-Codigo]], LEN(Table156[[#This Row],[Item-Codigo]]) - FIND("|", CONCATENATE(B675), FIND("|", CONCATENATE(B675)) + 1)))</f>
        <v>KG</v>
      </c>
      <c r="H67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381</v>
      </c>
      <c r="I675" s="40">
        <v>381</v>
      </c>
      <c r="J67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4500</v>
      </c>
      <c r="K675" t="s">
        <v>74</v>
      </c>
    </row>
    <row r="676" spans="1:11" x14ac:dyDescent="0.35">
      <c r="A676" t="s">
        <v>305</v>
      </c>
      <c r="B676" t="s">
        <v>372</v>
      </c>
      <c r="C676" t="s">
        <v>373</v>
      </c>
      <c r="D676">
        <v>1.2</v>
      </c>
      <c r="E676" t="s">
        <v>820</v>
      </c>
      <c r="F676">
        <v>2023</v>
      </c>
      <c r="G676" t="str">
        <f>TRIM(RIGHT(Table156[[#This Row],[Item-Codigo]], LEN(Table156[[#This Row],[Item-Codigo]]) - FIND("|", CONCATENATE(B676), FIND("|", CONCATENATE(B676)) + 1)))</f>
        <v>KG</v>
      </c>
      <c r="H67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701.2</v>
      </c>
      <c r="I676" s="40" t="s">
        <v>553</v>
      </c>
      <c r="J67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1200</v>
      </c>
      <c r="K676" t="s">
        <v>140</v>
      </c>
    </row>
    <row r="677" spans="1:11" x14ac:dyDescent="0.35">
      <c r="A677" t="s">
        <v>305</v>
      </c>
      <c r="B677" t="s">
        <v>375</v>
      </c>
      <c r="C677" t="s">
        <v>317</v>
      </c>
      <c r="D677">
        <v>6</v>
      </c>
      <c r="E677" t="s">
        <v>820</v>
      </c>
      <c r="F677">
        <v>2023</v>
      </c>
      <c r="G677" t="str">
        <f>TRIM(RIGHT(Table156[[#This Row],[Item-Codigo]], LEN(Table156[[#This Row],[Item-Codigo]]) - FIND("|", CONCATENATE(B677), FIND("|", CONCATENATE(B677)) + 1)))</f>
        <v>KG</v>
      </c>
      <c r="H67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945</v>
      </c>
      <c r="I677" s="40">
        <v>945</v>
      </c>
      <c r="J67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677" t="s">
        <v>148</v>
      </c>
    </row>
    <row r="678" spans="1:11" x14ac:dyDescent="0.35">
      <c r="A678" t="s">
        <v>305</v>
      </c>
      <c r="B678" t="s">
        <v>378</v>
      </c>
      <c r="C678" t="s">
        <v>377</v>
      </c>
      <c r="D678">
        <v>2.1</v>
      </c>
      <c r="E678" t="s">
        <v>820</v>
      </c>
      <c r="F678">
        <v>2023</v>
      </c>
      <c r="G678" t="str">
        <f>TRIM(RIGHT(Table156[[#This Row],[Item-Codigo]], LEN(Table156[[#This Row],[Item-Codigo]]) - FIND("|", CONCATENATE(B678), FIND("|", CONCATENATE(B678)) + 1)))</f>
        <v>KG</v>
      </c>
      <c r="H67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316</v>
      </c>
      <c r="I678" s="40">
        <v>316</v>
      </c>
      <c r="J67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2100</v>
      </c>
      <c r="K678" t="s">
        <v>165</v>
      </c>
    </row>
    <row r="679" spans="1:11" x14ac:dyDescent="0.35">
      <c r="A679" t="s">
        <v>305</v>
      </c>
      <c r="B679" t="s">
        <v>380</v>
      </c>
      <c r="C679" t="s">
        <v>381</v>
      </c>
      <c r="D679">
        <v>4.4000000000000004</v>
      </c>
      <c r="E679" t="s">
        <v>820</v>
      </c>
      <c r="F679">
        <v>2023</v>
      </c>
      <c r="G679" t="str">
        <f>TRIM(RIGHT(Table156[[#This Row],[Item-Codigo]], LEN(Table156[[#This Row],[Item-Codigo]]) - FIND("|", CONCATENATE(B679), FIND("|", CONCATENATE(B679)) + 1)))</f>
        <v>KG</v>
      </c>
      <c r="H67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706</v>
      </c>
      <c r="I679" s="40">
        <v>706</v>
      </c>
      <c r="J67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4400</v>
      </c>
      <c r="K679" t="s">
        <v>156</v>
      </c>
    </row>
    <row r="680" spans="1:11" x14ac:dyDescent="0.35">
      <c r="A680" t="s">
        <v>305</v>
      </c>
      <c r="B680" t="s">
        <v>382</v>
      </c>
      <c r="C680" t="s">
        <v>327</v>
      </c>
      <c r="D680">
        <v>9</v>
      </c>
      <c r="E680" t="s">
        <v>820</v>
      </c>
      <c r="F680">
        <v>2023</v>
      </c>
      <c r="G680" t="str">
        <f>TRIM(RIGHT(Table156[[#This Row],[Item-Codigo]], LEN(Table156[[#This Row],[Item-Codigo]]) - FIND("|", CONCATENATE(B680), FIND("|", CONCATENATE(B680)) + 1)))</f>
        <v>KG</v>
      </c>
      <c r="H68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68</v>
      </c>
      <c r="I680" s="40">
        <v>68</v>
      </c>
      <c r="J68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680" t="s">
        <v>160</v>
      </c>
    </row>
    <row r="681" spans="1:11" x14ac:dyDescent="0.35">
      <c r="A681" t="s">
        <v>305</v>
      </c>
      <c r="B681" t="s">
        <v>388</v>
      </c>
      <c r="C681" t="s">
        <v>321</v>
      </c>
      <c r="D681">
        <v>7.4</v>
      </c>
      <c r="E681" t="s">
        <v>820</v>
      </c>
      <c r="F681">
        <v>2023</v>
      </c>
      <c r="G681" t="str">
        <f>TRIM(RIGHT(Table156[[#This Row],[Item-Codigo]], LEN(Table156[[#This Row],[Item-Codigo]]) - FIND("|", CONCATENATE(B681), FIND("|", CONCATENATE(B681)) + 1)))</f>
        <v>KG</v>
      </c>
      <c r="H68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1068</v>
      </c>
      <c r="I681" s="40">
        <v>1068</v>
      </c>
      <c r="J68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7400</v>
      </c>
      <c r="K681" t="s">
        <v>145</v>
      </c>
    </row>
    <row r="682" spans="1:11" x14ac:dyDescent="0.35">
      <c r="A682" t="s">
        <v>305</v>
      </c>
      <c r="B682" t="s">
        <v>389</v>
      </c>
      <c r="C682" t="s">
        <v>390</v>
      </c>
      <c r="D682">
        <v>1.05</v>
      </c>
      <c r="E682" t="s">
        <v>820</v>
      </c>
      <c r="F682">
        <v>2023</v>
      </c>
      <c r="G682" t="str">
        <f>TRIM(RIGHT(Table156[[#This Row],[Item-Codigo]], LEN(Table156[[#This Row],[Item-Codigo]]) - FIND("|", CONCATENATE(B682), FIND("|", CONCATENATE(B682)) + 1)))</f>
        <v>KG</v>
      </c>
      <c r="H68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806</v>
      </c>
      <c r="I682" s="40">
        <v>806</v>
      </c>
      <c r="J68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1050</v>
      </c>
      <c r="K682" t="s">
        <v>134</v>
      </c>
    </row>
    <row r="683" spans="1:11" x14ac:dyDescent="0.35">
      <c r="A683" t="s">
        <v>305</v>
      </c>
      <c r="B683" t="s">
        <v>391</v>
      </c>
      <c r="C683" t="s">
        <v>390</v>
      </c>
      <c r="D683">
        <v>2</v>
      </c>
      <c r="E683" t="s">
        <v>820</v>
      </c>
      <c r="F683">
        <v>2023</v>
      </c>
      <c r="G683" t="str">
        <f>TRIM(RIGHT(Table156[[#This Row],[Item-Codigo]], LEN(Table156[[#This Row],[Item-Codigo]]) - FIND("|", CONCATENATE(B683), FIND("|", CONCATENATE(B683)) + 1)))</f>
        <v>KG</v>
      </c>
      <c r="H68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810</v>
      </c>
      <c r="I683" s="40">
        <v>810</v>
      </c>
      <c r="J68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2000</v>
      </c>
      <c r="K683" t="s">
        <v>144</v>
      </c>
    </row>
    <row r="684" spans="1:11" x14ac:dyDescent="0.35">
      <c r="A684" t="s">
        <v>305</v>
      </c>
      <c r="B684" t="s">
        <v>394</v>
      </c>
      <c r="C684" t="s">
        <v>395</v>
      </c>
      <c r="D684">
        <v>19.75</v>
      </c>
      <c r="E684" t="s">
        <v>820</v>
      </c>
      <c r="F684">
        <v>2023</v>
      </c>
      <c r="G684" t="str">
        <f>TRIM(RIGHT(Table156[[#This Row],[Item-Codigo]], LEN(Table156[[#This Row],[Item-Codigo]]) - FIND("|", CONCATENATE(B684), FIND("|", CONCATENATE(B684)) + 1)))</f>
        <v>KG</v>
      </c>
      <c r="H68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</v>
      </c>
      <c r="I684" s="40">
        <v>70</v>
      </c>
      <c r="J68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19750</v>
      </c>
      <c r="K684" t="s">
        <v>159</v>
      </c>
    </row>
    <row r="685" spans="1:11" x14ac:dyDescent="0.35">
      <c r="A685" t="s">
        <v>305</v>
      </c>
      <c r="B685" t="s">
        <v>397</v>
      </c>
      <c r="C685" t="s">
        <v>327</v>
      </c>
      <c r="D685">
        <v>9</v>
      </c>
      <c r="E685" t="s">
        <v>820</v>
      </c>
      <c r="F685">
        <v>2023</v>
      </c>
      <c r="G685" t="str">
        <f>TRIM(RIGHT(Table156[[#This Row],[Item-Codigo]], LEN(Table156[[#This Row],[Item-Codigo]]) - FIND("|", CONCATENATE(B685), FIND("|", CONCATENATE(B685)) + 1)))</f>
        <v>KG</v>
      </c>
      <c r="H68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933</v>
      </c>
      <c r="I685" s="40">
        <v>933</v>
      </c>
      <c r="J68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685" t="s">
        <v>163</v>
      </c>
    </row>
    <row r="686" spans="1:11" x14ac:dyDescent="0.35">
      <c r="A686" t="s">
        <v>305</v>
      </c>
      <c r="B686" t="s">
        <v>919</v>
      </c>
      <c r="C686" t="s">
        <v>399</v>
      </c>
      <c r="D686">
        <v>4.22</v>
      </c>
      <c r="E686" t="s">
        <v>820</v>
      </c>
      <c r="F686">
        <v>2023</v>
      </c>
      <c r="G686" t="str">
        <f>TRIM(RIGHT(Table156[[#This Row],[Item-Codigo]], LEN(Table156[[#This Row],[Item-Codigo]]) - FIND("|", CONCATENATE(B686), FIND("|", CONCATENATE(B686)) + 1)))</f>
        <v>S 25KG</v>
      </c>
      <c r="H68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704</v>
      </c>
      <c r="I686" s="40">
        <v>704</v>
      </c>
      <c r="J68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4220</v>
      </c>
      <c r="K686" t="s">
        <v>132</v>
      </c>
    </row>
    <row r="687" spans="1:11" x14ac:dyDescent="0.35">
      <c r="A687" t="s">
        <v>305</v>
      </c>
      <c r="B687" t="s">
        <v>921</v>
      </c>
      <c r="C687" t="s">
        <v>348</v>
      </c>
      <c r="D687">
        <v>4</v>
      </c>
      <c r="E687" t="s">
        <v>820</v>
      </c>
      <c r="F687">
        <v>2023</v>
      </c>
      <c r="G687" t="str">
        <f>TRIM(RIGHT(Table156[[#This Row],[Item-Codigo]], LEN(Table156[[#This Row],[Item-Codigo]]) - FIND("|", CONCATENATE(B687), FIND("|", CONCATENATE(B687)) + 1)))</f>
        <v>KG</v>
      </c>
      <c r="H68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475.1</v>
      </c>
      <c r="I687" s="40" t="s">
        <v>537</v>
      </c>
      <c r="J68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</v>
      </c>
      <c r="K687" t="s">
        <v>82</v>
      </c>
    </row>
    <row r="688" spans="1:11" x14ac:dyDescent="0.35">
      <c r="A688" t="s">
        <v>305</v>
      </c>
      <c r="B688" t="s">
        <v>401</v>
      </c>
      <c r="C688" t="s">
        <v>345</v>
      </c>
      <c r="D688">
        <v>33.85</v>
      </c>
      <c r="E688" t="s">
        <v>820</v>
      </c>
      <c r="F688">
        <v>2023</v>
      </c>
      <c r="G688" t="str">
        <f>TRIM(RIGHT(Table156[[#This Row],[Item-Codigo]], LEN(Table156[[#This Row],[Item-Codigo]]) - FIND("|", CONCATENATE(B688), FIND("|", CONCATENATE(B688)) + 1)))</f>
        <v>KG</v>
      </c>
      <c r="H68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1049</v>
      </c>
      <c r="I688" s="40">
        <v>1049</v>
      </c>
      <c r="J68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33850</v>
      </c>
      <c r="K688" t="s">
        <v>973</v>
      </c>
    </row>
    <row r="689" spans="1:11" x14ac:dyDescent="0.35">
      <c r="A689" t="s">
        <v>305</v>
      </c>
      <c r="B689" t="s">
        <v>402</v>
      </c>
      <c r="C689" t="s">
        <v>381</v>
      </c>
      <c r="D689">
        <v>3.2</v>
      </c>
      <c r="E689" t="s">
        <v>820</v>
      </c>
      <c r="F689">
        <v>2023</v>
      </c>
      <c r="G689" t="str">
        <f>TRIM(RIGHT(Table156[[#This Row],[Item-Codigo]], LEN(Table156[[#This Row],[Item-Codigo]]) - FIND("|", CONCATENATE(B689), FIND("|", CONCATENATE(B689)) + 1)))</f>
        <v>KG</v>
      </c>
      <c r="H68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716</v>
      </c>
      <c r="I689" s="40">
        <v>716</v>
      </c>
      <c r="J68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3200</v>
      </c>
      <c r="K689" t="s">
        <v>162</v>
      </c>
    </row>
    <row r="690" spans="1:11" x14ac:dyDescent="0.35">
      <c r="A690" t="s">
        <v>305</v>
      </c>
      <c r="B690" t="s">
        <v>407</v>
      </c>
      <c r="C690" t="s">
        <v>390</v>
      </c>
      <c r="D690">
        <v>1.18</v>
      </c>
      <c r="E690" t="s">
        <v>820</v>
      </c>
      <c r="F690">
        <v>2023</v>
      </c>
      <c r="G690" t="str">
        <f>TRIM(RIGHT(Table156[[#This Row],[Item-Codigo]], LEN(Table156[[#This Row],[Item-Codigo]]) - FIND("|", CONCATENATE(B690), FIND("|", CONCATENATE(B690)) + 1)))</f>
        <v>KG</v>
      </c>
      <c r="H69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46.5</v>
      </c>
      <c r="I690" s="40" t="s">
        <v>535</v>
      </c>
      <c r="J69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1180</v>
      </c>
      <c r="K690" t="s">
        <v>161</v>
      </c>
    </row>
    <row r="691" spans="1:11" x14ac:dyDescent="0.35">
      <c r="A691" t="s">
        <v>305</v>
      </c>
      <c r="B691" t="s">
        <v>408</v>
      </c>
      <c r="C691" t="s">
        <v>327</v>
      </c>
      <c r="D691">
        <v>1.4</v>
      </c>
      <c r="E691" t="s">
        <v>820</v>
      </c>
      <c r="F691">
        <v>2023</v>
      </c>
      <c r="G691" t="str">
        <f>TRIM(RIGHT(Table156[[#This Row],[Item-Codigo]], LEN(Table156[[#This Row],[Item-Codigo]]) - FIND("|", CONCATENATE(B691), FIND("|", CONCATENATE(B691)) + 1)))</f>
        <v>KG</v>
      </c>
      <c r="H69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379</v>
      </c>
      <c r="I691" s="40">
        <v>379</v>
      </c>
      <c r="J69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1400</v>
      </c>
      <c r="K691" t="s">
        <v>139</v>
      </c>
    </row>
    <row r="692" spans="1:11" x14ac:dyDescent="0.35">
      <c r="A692" t="s">
        <v>305</v>
      </c>
      <c r="B692" t="s">
        <v>408</v>
      </c>
      <c r="C692" t="s">
        <v>215</v>
      </c>
      <c r="D692">
        <v>1.5549999999999999</v>
      </c>
      <c r="E692" t="s">
        <v>820</v>
      </c>
      <c r="F692">
        <v>2023</v>
      </c>
      <c r="G692" t="str">
        <f>TRIM(RIGHT(Table156[[#This Row],[Item-Codigo]], LEN(Table156[[#This Row],[Item-Codigo]]) - FIND("|", CONCATENATE(B692), FIND("|", CONCATENATE(B692)) + 1)))</f>
        <v>KG</v>
      </c>
      <c r="H69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379</v>
      </c>
      <c r="I692" s="40">
        <v>379</v>
      </c>
      <c r="J69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1555</v>
      </c>
      <c r="K692" t="s">
        <v>139</v>
      </c>
    </row>
    <row r="693" spans="1:11" x14ac:dyDescent="0.35">
      <c r="A693" t="s">
        <v>305</v>
      </c>
      <c r="B693" t="s">
        <v>928</v>
      </c>
      <c r="C693" t="s">
        <v>327</v>
      </c>
      <c r="D693">
        <v>8.9</v>
      </c>
      <c r="E693" t="s">
        <v>820</v>
      </c>
      <c r="F693">
        <v>2023</v>
      </c>
      <c r="G693" t="str">
        <f>TRIM(RIGHT(Table156[[#This Row],[Item-Codigo]], LEN(Table156[[#This Row],[Item-Codigo]]) - FIND("|", CONCATENATE(B693), FIND("|", CONCATENATE(B693)) + 1)))</f>
        <v>KG</v>
      </c>
      <c r="H69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442.4</v>
      </c>
      <c r="I693" s="40" t="s">
        <v>531</v>
      </c>
      <c r="J69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8900</v>
      </c>
      <c r="K693" t="s">
        <v>164</v>
      </c>
    </row>
    <row r="694" spans="1:11" x14ac:dyDescent="0.35">
      <c r="A694" t="s">
        <v>305</v>
      </c>
      <c r="B694" t="s">
        <v>928</v>
      </c>
      <c r="C694" t="s">
        <v>215</v>
      </c>
      <c r="D694">
        <v>7.9249999999999998</v>
      </c>
      <c r="E694" t="s">
        <v>820</v>
      </c>
      <c r="F694">
        <v>2023</v>
      </c>
      <c r="G694" t="str">
        <f>TRIM(RIGHT(Table156[[#This Row],[Item-Codigo]], LEN(Table156[[#This Row],[Item-Codigo]]) - FIND("|", CONCATENATE(B694), FIND("|", CONCATENATE(B694)) + 1)))</f>
        <v>KG</v>
      </c>
      <c r="H69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442.4</v>
      </c>
      <c r="I694" s="40" t="s">
        <v>531</v>
      </c>
      <c r="J69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7925</v>
      </c>
      <c r="K694" t="s">
        <v>164</v>
      </c>
    </row>
    <row r="695" spans="1:11" x14ac:dyDescent="0.35">
      <c r="A695" t="s">
        <v>305</v>
      </c>
      <c r="B695" t="s">
        <v>410</v>
      </c>
      <c r="C695" t="s">
        <v>215</v>
      </c>
      <c r="D695">
        <v>3.51</v>
      </c>
      <c r="E695" t="s">
        <v>820</v>
      </c>
      <c r="F695">
        <v>2023</v>
      </c>
      <c r="G695" t="str">
        <f>TRIM(RIGHT(Table156[[#This Row],[Item-Codigo]], LEN(Table156[[#This Row],[Item-Codigo]]) - FIND("|", CONCATENATE(B695), FIND("|", CONCATENATE(B695)) + 1)))</f>
        <v>KG</v>
      </c>
      <c r="H69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508</v>
      </c>
      <c r="I695" s="40">
        <v>508</v>
      </c>
      <c r="J69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3510</v>
      </c>
      <c r="K695" t="s">
        <v>154</v>
      </c>
    </row>
    <row r="696" spans="1:11" x14ac:dyDescent="0.35">
      <c r="A696" t="s">
        <v>305</v>
      </c>
      <c r="B696" t="s">
        <v>930</v>
      </c>
      <c r="C696" t="s">
        <v>365</v>
      </c>
      <c r="D696">
        <v>4</v>
      </c>
      <c r="E696" t="s">
        <v>820</v>
      </c>
      <c r="F696">
        <v>2023</v>
      </c>
      <c r="G696" t="str">
        <f>TRIM(RIGHT(Table156[[#This Row],[Item-Codigo]], LEN(Table156[[#This Row],[Item-Codigo]]) - FIND("|", CONCATENATE(B696), FIND("|", CONCATENATE(B696)) + 1)))</f>
        <v>KG</v>
      </c>
      <c r="H69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456.13</v>
      </c>
      <c r="I696" s="40" t="s">
        <v>944</v>
      </c>
      <c r="J69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</v>
      </c>
      <c r="K696" t="s">
        <v>158</v>
      </c>
    </row>
    <row r="697" spans="1:11" x14ac:dyDescent="0.35">
      <c r="A697" t="s">
        <v>305</v>
      </c>
      <c r="B697" t="s">
        <v>931</v>
      </c>
      <c r="C697" t="s">
        <v>415</v>
      </c>
      <c r="D697">
        <v>3.93</v>
      </c>
      <c r="E697" t="s">
        <v>820</v>
      </c>
      <c r="F697">
        <v>2023</v>
      </c>
      <c r="G697" t="str">
        <f>TRIM(RIGHT(Table156[[#This Row],[Item-Codigo]], LEN(Table156[[#This Row],[Item-Codigo]]) - FIND("|", CONCATENATE(B697), FIND("|", CONCATENATE(B697)) + 1)))</f>
        <v>KG</v>
      </c>
      <c r="H69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456.9</v>
      </c>
      <c r="I697" s="40" t="s">
        <v>534</v>
      </c>
      <c r="J69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3930</v>
      </c>
      <c r="K697" t="s">
        <v>158</v>
      </c>
    </row>
    <row r="698" spans="1:11" x14ac:dyDescent="0.35">
      <c r="A698" t="s">
        <v>196</v>
      </c>
      <c r="B698" t="s">
        <v>216</v>
      </c>
      <c r="C698" t="s">
        <v>825</v>
      </c>
      <c r="D698">
        <v>670</v>
      </c>
      <c r="E698" t="s">
        <v>206</v>
      </c>
      <c r="F698">
        <v>2023</v>
      </c>
      <c r="G698" t="str">
        <f>TRIM(RIGHT(Table156[[#This Row],[Item-Codigo]], LEN(Table156[[#This Row],[Item-Codigo]]) - FIND("|", CONCATENATE(B698), FIND("|", CONCATENATE(B698)) + 1)))</f>
        <v>TM</v>
      </c>
      <c r="H69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122</v>
      </c>
      <c r="I698" s="40">
        <v>122</v>
      </c>
      <c r="J69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670</v>
      </c>
      <c r="K698" t="s">
        <v>180</v>
      </c>
    </row>
    <row r="699" spans="1:11" x14ac:dyDescent="0.35">
      <c r="A699" t="s">
        <v>196</v>
      </c>
      <c r="B699" t="s">
        <v>216</v>
      </c>
      <c r="C699" t="s">
        <v>215</v>
      </c>
      <c r="D699">
        <v>647.64755211445004</v>
      </c>
      <c r="E699" t="s">
        <v>206</v>
      </c>
      <c r="F699">
        <v>2023</v>
      </c>
      <c r="G699" t="str">
        <f>TRIM(RIGHT(Table156[[#This Row],[Item-Codigo]], LEN(Table156[[#This Row],[Item-Codigo]]) - FIND("|", CONCATENATE(B699), FIND("|", CONCATENATE(B699)) + 1)))</f>
        <v>TM</v>
      </c>
      <c r="H69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122</v>
      </c>
      <c r="I699" s="40">
        <v>122</v>
      </c>
      <c r="J69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647.64755211445004</v>
      </c>
      <c r="K699" t="s">
        <v>180</v>
      </c>
    </row>
    <row r="700" spans="1:11" x14ac:dyDescent="0.35">
      <c r="A700" t="s">
        <v>196</v>
      </c>
      <c r="B700" t="s">
        <v>217</v>
      </c>
      <c r="C700" t="s">
        <v>215</v>
      </c>
      <c r="D700">
        <v>396.1712818181</v>
      </c>
      <c r="E700" t="s">
        <v>206</v>
      </c>
      <c r="F700">
        <v>2023</v>
      </c>
      <c r="G700" t="str">
        <f>TRIM(RIGHT(Table156[[#This Row],[Item-Codigo]], LEN(Table156[[#This Row],[Item-Codigo]]) - FIND("|", CONCATENATE(B700), FIND("|", CONCATENATE(B700)) + 1)))</f>
        <v>TM</v>
      </c>
      <c r="H70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871</v>
      </c>
      <c r="I700" s="40">
        <v>871</v>
      </c>
      <c r="J70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396.1712818181</v>
      </c>
      <c r="K700" t="s">
        <v>181</v>
      </c>
    </row>
    <row r="701" spans="1:11" x14ac:dyDescent="0.35">
      <c r="A701" t="s">
        <v>198</v>
      </c>
      <c r="B701" t="s">
        <v>219</v>
      </c>
      <c r="C701" t="s">
        <v>222</v>
      </c>
      <c r="D701">
        <v>967.57986870889999</v>
      </c>
      <c r="E701" t="s">
        <v>206</v>
      </c>
      <c r="F701">
        <v>2023</v>
      </c>
      <c r="G701" t="str">
        <f>TRIM(RIGHT(Table156[[#This Row],[Item-Codigo]], LEN(Table156[[#This Row],[Item-Codigo]]) - FIND("|", CONCATENATE(B701), FIND("|", CONCATENATE(B701)) + 1)))</f>
        <v>TM</v>
      </c>
      <c r="H70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701" s="40">
        <v>42</v>
      </c>
      <c r="J70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967.57986870889999</v>
      </c>
      <c r="K701" t="s">
        <v>94</v>
      </c>
    </row>
    <row r="702" spans="1:11" x14ac:dyDescent="0.35">
      <c r="A702" t="s">
        <v>198</v>
      </c>
      <c r="B702" t="s">
        <v>224</v>
      </c>
      <c r="C702" t="s">
        <v>223</v>
      </c>
      <c r="D702">
        <v>2000</v>
      </c>
      <c r="E702" t="s">
        <v>206</v>
      </c>
      <c r="F702">
        <v>2023</v>
      </c>
      <c r="G702" t="str">
        <f>TRIM(RIGHT(Table156[[#This Row],[Item-Codigo]], LEN(Table156[[#This Row],[Item-Codigo]]) - FIND("|", CONCATENATE(B702), FIND("|", CONCATENATE(B702)) + 1)))</f>
        <v>TM</v>
      </c>
      <c r="H70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40</v>
      </c>
      <c r="I702" s="40">
        <v>40</v>
      </c>
      <c r="J70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2000</v>
      </c>
      <c r="K702" t="s">
        <v>95</v>
      </c>
    </row>
    <row r="703" spans="1:11" x14ac:dyDescent="0.35">
      <c r="A703" t="s">
        <v>198</v>
      </c>
      <c r="B703" t="s">
        <v>224</v>
      </c>
      <c r="C703" t="s">
        <v>831</v>
      </c>
      <c r="D703">
        <v>1860</v>
      </c>
      <c r="E703" t="s">
        <v>206</v>
      </c>
      <c r="F703">
        <v>2023</v>
      </c>
      <c r="G703" t="str">
        <f>TRIM(RIGHT(Table156[[#This Row],[Item-Codigo]], LEN(Table156[[#This Row],[Item-Codigo]]) - FIND("|", CONCATENATE(B703), FIND("|", CONCATENATE(B703)) + 1)))</f>
        <v>TM</v>
      </c>
      <c r="H70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40</v>
      </c>
      <c r="I703" s="40">
        <v>40</v>
      </c>
      <c r="J70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1860</v>
      </c>
      <c r="K703" t="s">
        <v>95</v>
      </c>
    </row>
    <row r="704" spans="1:11" x14ac:dyDescent="0.35">
      <c r="A704" t="s">
        <v>198</v>
      </c>
      <c r="B704" t="s">
        <v>228</v>
      </c>
      <c r="C704" t="s">
        <v>832</v>
      </c>
      <c r="D704">
        <v>385.0767017421</v>
      </c>
      <c r="E704" t="s">
        <v>206</v>
      </c>
      <c r="F704">
        <v>2023</v>
      </c>
      <c r="G704" t="str">
        <f>TRIM(RIGHT(Table156[[#This Row],[Item-Codigo]], LEN(Table156[[#This Row],[Item-Codigo]]) - FIND("|", CONCATENATE(B704), FIND("|", CONCATENATE(B704)) + 1)))</f>
        <v>TM</v>
      </c>
      <c r="H70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704" s="40">
        <v>200</v>
      </c>
      <c r="J70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385.0767017421</v>
      </c>
      <c r="K704" t="s">
        <v>97</v>
      </c>
    </row>
    <row r="705" spans="1:11" x14ac:dyDescent="0.35">
      <c r="A705" t="s">
        <v>198</v>
      </c>
      <c r="B705" t="s">
        <v>228</v>
      </c>
      <c r="C705" t="s">
        <v>218</v>
      </c>
      <c r="D705">
        <v>387.24087365880001</v>
      </c>
      <c r="E705" t="s">
        <v>206</v>
      </c>
      <c r="F705">
        <v>2023</v>
      </c>
      <c r="G705" t="str">
        <f>TRIM(RIGHT(Table156[[#This Row],[Item-Codigo]], LEN(Table156[[#This Row],[Item-Codigo]]) - FIND("|", CONCATENATE(B705), FIND("|", CONCATENATE(B705)) + 1)))</f>
        <v>TM</v>
      </c>
      <c r="H70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705" s="40">
        <v>200</v>
      </c>
      <c r="J70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387.24087365880001</v>
      </c>
      <c r="K705" t="s">
        <v>97</v>
      </c>
    </row>
    <row r="706" spans="1:11" x14ac:dyDescent="0.35">
      <c r="A706" t="s">
        <v>198</v>
      </c>
      <c r="B706" t="s">
        <v>232</v>
      </c>
      <c r="C706" t="s">
        <v>231</v>
      </c>
      <c r="D706">
        <v>46</v>
      </c>
      <c r="E706" t="s">
        <v>206</v>
      </c>
      <c r="F706">
        <v>2023</v>
      </c>
      <c r="G706" t="str">
        <f>TRIM(RIGHT(Table156[[#This Row],[Item-Codigo]], LEN(Table156[[#This Row],[Item-Codigo]]) - FIND("|", CONCATENATE(B706), FIND("|", CONCATENATE(B706)) + 1)))</f>
        <v>TM</v>
      </c>
      <c r="H70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706" s="40">
        <v>701</v>
      </c>
      <c r="J70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46</v>
      </c>
      <c r="K706" t="s">
        <v>98</v>
      </c>
    </row>
    <row r="707" spans="1:11" x14ac:dyDescent="0.35">
      <c r="A707" t="s">
        <v>198</v>
      </c>
      <c r="B707" t="s">
        <v>232</v>
      </c>
      <c r="C707" t="s">
        <v>834</v>
      </c>
      <c r="D707">
        <v>46</v>
      </c>
      <c r="E707" t="s">
        <v>206</v>
      </c>
      <c r="F707">
        <v>2023</v>
      </c>
      <c r="G707" t="str">
        <f>TRIM(RIGHT(Table156[[#This Row],[Item-Codigo]], LEN(Table156[[#This Row],[Item-Codigo]]) - FIND("|", CONCATENATE(B707), FIND("|", CONCATENATE(B707)) + 1)))</f>
        <v>TM</v>
      </c>
      <c r="H70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707" s="40">
        <v>701</v>
      </c>
      <c r="J70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46</v>
      </c>
      <c r="K707" t="s">
        <v>98</v>
      </c>
    </row>
    <row r="708" spans="1:11" x14ac:dyDescent="0.35">
      <c r="A708" t="s">
        <v>198</v>
      </c>
      <c r="B708" t="s">
        <v>237</v>
      </c>
      <c r="C708" t="s">
        <v>238</v>
      </c>
      <c r="D708">
        <v>1220</v>
      </c>
      <c r="E708" t="s">
        <v>206</v>
      </c>
      <c r="F708">
        <v>2023</v>
      </c>
      <c r="G708" t="str">
        <f>TRIM(RIGHT(Table156[[#This Row],[Item-Codigo]], LEN(Table156[[#This Row],[Item-Codigo]]) - FIND("|", CONCATENATE(B708), FIND("|", CONCATENATE(B708)) + 1)))</f>
        <v>TM</v>
      </c>
      <c r="H70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708" s="40">
        <v>116</v>
      </c>
      <c r="J70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1220</v>
      </c>
      <c r="K708" t="s">
        <v>99</v>
      </c>
    </row>
    <row r="709" spans="1:11" x14ac:dyDescent="0.35">
      <c r="A709" t="s">
        <v>198</v>
      </c>
      <c r="B709" t="s">
        <v>838</v>
      </c>
      <c r="C709" t="s">
        <v>239</v>
      </c>
      <c r="D709">
        <v>890</v>
      </c>
      <c r="E709" t="s">
        <v>206</v>
      </c>
      <c r="F709">
        <v>2023</v>
      </c>
      <c r="G709" t="str">
        <f>TRIM(RIGHT(Table156[[#This Row],[Item-Codigo]], LEN(Table156[[#This Row],[Item-Codigo]]) - FIND("|", CONCATENATE(B709), FIND("|", CONCATENATE(B709)) + 1)))</f>
        <v>TM</v>
      </c>
      <c r="H70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111.5</v>
      </c>
      <c r="I709" s="40" t="s">
        <v>933</v>
      </c>
      <c r="J70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890</v>
      </c>
      <c r="K709" t="s">
        <v>184</v>
      </c>
    </row>
    <row r="710" spans="1:11" x14ac:dyDescent="0.35">
      <c r="A710" t="s">
        <v>198</v>
      </c>
      <c r="B710" t="s">
        <v>841</v>
      </c>
      <c r="C710" t="s">
        <v>837</v>
      </c>
      <c r="D710">
        <v>768.92545170125004</v>
      </c>
      <c r="E710" t="s">
        <v>206</v>
      </c>
      <c r="F710">
        <v>2023</v>
      </c>
      <c r="G710" t="str">
        <f>TRIM(RIGHT(Table156[[#This Row],[Item-Codigo]], LEN(Table156[[#This Row],[Item-Codigo]]) - FIND("|", CONCATENATE(B710), FIND("|", CONCATENATE(B710)) + 1)))</f>
        <v>TM</v>
      </c>
      <c r="H71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159</v>
      </c>
      <c r="I710" s="40">
        <v>159</v>
      </c>
      <c r="J71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768.92545170125004</v>
      </c>
      <c r="K710" t="s">
        <v>191</v>
      </c>
    </row>
    <row r="711" spans="1:11" x14ac:dyDescent="0.35">
      <c r="A711" t="s">
        <v>198</v>
      </c>
      <c r="B711" t="s">
        <v>841</v>
      </c>
      <c r="C711" t="s">
        <v>241</v>
      </c>
      <c r="D711">
        <v>770.00256326604995</v>
      </c>
      <c r="E711" t="s">
        <v>206</v>
      </c>
      <c r="F711">
        <v>2023</v>
      </c>
      <c r="G711" t="str">
        <f>TRIM(RIGHT(Table156[[#This Row],[Item-Codigo]], LEN(Table156[[#This Row],[Item-Codigo]]) - FIND("|", CONCATENATE(B711), FIND("|", CONCATENATE(B711)) + 1)))</f>
        <v>TM</v>
      </c>
      <c r="H71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159</v>
      </c>
      <c r="I711" s="40">
        <v>159</v>
      </c>
      <c r="J71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770.00256326604995</v>
      </c>
      <c r="K711" t="s">
        <v>191</v>
      </c>
    </row>
    <row r="712" spans="1:11" x14ac:dyDescent="0.35">
      <c r="A712" t="s">
        <v>198</v>
      </c>
      <c r="B712" t="s">
        <v>841</v>
      </c>
      <c r="C712" t="s">
        <v>842</v>
      </c>
      <c r="D712">
        <v>760.00103910513303</v>
      </c>
      <c r="E712" t="s">
        <v>206</v>
      </c>
      <c r="F712">
        <v>2023</v>
      </c>
      <c r="G712" t="str">
        <f>TRIM(RIGHT(Table156[[#This Row],[Item-Codigo]], LEN(Table156[[#This Row],[Item-Codigo]]) - FIND("|", CONCATENATE(B712), FIND("|", CONCATENATE(B712)) + 1)))</f>
        <v>TM</v>
      </c>
      <c r="H71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159</v>
      </c>
      <c r="I712" s="40">
        <v>159</v>
      </c>
      <c r="J71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760.00103910513303</v>
      </c>
      <c r="K712" t="s">
        <v>191</v>
      </c>
    </row>
    <row r="713" spans="1:11" x14ac:dyDescent="0.35">
      <c r="A713" t="s">
        <v>198</v>
      </c>
      <c r="B713" t="s">
        <v>199</v>
      </c>
      <c r="C713" t="s">
        <v>204</v>
      </c>
      <c r="D713">
        <v>20.1599657440667</v>
      </c>
      <c r="E713" t="s">
        <v>206</v>
      </c>
      <c r="F713">
        <v>2023</v>
      </c>
      <c r="G713" t="str">
        <f>TRIM(RIGHT(Table156[[#This Row],[Item-Codigo]], LEN(Table156[[#This Row],[Item-Codigo]]) - FIND("|", CONCATENATE(B713), FIND("|", CONCATENATE(B713)) + 1)))</f>
        <v>QQ</v>
      </c>
      <c r="H71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713" s="40">
        <v>1</v>
      </c>
      <c r="J713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443.5192463694674</v>
      </c>
      <c r="K713" t="s">
        <v>182</v>
      </c>
    </row>
    <row r="714" spans="1:11" x14ac:dyDescent="0.35">
      <c r="A714" t="s">
        <v>198</v>
      </c>
      <c r="B714" t="s">
        <v>245</v>
      </c>
      <c r="C714" t="s">
        <v>833</v>
      </c>
      <c r="D714">
        <v>320</v>
      </c>
      <c r="E714" t="s">
        <v>206</v>
      </c>
      <c r="F714">
        <v>2023</v>
      </c>
      <c r="G714" t="str">
        <f>TRIM(RIGHT(Table156[[#This Row],[Item-Codigo]], LEN(Table156[[#This Row],[Item-Codigo]]) - FIND("|", CONCATENATE(B714), FIND("|", CONCATENATE(B714)) + 1)))</f>
        <v>TM</v>
      </c>
      <c r="H71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14</v>
      </c>
      <c r="I714" s="40">
        <v>14</v>
      </c>
      <c r="J71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320</v>
      </c>
      <c r="K714" t="s">
        <v>187</v>
      </c>
    </row>
    <row r="715" spans="1:11" x14ac:dyDescent="0.35">
      <c r="A715" t="s">
        <v>198</v>
      </c>
      <c r="B715" t="s">
        <v>245</v>
      </c>
      <c r="C715" t="s">
        <v>246</v>
      </c>
      <c r="D715">
        <v>320</v>
      </c>
      <c r="E715" t="s">
        <v>206</v>
      </c>
      <c r="F715">
        <v>2023</v>
      </c>
      <c r="G715" t="str">
        <f>TRIM(RIGHT(Table156[[#This Row],[Item-Codigo]], LEN(Table156[[#This Row],[Item-Codigo]]) - FIND("|", CONCATENATE(B715), FIND("|", CONCATENATE(B715)) + 1)))</f>
        <v>TM</v>
      </c>
      <c r="H71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14</v>
      </c>
      <c r="I715" s="40">
        <v>14</v>
      </c>
      <c r="J71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320</v>
      </c>
      <c r="K715" t="s">
        <v>187</v>
      </c>
    </row>
    <row r="716" spans="1:11" x14ac:dyDescent="0.35">
      <c r="A716" t="s">
        <v>198</v>
      </c>
      <c r="B716" t="s">
        <v>854</v>
      </c>
      <c r="C716" t="s">
        <v>855</v>
      </c>
      <c r="D716">
        <v>386.00120550405001</v>
      </c>
      <c r="E716" t="s">
        <v>206</v>
      </c>
      <c r="F716">
        <v>2023</v>
      </c>
      <c r="G716" t="str">
        <f>TRIM(RIGHT(Table156[[#This Row],[Item-Codigo]], LEN(Table156[[#This Row],[Item-Codigo]]) - FIND("|", CONCATENATE(B716), FIND("|", CONCATENATE(B716)) + 1)))</f>
        <v>TM</v>
      </c>
      <c r="H71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214</v>
      </c>
      <c r="I716" s="40">
        <v>214</v>
      </c>
      <c r="J71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386.00120550405001</v>
      </c>
      <c r="K716" t="s">
        <v>186</v>
      </c>
    </row>
    <row r="717" spans="1:11" x14ac:dyDescent="0.35">
      <c r="A717" t="s">
        <v>198</v>
      </c>
      <c r="B717" t="s">
        <v>207</v>
      </c>
      <c r="C717" t="s">
        <v>857</v>
      </c>
      <c r="D717">
        <v>18.838747260462501</v>
      </c>
      <c r="E717" t="s">
        <v>206</v>
      </c>
      <c r="F717">
        <v>2023</v>
      </c>
      <c r="G717" t="str">
        <f>TRIM(RIGHT(Table156[[#This Row],[Item-Codigo]], LEN(Table156[[#This Row],[Item-Codigo]]) - FIND("|", CONCATENATE(B717), FIND("|", CONCATENATE(B717)) + 1)))</f>
        <v>QQ</v>
      </c>
      <c r="H71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717" s="40">
        <v>410</v>
      </c>
      <c r="J717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414.452439730175</v>
      </c>
      <c r="K717" t="s">
        <v>183</v>
      </c>
    </row>
    <row r="718" spans="1:11" x14ac:dyDescent="0.35">
      <c r="A718" t="s">
        <v>198</v>
      </c>
      <c r="B718" t="s">
        <v>207</v>
      </c>
      <c r="C718" t="s">
        <v>858</v>
      </c>
      <c r="D718">
        <v>18.7833279949222</v>
      </c>
      <c r="E718" t="s">
        <v>206</v>
      </c>
      <c r="F718">
        <v>2023</v>
      </c>
      <c r="G718" t="str">
        <f>TRIM(RIGHT(Table156[[#This Row],[Item-Codigo]], LEN(Table156[[#This Row],[Item-Codigo]]) - FIND("|", CONCATENATE(B718), FIND("|", CONCATENATE(B718)) + 1)))</f>
        <v>QQ</v>
      </c>
      <c r="H71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718" s="40">
        <v>410</v>
      </c>
      <c r="J718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413.23321588828838</v>
      </c>
      <c r="K718" t="s">
        <v>183</v>
      </c>
    </row>
    <row r="719" spans="1:11" x14ac:dyDescent="0.35">
      <c r="A719" t="s">
        <v>198</v>
      </c>
      <c r="B719" t="s">
        <v>207</v>
      </c>
      <c r="C719" t="s">
        <v>201</v>
      </c>
      <c r="D719">
        <v>18.769944369600001</v>
      </c>
      <c r="E719" t="s">
        <v>206</v>
      </c>
      <c r="F719">
        <v>2023</v>
      </c>
      <c r="G719" t="str">
        <f>TRIM(RIGHT(Table156[[#This Row],[Item-Codigo]], LEN(Table156[[#This Row],[Item-Codigo]]) - FIND("|", CONCATENATE(B719), FIND("|", CONCATENATE(B719)) + 1)))</f>
        <v>QQ</v>
      </c>
      <c r="H71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719" s="40">
        <v>410</v>
      </c>
      <c r="J719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412.93877613120003</v>
      </c>
      <c r="K719" t="s">
        <v>183</v>
      </c>
    </row>
    <row r="720" spans="1:11" x14ac:dyDescent="0.35">
      <c r="A720" t="s">
        <v>198</v>
      </c>
      <c r="B720" t="s">
        <v>207</v>
      </c>
      <c r="C720" t="s">
        <v>208</v>
      </c>
      <c r="D720">
        <v>18.259886911799999</v>
      </c>
      <c r="E720" t="s">
        <v>206</v>
      </c>
      <c r="F720">
        <v>2023</v>
      </c>
      <c r="G720" t="str">
        <f>TRIM(RIGHT(Table156[[#This Row],[Item-Codigo]], LEN(Table156[[#This Row],[Item-Codigo]]) - FIND("|", CONCATENATE(B720), FIND("|", CONCATENATE(B720)) + 1)))</f>
        <v>QQ</v>
      </c>
      <c r="H72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720" s="40">
        <v>410</v>
      </c>
      <c r="J720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401.71751205959998</v>
      </c>
      <c r="K720" t="s">
        <v>183</v>
      </c>
    </row>
    <row r="721" spans="1:11" x14ac:dyDescent="0.35">
      <c r="A721" t="s">
        <v>198</v>
      </c>
      <c r="B721" t="s">
        <v>207</v>
      </c>
      <c r="C721" t="s">
        <v>860</v>
      </c>
      <c r="D721">
        <v>18.837413364549999</v>
      </c>
      <c r="E721" t="s">
        <v>206</v>
      </c>
      <c r="F721">
        <v>2023</v>
      </c>
      <c r="G721" t="str">
        <f>TRIM(RIGHT(Table156[[#This Row],[Item-Codigo]], LEN(Table156[[#This Row],[Item-Codigo]]) - FIND("|", CONCATENATE(B721), FIND("|", CONCATENATE(B721)) + 1)))</f>
        <v>QQ</v>
      </c>
      <c r="H72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721" s="40">
        <v>410</v>
      </c>
      <c r="J721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414.4230940201</v>
      </c>
      <c r="K721" t="s">
        <v>183</v>
      </c>
    </row>
    <row r="722" spans="1:11" x14ac:dyDescent="0.35">
      <c r="A722" t="s">
        <v>198</v>
      </c>
      <c r="B722" t="s">
        <v>207</v>
      </c>
      <c r="C722" t="s">
        <v>833</v>
      </c>
      <c r="D722">
        <v>18.519855762599999</v>
      </c>
      <c r="E722" t="s">
        <v>206</v>
      </c>
      <c r="F722">
        <v>2023</v>
      </c>
      <c r="G722" t="str">
        <f>TRIM(RIGHT(Table156[[#This Row],[Item-Codigo]], LEN(Table156[[#This Row],[Item-Codigo]]) - FIND("|", CONCATENATE(B722), FIND("|", CONCATENATE(B722)) + 1)))</f>
        <v>QQ</v>
      </c>
      <c r="H72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722" s="40">
        <v>410</v>
      </c>
      <c r="J722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407.4368267772</v>
      </c>
      <c r="K722" t="s">
        <v>183</v>
      </c>
    </row>
    <row r="723" spans="1:11" x14ac:dyDescent="0.35">
      <c r="A723" t="s">
        <v>198</v>
      </c>
      <c r="B723" t="s">
        <v>207</v>
      </c>
      <c r="C723" t="s">
        <v>209</v>
      </c>
      <c r="D723">
        <v>18.692346863792299</v>
      </c>
      <c r="E723" t="s">
        <v>206</v>
      </c>
      <c r="F723">
        <v>2023</v>
      </c>
      <c r="G723" t="str">
        <f>TRIM(RIGHT(Table156[[#This Row],[Item-Codigo]], LEN(Table156[[#This Row],[Item-Codigo]]) - FIND("|", CONCATENATE(B723), FIND("|", CONCATENATE(B723)) + 1)))</f>
        <v>QQ</v>
      </c>
      <c r="H72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723" s="40">
        <v>410</v>
      </c>
      <c r="J723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411.23163100343055</v>
      </c>
      <c r="K723" t="s">
        <v>183</v>
      </c>
    </row>
    <row r="724" spans="1:11" x14ac:dyDescent="0.35">
      <c r="A724" t="s">
        <v>198</v>
      </c>
      <c r="B724" t="s">
        <v>207</v>
      </c>
      <c r="C724" t="s">
        <v>864</v>
      </c>
      <c r="D724">
        <v>18.959879428600001</v>
      </c>
      <c r="E724" t="s">
        <v>206</v>
      </c>
      <c r="F724">
        <v>2023</v>
      </c>
      <c r="G724" t="str">
        <f>TRIM(RIGHT(Table156[[#This Row],[Item-Codigo]], LEN(Table156[[#This Row],[Item-Codigo]]) - FIND("|", CONCATENATE(B724), FIND("|", CONCATENATE(B724)) + 1)))</f>
        <v>QQ</v>
      </c>
      <c r="H72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724" s="40">
        <v>410</v>
      </c>
      <c r="J724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417.11734742920004</v>
      </c>
      <c r="K724" t="s">
        <v>183</v>
      </c>
    </row>
    <row r="725" spans="1:11" x14ac:dyDescent="0.35">
      <c r="A725" t="s">
        <v>198</v>
      </c>
      <c r="B725" t="s">
        <v>207</v>
      </c>
      <c r="C725" t="s">
        <v>211</v>
      </c>
      <c r="D725">
        <v>18.791629245014299</v>
      </c>
      <c r="E725" t="s">
        <v>206</v>
      </c>
      <c r="F725">
        <v>2023</v>
      </c>
      <c r="G725" t="str">
        <f>TRIM(RIGHT(Table156[[#This Row],[Item-Codigo]], LEN(Table156[[#This Row],[Item-Codigo]]) - FIND("|", CONCATENATE(B725), FIND("|", CONCATENATE(B725)) + 1)))</f>
        <v>QQ</v>
      </c>
      <c r="H72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725" s="40">
        <v>410</v>
      </c>
      <c r="J725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413.41584339031459</v>
      </c>
      <c r="K725" t="s">
        <v>183</v>
      </c>
    </row>
    <row r="726" spans="1:11" x14ac:dyDescent="0.35">
      <c r="A726" t="s">
        <v>198</v>
      </c>
      <c r="B726" t="s">
        <v>207</v>
      </c>
      <c r="C726" t="s">
        <v>866</v>
      </c>
      <c r="D726">
        <v>18.765269953800001</v>
      </c>
      <c r="E726" t="s">
        <v>206</v>
      </c>
      <c r="F726">
        <v>2023</v>
      </c>
      <c r="G726" t="str">
        <f>TRIM(RIGHT(Table156[[#This Row],[Item-Codigo]], LEN(Table156[[#This Row],[Item-Codigo]]) - FIND("|", CONCATENATE(B726), FIND("|", CONCATENATE(B726)) + 1)))</f>
        <v>QQ</v>
      </c>
      <c r="H72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726" s="40">
        <v>410</v>
      </c>
      <c r="J726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412.83593898360004</v>
      </c>
      <c r="K726" t="s">
        <v>183</v>
      </c>
    </row>
    <row r="727" spans="1:11" x14ac:dyDescent="0.35">
      <c r="A727" t="s">
        <v>198</v>
      </c>
      <c r="B727" t="s">
        <v>207</v>
      </c>
      <c r="C727" t="s">
        <v>212</v>
      </c>
      <c r="D727">
        <v>18.798314858816699</v>
      </c>
      <c r="E727" t="s">
        <v>206</v>
      </c>
      <c r="F727">
        <v>2023</v>
      </c>
      <c r="G727" t="str">
        <f>TRIM(RIGHT(Table156[[#This Row],[Item-Codigo]], LEN(Table156[[#This Row],[Item-Codigo]]) - FIND("|", CONCATENATE(B727), FIND("|", CONCATENATE(B727)) + 1)))</f>
        <v>QQ</v>
      </c>
      <c r="H72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727" s="40">
        <v>410</v>
      </c>
      <c r="J727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413.56292689396736</v>
      </c>
      <c r="K727" t="s">
        <v>183</v>
      </c>
    </row>
    <row r="728" spans="1:11" x14ac:dyDescent="0.35">
      <c r="A728" t="s">
        <v>198</v>
      </c>
      <c r="B728" t="s">
        <v>207</v>
      </c>
      <c r="C728" t="s">
        <v>868</v>
      </c>
      <c r="D728">
        <v>18.960017965999999</v>
      </c>
      <c r="E728" t="s">
        <v>206</v>
      </c>
      <c r="F728">
        <v>2023</v>
      </c>
      <c r="G728" t="str">
        <f>TRIM(RIGHT(Table156[[#This Row],[Item-Codigo]], LEN(Table156[[#This Row],[Item-Codigo]]) - FIND("|", CONCATENATE(B728), FIND("|", CONCATENATE(B728)) + 1)))</f>
        <v>QQ</v>
      </c>
      <c r="H72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728" s="40">
        <v>410</v>
      </c>
      <c r="J728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417.12039525199998</v>
      </c>
      <c r="K728" t="s">
        <v>183</v>
      </c>
    </row>
    <row r="729" spans="1:11" x14ac:dyDescent="0.35">
      <c r="A729" t="s">
        <v>198</v>
      </c>
      <c r="B729" t="s">
        <v>873</v>
      </c>
      <c r="C729" t="s">
        <v>817</v>
      </c>
      <c r="D729">
        <v>430</v>
      </c>
      <c r="E729" t="s">
        <v>206</v>
      </c>
      <c r="F729">
        <v>2023</v>
      </c>
      <c r="G729" t="str">
        <f>TRIM(RIGHT(Table156[[#This Row],[Item-Codigo]], LEN(Table156[[#This Row],[Item-Codigo]]) - FIND("|", CONCATENATE(B729), FIND("|", CONCATENATE(B729)) + 1)))</f>
        <v>TM</v>
      </c>
      <c r="H72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17.5</v>
      </c>
      <c r="I729" s="40" t="s">
        <v>934</v>
      </c>
      <c r="J72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430</v>
      </c>
      <c r="K729" t="s">
        <v>873</v>
      </c>
    </row>
    <row r="730" spans="1:11" x14ac:dyDescent="0.35">
      <c r="A730" t="s">
        <v>256</v>
      </c>
      <c r="B730" t="s">
        <v>261</v>
      </c>
      <c r="C730" t="s">
        <v>267</v>
      </c>
      <c r="D730">
        <v>0.1529005792</v>
      </c>
      <c r="E730" t="s">
        <v>206</v>
      </c>
      <c r="F730">
        <v>2023</v>
      </c>
      <c r="G730" t="str">
        <f>TRIM(RIGHT(Table156[[#This Row],[Item-Codigo]], LEN(Table156[[#This Row],[Item-Codigo]]) - FIND("|", CONCATENATE(B730), FIND("|", CONCATENATE(B730)) + 1)))</f>
        <v>UND</v>
      </c>
      <c r="H73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730" s="40" t="s">
        <v>500</v>
      </c>
      <c r="J73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0.1529005792</v>
      </c>
      <c r="K730" t="s">
        <v>43</v>
      </c>
    </row>
    <row r="731" spans="1:11" x14ac:dyDescent="0.35">
      <c r="A731" t="s">
        <v>256</v>
      </c>
      <c r="B731" t="s">
        <v>264</v>
      </c>
      <c r="C731" t="s">
        <v>267</v>
      </c>
      <c r="D731">
        <v>0.15289980349999999</v>
      </c>
      <c r="E731" t="s">
        <v>206</v>
      </c>
      <c r="F731">
        <v>2023</v>
      </c>
      <c r="G731" t="str">
        <f>TRIM(RIGHT(Table156[[#This Row],[Item-Codigo]], LEN(Table156[[#This Row],[Item-Codigo]]) - FIND("|", CONCATENATE(B731), FIND("|", CONCATENATE(B731)) + 1)))</f>
        <v>UND</v>
      </c>
      <c r="H73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1024-ME</v>
      </c>
      <c r="I731" s="40" t="s">
        <v>501</v>
      </c>
      <c r="J73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0.15289980349999999</v>
      </c>
      <c r="K731" t="s">
        <v>44</v>
      </c>
    </row>
    <row r="732" spans="1:11" x14ac:dyDescent="0.35">
      <c r="A732" t="s">
        <v>256</v>
      </c>
      <c r="B732" t="s">
        <v>265</v>
      </c>
      <c r="C732" t="s">
        <v>267</v>
      </c>
      <c r="D732">
        <v>0.15290011349999999</v>
      </c>
      <c r="E732" t="s">
        <v>206</v>
      </c>
      <c r="F732">
        <v>2023</v>
      </c>
      <c r="G732" t="str">
        <f>TRIM(RIGHT(Table156[[#This Row],[Item-Codigo]], LEN(Table156[[#This Row],[Item-Codigo]]) - FIND("|", CONCATENATE(B732), FIND("|", CONCATENATE(B732)) + 1)))</f>
        <v>UND</v>
      </c>
      <c r="H73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1025-ME</v>
      </c>
      <c r="I732" s="40" t="s">
        <v>502</v>
      </c>
      <c r="J73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0.15290011349999999</v>
      </c>
      <c r="K732" t="s">
        <v>45</v>
      </c>
    </row>
    <row r="733" spans="1:11" x14ac:dyDescent="0.35">
      <c r="A733" t="s">
        <v>256</v>
      </c>
      <c r="B733" t="s">
        <v>283</v>
      </c>
      <c r="C733" t="s">
        <v>267</v>
      </c>
      <c r="D733">
        <v>0.22709998749999999</v>
      </c>
      <c r="E733" t="s">
        <v>206</v>
      </c>
      <c r="F733">
        <v>2023</v>
      </c>
      <c r="G733" t="str">
        <f>TRIM(RIGHT(Table156[[#This Row],[Item-Codigo]], LEN(Table156[[#This Row],[Item-Codigo]]) - FIND("|", CONCATENATE(B733), FIND("|", CONCATENATE(B733)) + 1)))</f>
        <v>UND</v>
      </c>
      <c r="H73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0754-ME</v>
      </c>
      <c r="I733" s="40" t="s">
        <v>482</v>
      </c>
      <c r="J73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0.22709998749999999</v>
      </c>
      <c r="K733" t="s">
        <v>112</v>
      </c>
    </row>
    <row r="734" spans="1:11" x14ac:dyDescent="0.35">
      <c r="A734" t="s">
        <v>256</v>
      </c>
      <c r="B734" t="s">
        <v>284</v>
      </c>
      <c r="C734" t="s">
        <v>286</v>
      </c>
      <c r="D734">
        <v>11.89</v>
      </c>
      <c r="E734" t="s">
        <v>206</v>
      </c>
      <c r="F734">
        <v>2023</v>
      </c>
      <c r="G734" t="str">
        <f>TRIM(RIGHT(Table156[[#This Row],[Item-Codigo]], LEN(Table156[[#This Row],[Item-Codigo]]) - FIND("|", CONCATENATE(B734), FIND("|", CONCATENATE(B734)) + 1)))</f>
        <v>UND</v>
      </c>
      <c r="H73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PIOLA (UNID)</v>
      </c>
      <c r="I734" s="40" t="s">
        <v>558</v>
      </c>
      <c r="J73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11.89</v>
      </c>
      <c r="K734" t="s">
        <v>127</v>
      </c>
    </row>
    <row r="735" spans="1:11" x14ac:dyDescent="0.35">
      <c r="A735" t="s">
        <v>256</v>
      </c>
      <c r="B735" t="s">
        <v>888</v>
      </c>
      <c r="C735" t="s">
        <v>267</v>
      </c>
      <c r="D735">
        <v>0.2271006686</v>
      </c>
      <c r="E735" t="s">
        <v>206</v>
      </c>
      <c r="F735">
        <v>2023</v>
      </c>
      <c r="G735" t="str">
        <f>TRIM(RIGHT(Table156[[#This Row],[Item-Codigo]], LEN(Table156[[#This Row],[Item-Codigo]]) - FIND("|", CONCATENATE(B735), FIND("|", CONCATENATE(B735)) + 1)))</f>
        <v>UND</v>
      </c>
      <c r="H73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0174-ME</v>
      </c>
      <c r="I735" s="40" t="s">
        <v>477</v>
      </c>
      <c r="J73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0.2271006686</v>
      </c>
      <c r="K735" t="s">
        <v>122</v>
      </c>
    </row>
    <row r="736" spans="1:11" x14ac:dyDescent="0.35">
      <c r="A736" t="s">
        <v>256</v>
      </c>
      <c r="B736" t="s">
        <v>293</v>
      </c>
      <c r="C736" t="s">
        <v>263</v>
      </c>
      <c r="D736">
        <v>0.21</v>
      </c>
      <c r="E736" t="s">
        <v>206</v>
      </c>
      <c r="F736">
        <v>2023</v>
      </c>
      <c r="G736" t="str">
        <f>TRIM(RIGHT(Table156[[#This Row],[Item-Codigo]], LEN(Table156[[#This Row],[Item-Codigo]]) - FIND("|", CONCATENATE(B736), FIND("|", CONCATENATE(B736)) + 1)))</f>
        <v>UND</v>
      </c>
      <c r="H73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0201-ME</v>
      </c>
      <c r="I736" s="40" t="s">
        <v>478</v>
      </c>
      <c r="J73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</v>
      </c>
      <c r="K736" t="s">
        <v>105</v>
      </c>
    </row>
    <row r="737" spans="1:11" x14ac:dyDescent="0.35">
      <c r="A737" t="s">
        <v>256</v>
      </c>
      <c r="B737" t="s">
        <v>293</v>
      </c>
      <c r="C737" t="s">
        <v>267</v>
      </c>
      <c r="D737">
        <v>0.2059001745</v>
      </c>
      <c r="E737" t="s">
        <v>206</v>
      </c>
      <c r="F737">
        <v>2023</v>
      </c>
      <c r="G737" t="str">
        <f>TRIM(RIGHT(Table156[[#This Row],[Item-Codigo]], LEN(Table156[[#This Row],[Item-Codigo]]) - FIND("|", CONCATENATE(B737), FIND("|", CONCATENATE(B737)) + 1)))</f>
        <v>UND</v>
      </c>
      <c r="H73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0201-ME</v>
      </c>
      <c r="I737" s="40" t="s">
        <v>478</v>
      </c>
      <c r="J73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0.2059001745</v>
      </c>
      <c r="K737" t="s">
        <v>105</v>
      </c>
    </row>
    <row r="738" spans="1:11" x14ac:dyDescent="0.35">
      <c r="A738" t="s">
        <v>256</v>
      </c>
      <c r="B738" t="s">
        <v>294</v>
      </c>
      <c r="C738" t="s">
        <v>263</v>
      </c>
      <c r="D738">
        <v>0.20419999999999999</v>
      </c>
      <c r="E738" t="s">
        <v>206</v>
      </c>
      <c r="F738">
        <v>2023</v>
      </c>
      <c r="G738" t="str">
        <f>TRIM(RIGHT(Table156[[#This Row],[Item-Codigo]], LEN(Table156[[#This Row],[Item-Codigo]]) - FIND("|", CONCATENATE(B738), FIND("|", CONCATENATE(B738)) + 1)))</f>
        <v>UND</v>
      </c>
      <c r="H73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0111-ME</v>
      </c>
      <c r="I738" s="40" t="s">
        <v>472</v>
      </c>
      <c r="J73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0.20419999999999999</v>
      </c>
      <c r="K738" t="s">
        <v>125</v>
      </c>
    </row>
    <row r="739" spans="1:11" x14ac:dyDescent="0.35">
      <c r="A739" t="s">
        <v>256</v>
      </c>
      <c r="B739" t="s">
        <v>300</v>
      </c>
      <c r="C739" t="s">
        <v>263</v>
      </c>
      <c r="D739">
        <v>0.24776748100000001</v>
      </c>
      <c r="E739" t="s">
        <v>206</v>
      </c>
      <c r="F739">
        <v>2023</v>
      </c>
      <c r="G739" t="str">
        <f>TRIM(RIGHT(Table156[[#This Row],[Item-Codigo]], LEN(Table156[[#This Row],[Item-Codigo]]) - FIND("|", CONCATENATE(B739), FIND("|", CONCATENATE(B739)) + 1)))</f>
        <v>UND</v>
      </c>
      <c r="H73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0751-ME</v>
      </c>
      <c r="I739" s="40" t="s">
        <v>480</v>
      </c>
      <c r="J73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0.24776748100000001</v>
      </c>
      <c r="K739" t="s">
        <v>110</v>
      </c>
    </row>
    <row r="740" spans="1:11" x14ac:dyDescent="0.35">
      <c r="A740" t="s">
        <v>256</v>
      </c>
      <c r="B740" t="s">
        <v>894</v>
      </c>
      <c r="C740" t="s">
        <v>267</v>
      </c>
      <c r="D740">
        <v>0.2248</v>
      </c>
      <c r="E740" t="s">
        <v>206</v>
      </c>
      <c r="F740">
        <v>2023</v>
      </c>
      <c r="G740" t="str">
        <f>TRIM(RIGHT(Table156[[#This Row],[Item-Codigo]], LEN(Table156[[#This Row],[Item-Codigo]]) - FIND("|", CONCATENATE(B740), FIND("|", CONCATENATE(B740)) + 1)))</f>
        <v>UND</v>
      </c>
      <c r="H74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0752-ME</v>
      </c>
      <c r="I740" s="40" t="s">
        <v>481</v>
      </c>
      <c r="J74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0.2248</v>
      </c>
      <c r="K740" t="s">
        <v>116</v>
      </c>
    </row>
    <row r="741" spans="1:11" x14ac:dyDescent="0.35">
      <c r="A741" t="s">
        <v>305</v>
      </c>
      <c r="B741" t="s">
        <v>308</v>
      </c>
      <c r="C741" t="s">
        <v>319</v>
      </c>
      <c r="D741">
        <v>9.1999999999999993</v>
      </c>
      <c r="E741" t="s">
        <v>206</v>
      </c>
      <c r="F741">
        <v>2023</v>
      </c>
      <c r="G741" t="str">
        <f>TRIM(RIGHT(Table156[[#This Row],[Item-Codigo]], LEN(Table156[[#This Row],[Item-Codigo]]) - FIND("|", CONCATENATE(B741), FIND("|", CONCATENATE(B741)) + 1)))</f>
        <v>KG</v>
      </c>
      <c r="H74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1039</v>
      </c>
      <c r="I741" s="40">
        <v>1039</v>
      </c>
      <c r="J74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9200</v>
      </c>
      <c r="K741" t="s">
        <v>67</v>
      </c>
    </row>
    <row r="742" spans="1:11" x14ac:dyDescent="0.35">
      <c r="A742" t="s">
        <v>305</v>
      </c>
      <c r="B742" t="s">
        <v>312</v>
      </c>
      <c r="C742" t="s">
        <v>313</v>
      </c>
      <c r="D742">
        <v>8.35</v>
      </c>
      <c r="E742" t="s">
        <v>206</v>
      </c>
      <c r="F742">
        <v>2023</v>
      </c>
      <c r="G742" t="str">
        <f>TRIM(RIGHT(Table156[[#This Row],[Item-Codigo]], LEN(Table156[[#This Row],[Item-Codigo]]) - FIND("|", CONCATENATE(B742), FIND("|", CONCATENATE(B742)) + 1)))</f>
        <v>KG</v>
      </c>
      <c r="H74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317</v>
      </c>
      <c r="I742" s="40">
        <v>317</v>
      </c>
      <c r="J74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8350</v>
      </c>
      <c r="K742" t="s">
        <v>69</v>
      </c>
    </row>
    <row r="743" spans="1:11" x14ac:dyDescent="0.35">
      <c r="A743" t="s">
        <v>305</v>
      </c>
      <c r="B743" t="s">
        <v>316</v>
      </c>
      <c r="C743" t="s">
        <v>317</v>
      </c>
      <c r="D743">
        <v>75</v>
      </c>
      <c r="E743" t="s">
        <v>206</v>
      </c>
      <c r="F743">
        <v>2023</v>
      </c>
      <c r="G743" t="str">
        <f>TRIM(RIGHT(Table156[[#This Row],[Item-Codigo]], LEN(Table156[[#This Row],[Item-Codigo]]) - FIND("|", CONCATENATE(B743), FIND("|", CONCATENATE(B743)) + 1)))</f>
        <v>KG</v>
      </c>
      <c r="H74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929</v>
      </c>
      <c r="I743" s="40">
        <v>929</v>
      </c>
      <c r="J74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75000</v>
      </c>
      <c r="K743" t="s">
        <v>71</v>
      </c>
    </row>
    <row r="744" spans="1:11" x14ac:dyDescent="0.35">
      <c r="A744" t="s">
        <v>305</v>
      </c>
      <c r="B744" t="s">
        <v>320</v>
      </c>
      <c r="C744" t="s">
        <v>321</v>
      </c>
      <c r="D744">
        <v>8.75</v>
      </c>
      <c r="E744" t="s">
        <v>206</v>
      </c>
      <c r="F744">
        <v>2023</v>
      </c>
      <c r="G744" t="str">
        <f>TRIM(RIGHT(Table156[[#This Row],[Item-Codigo]], LEN(Table156[[#This Row],[Item-Codigo]]) - FIND("|", CONCATENATE(B744), FIND("|", CONCATENATE(B744)) + 1)))</f>
        <v>KG</v>
      </c>
      <c r="H74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1009</v>
      </c>
      <c r="I744" s="40">
        <v>1009</v>
      </c>
      <c r="J74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8750</v>
      </c>
      <c r="K744" t="s">
        <v>73</v>
      </c>
    </row>
    <row r="745" spans="1:11" x14ac:dyDescent="0.35">
      <c r="A745" t="s">
        <v>305</v>
      </c>
      <c r="B745" t="s">
        <v>325</v>
      </c>
      <c r="C745" t="s">
        <v>319</v>
      </c>
      <c r="D745">
        <v>5.6</v>
      </c>
      <c r="E745" t="s">
        <v>206</v>
      </c>
      <c r="F745">
        <v>2023</v>
      </c>
      <c r="G745" t="str">
        <f>TRIM(RIGHT(Table156[[#This Row],[Item-Codigo]], LEN(Table156[[#This Row],[Item-Codigo]]) - FIND("|", CONCATENATE(B745), FIND("|", CONCATENATE(B745)) + 1)))</f>
        <v>KG</v>
      </c>
      <c r="H74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1045</v>
      </c>
      <c r="I745" s="40">
        <v>1045</v>
      </c>
      <c r="J74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745" t="s">
        <v>76</v>
      </c>
    </row>
    <row r="746" spans="1:11" x14ac:dyDescent="0.35">
      <c r="A746" t="s">
        <v>305</v>
      </c>
      <c r="B746" t="s">
        <v>326</v>
      </c>
      <c r="C746" t="s">
        <v>327</v>
      </c>
      <c r="D746">
        <v>6.6</v>
      </c>
      <c r="E746" t="s">
        <v>206</v>
      </c>
      <c r="F746">
        <v>2023</v>
      </c>
      <c r="G746" t="str">
        <f>TRIM(RIGHT(Table156[[#This Row],[Item-Codigo]], LEN(Table156[[#This Row],[Item-Codigo]]) - FIND("|", CONCATENATE(B746), FIND("|", CONCATENATE(B746)) + 1)))</f>
        <v>KG</v>
      </c>
      <c r="H74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470.5</v>
      </c>
      <c r="I746" s="40" t="s">
        <v>536</v>
      </c>
      <c r="J74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6600</v>
      </c>
      <c r="K746" t="s">
        <v>77</v>
      </c>
    </row>
    <row r="747" spans="1:11" x14ac:dyDescent="0.35">
      <c r="A747" t="s">
        <v>305</v>
      </c>
      <c r="B747" t="s">
        <v>332</v>
      </c>
      <c r="C747" t="s">
        <v>333</v>
      </c>
      <c r="D747">
        <v>1.6893605751</v>
      </c>
      <c r="E747" t="s">
        <v>206</v>
      </c>
      <c r="F747">
        <v>2023</v>
      </c>
      <c r="G747" t="str">
        <f>TRIM(RIGHT(Table156[[#This Row],[Item-Codigo]], LEN(Table156[[#This Row],[Item-Codigo]]) - FIND("|", CONCATENATE(B747), FIND("|", CONCATENATE(B747)) + 1)))</f>
        <v>KG</v>
      </c>
      <c r="H74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1073</v>
      </c>
      <c r="I747" s="40">
        <v>1073</v>
      </c>
      <c r="J74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1689.3605751</v>
      </c>
      <c r="K747" t="s">
        <v>81</v>
      </c>
    </row>
    <row r="748" spans="1:11" x14ac:dyDescent="0.35">
      <c r="A748" t="s">
        <v>305</v>
      </c>
      <c r="B748" t="s">
        <v>334</v>
      </c>
      <c r="C748" t="s">
        <v>323</v>
      </c>
      <c r="D748">
        <v>4.21</v>
      </c>
      <c r="E748" t="s">
        <v>206</v>
      </c>
      <c r="F748">
        <v>2023</v>
      </c>
      <c r="G748" t="str">
        <f>TRIM(RIGHT(Table156[[#This Row],[Item-Codigo]], LEN(Table156[[#This Row],[Item-Codigo]]) - FIND("|", CONCATENATE(B748), FIND("|", CONCATENATE(B748)) + 1)))</f>
        <v>KG</v>
      </c>
      <c r="H74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475</v>
      </c>
      <c r="I748" s="40">
        <v>475</v>
      </c>
      <c r="J74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4210</v>
      </c>
      <c r="K748" t="s">
        <v>82</v>
      </c>
    </row>
    <row r="749" spans="1:11" x14ac:dyDescent="0.35">
      <c r="A749" t="s">
        <v>305</v>
      </c>
      <c r="B749" t="s">
        <v>335</v>
      </c>
      <c r="C749" t="s">
        <v>309</v>
      </c>
      <c r="D749">
        <v>1.8</v>
      </c>
      <c r="E749" t="s">
        <v>206</v>
      </c>
      <c r="F749">
        <v>2023</v>
      </c>
      <c r="G749" t="str">
        <f>TRIM(RIGHT(Table156[[#This Row],[Item-Codigo]], LEN(Table156[[#This Row],[Item-Codigo]]) - FIND("|", CONCATENATE(B749), FIND("|", CONCATENATE(B749)) + 1)))</f>
        <v>KG</v>
      </c>
      <c r="H74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131.3</v>
      </c>
      <c r="I749" s="40" t="s">
        <v>523</v>
      </c>
      <c r="J74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1800</v>
      </c>
      <c r="K749" t="s">
        <v>83</v>
      </c>
    </row>
    <row r="750" spans="1:11" x14ac:dyDescent="0.35">
      <c r="A750" t="s">
        <v>305</v>
      </c>
      <c r="B750" t="s">
        <v>336</v>
      </c>
      <c r="C750" t="s">
        <v>327</v>
      </c>
      <c r="D750">
        <v>5</v>
      </c>
      <c r="E750" t="s">
        <v>206</v>
      </c>
      <c r="F750">
        <v>2023</v>
      </c>
      <c r="G750" t="str">
        <f>TRIM(RIGHT(Table156[[#This Row],[Item-Codigo]], LEN(Table156[[#This Row],[Item-Codigo]]) - FIND("|", CONCATENATE(B750), FIND("|", CONCATENATE(B750)) + 1)))</f>
        <v>KG</v>
      </c>
      <c r="H75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340.1</v>
      </c>
      <c r="I750" s="40" t="s">
        <v>529</v>
      </c>
      <c r="J75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5000</v>
      </c>
      <c r="K750" t="s">
        <v>84</v>
      </c>
    </row>
    <row r="751" spans="1:11" x14ac:dyDescent="0.35">
      <c r="A751" t="s">
        <v>305</v>
      </c>
      <c r="B751" t="s">
        <v>337</v>
      </c>
      <c r="C751" t="s">
        <v>307</v>
      </c>
      <c r="D751">
        <v>13.5</v>
      </c>
      <c r="E751" t="s">
        <v>206</v>
      </c>
      <c r="F751">
        <v>2023</v>
      </c>
      <c r="G751" t="str">
        <f>TRIM(RIGHT(Table156[[#This Row],[Item-Codigo]], LEN(Table156[[#This Row],[Item-Codigo]]) - FIND("|", CONCATENATE(B751), FIND("|", CONCATENATE(B751)) + 1)))</f>
        <v>KG</v>
      </c>
      <c r="H75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936</v>
      </c>
      <c r="I751" s="40">
        <v>936</v>
      </c>
      <c r="J75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13500</v>
      </c>
      <c r="K751" t="s">
        <v>85</v>
      </c>
    </row>
    <row r="752" spans="1:11" x14ac:dyDescent="0.35">
      <c r="A752" t="s">
        <v>305</v>
      </c>
      <c r="B752" t="s">
        <v>338</v>
      </c>
      <c r="C752" t="s">
        <v>307</v>
      </c>
      <c r="D752">
        <v>11</v>
      </c>
      <c r="E752" t="s">
        <v>206</v>
      </c>
      <c r="F752">
        <v>2023</v>
      </c>
      <c r="G752" t="str">
        <f>TRIM(RIGHT(Table156[[#This Row],[Item-Codigo]], LEN(Table156[[#This Row],[Item-Codigo]]) - FIND("|", CONCATENATE(B752), FIND("|", CONCATENATE(B752)) + 1)))</f>
        <v>KG</v>
      </c>
      <c r="H75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937</v>
      </c>
      <c r="I752" s="40">
        <v>937</v>
      </c>
      <c r="J75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11000</v>
      </c>
      <c r="K752" t="s">
        <v>86</v>
      </c>
    </row>
    <row r="753" spans="1:11" x14ac:dyDescent="0.35">
      <c r="A753" t="s">
        <v>305</v>
      </c>
      <c r="B753" t="s">
        <v>340</v>
      </c>
      <c r="C753" t="s">
        <v>327</v>
      </c>
      <c r="D753">
        <v>11.25</v>
      </c>
      <c r="E753" t="s">
        <v>206</v>
      </c>
      <c r="F753">
        <v>2023</v>
      </c>
      <c r="G753" t="str">
        <f>TRIM(RIGHT(Table156[[#This Row],[Item-Codigo]], LEN(Table156[[#This Row],[Item-Codigo]]) - FIND("|", CONCATENATE(B753), FIND("|", CONCATENATE(B753)) + 1)))</f>
        <v>KG</v>
      </c>
      <c r="H75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877</v>
      </c>
      <c r="I753" s="40">
        <v>877</v>
      </c>
      <c r="J75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11250</v>
      </c>
      <c r="K753" t="s">
        <v>1074</v>
      </c>
    </row>
    <row r="754" spans="1:11" x14ac:dyDescent="0.35">
      <c r="A754" t="s">
        <v>305</v>
      </c>
      <c r="B754" t="s">
        <v>343</v>
      </c>
      <c r="C754" t="s">
        <v>385</v>
      </c>
      <c r="D754">
        <v>625</v>
      </c>
      <c r="E754" t="s">
        <v>206</v>
      </c>
      <c r="F754">
        <v>2023</v>
      </c>
      <c r="G754" t="str">
        <f>TRIM(RIGHT(Table156[[#This Row],[Item-Codigo]], LEN(Table156[[#This Row],[Item-Codigo]]) - FIND("|", CONCATENATE(B754), FIND("|", CONCATENATE(B754)) + 1)))</f>
        <v>TM</v>
      </c>
      <c r="H75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719</v>
      </c>
      <c r="I754" s="40">
        <v>719</v>
      </c>
      <c r="J75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625</v>
      </c>
      <c r="K754" t="s">
        <v>1077</v>
      </c>
    </row>
    <row r="755" spans="1:11" x14ac:dyDescent="0.35">
      <c r="A755" t="s">
        <v>305</v>
      </c>
      <c r="B755" t="s">
        <v>346</v>
      </c>
      <c r="C755" t="s">
        <v>327</v>
      </c>
      <c r="D755">
        <v>9</v>
      </c>
      <c r="E755" t="s">
        <v>206</v>
      </c>
      <c r="F755">
        <v>2023</v>
      </c>
      <c r="G755" t="str">
        <f>TRIM(RIGHT(Table156[[#This Row],[Item-Codigo]], LEN(Table156[[#This Row],[Item-Codigo]]) - FIND("|", CONCATENATE(B755), FIND("|", CONCATENATE(B755)) + 1)))</f>
        <v>KG</v>
      </c>
      <c r="H75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492.12</v>
      </c>
      <c r="I755" s="40" t="s">
        <v>539</v>
      </c>
      <c r="J75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755" t="s">
        <v>91</v>
      </c>
    </row>
    <row r="756" spans="1:11" x14ac:dyDescent="0.35">
      <c r="A756" t="s">
        <v>305</v>
      </c>
      <c r="B756" t="s">
        <v>347</v>
      </c>
      <c r="C756" t="s">
        <v>348</v>
      </c>
      <c r="D756">
        <v>19</v>
      </c>
      <c r="E756" t="s">
        <v>206</v>
      </c>
      <c r="F756">
        <v>2023</v>
      </c>
      <c r="G756" t="str">
        <f>TRIM(RIGHT(Table156[[#This Row],[Item-Codigo]], LEN(Table156[[#This Row],[Item-Codigo]]) - FIND("|", CONCATENATE(B756), FIND("|", CONCATENATE(B756)) + 1)))</f>
        <v>KG</v>
      </c>
      <c r="H75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550</v>
      </c>
      <c r="I756" s="40">
        <v>550</v>
      </c>
      <c r="J75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19000</v>
      </c>
      <c r="K756" t="s">
        <v>92</v>
      </c>
    </row>
    <row r="757" spans="1:11" x14ac:dyDescent="0.35">
      <c r="A757" t="s">
        <v>305</v>
      </c>
      <c r="B757" t="s">
        <v>350</v>
      </c>
      <c r="C757" t="s">
        <v>351</v>
      </c>
      <c r="D757">
        <v>2.15</v>
      </c>
      <c r="E757" t="s">
        <v>206</v>
      </c>
      <c r="F757">
        <v>2023</v>
      </c>
      <c r="G757" t="str">
        <f>TRIM(RIGHT(Table156[[#This Row],[Item-Codigo]], LEN(Table156[[#This Row],[Item-Codigo]]) - FIND("|", CONCATENATE(B757), FIND("|", CONCATENATE(B757)) + 1)))</f>
        <v>KG</v>
      </c>
      <c r="H75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173</v>
      </c>
      <c r="I757" s="40">
        <v>173</v>
      </c>
      <c r="J75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2150</v>
      </c>
      <c r="K757" t="s">
        <v>138</v>
      </c>
    </row>
    <row r="758" spans="1:11" x14ac:dyDescent="0.35">
      <c r="A758" t="s">
        <v>305</v>
      </c>
      <c r="B758" t="s">
        <v>352</v>
      </c>
      <c r="C758" t="s">
        <v>353</v>
      </c>
      <c r="D758">
        <v>9.35</v>
      </c>
      <c r="E758" t="s">
        <v>206</v>
      </c>
      <c r="F758">
        <v>2023</v>
      </c>
      <c r="G758" t="str">
        <f>TRIM(RIGHT(Table156[[#This Row],[Item-Codigo]], LEN(Table156[[#This Row],[Item-Codigo]]) - FIND("|", CONCATENATE(B758), FIND("|", CONCATENATE(B758)) + 1)))</f>
        <v>KG</v>
      </c>
      <c r="H75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742</v>
      </c>
      <c r="I758" s="40">
        <v>742</v>
      </c>
      <c r="J75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9350</v>
      </c>
      <c r="K758" t="s">
        <v>147</v>
      </c>
    </row>
    <row r="759" spans="1:11" x14ac:dyDescent="0.35">
      <c r="A759" t="s">
        <v>305</v>
      </c>
      <c r="B759" t="s">
        <v>354</v>
      </c>
      <c r="C759" t="s">
        <v>353</v>
      </c>
      <c r="D759">
        <v>9.24</v>
      </c>
      <c r="E759" t="s">
        <v>206</v>
      </c>
      <c r="F759">
        <v>2023</v>
      </c>
      <c r="G759" t="str">
        <f>TRIM(RIGHT(Table156[[#This Row],[Item-Codigo]], LEN(Table156[[#This Row],[Item-Codigo]]) - FIND("|", CONCATENATE(B759), FIND("|", CONCATENATE(B759)) + 1)))</f>
        <v>KG</v>
      </c>
      <c r="H75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741</v>
      </c>
      <c r="I759" s="40">
        <v>741</v>
      </c>
      <c r="J75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9240</v>
      </c>
      <c r="K759" t="s">
        <v>146</v>
      </c>
    </row>
    <row r="760" spans="1:11" x14ac:dyDescent="0.35">
      <c r="A760" t="s">
        <v>305</v>
      </c>
      <c r="B760" t="s">
        <v>355</v>
      </c>
      <c r="C760" t="s">
        <v>353</v>
      </c>
      <c r="D760">
        <v>8.85</v>
      </c>
      <c r="E760" t="s">
        <v>206</v>
      </c>
      <c r="F760">
        <v>2023</v>
      </c>
      <c r="G760" t="str">
        <f>TRIM(RIGHT(Table156[[#This Row],[Item-Codigo]], LEN(Table156[[#This Row],[Item-Codigo]]) - FIND("|", CONCATENATE(B760), FIND("|", CONCATENATE(B760)) + 1)))</f>
        <v>KG</v>
      </c>
      <c r="H76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740</v>
      </c>
      <c r="I760" s="40">
        <v>740</v>
      </c>
      <c r="J76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8850</v>
      </c>
      <c r="K760" t="s">
        <v>143</v>
      </c>
    </row>
    <row r="761" spans="1:11" x14ac:dyDescent="0.35">
      <c r="A761" t="s">
        <v>305</v>
      </c>
      <c r="B761" t="s">
        <v>360</v>
      </c>
      <c r="C761" t="s">
        <v>909</v>
      </c>
      <c r="D761">
        <v>1144.8385000000001</v>
      </c>
      <c r="E761" t="s">
        <v>206</v>
      </c>
      <c r="F761">
        <v>2023</v>
      </c>
      <c r="G761" t="str">
        <f>TRIM(RIGHT(Table156[[#This Row],[Item-Codigo]], LEN(Table156[[#This Row],[Item-Codigo]]) - FIND("|", CONCATENATE(B761), FIND("|", CONCATENATE(B761)) + 1)))</f>
        <v>TM</v>
      </c>
      <c r="H76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</v>
      </c>
      <c r="I761" s="40">
        <v>45</v>
      </c>
      <c r="J76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1144.8385000000001</v>
      </c>
      <c r="K761" t="s">
        <v>131</v>
      </c>
    </row>
    <row r="762" spans="1:11" x14ac:dyDescent="0.35">
      <c r="A762" t="s">
        <v>305</v>
      </c>
      <c r="B762" t="s">
        <v>362</v>
      </c>
      <c r="C762" t="s">
        <v>363</v>
      </c>
      <c r="D762">
        <v>1.3148</v>
      </c>
      <c r="E762" t="s">
        <v>206</v>
      </c>
      <c r="F762">
        <v>2023</v>
      </c>
      <c r="G762" t="str">
        <f>TRIM(RIGHT(Table156[[#This Row],[Item-Codigo]], LEN(Table156[[#This Row],[Item-Codigo]]) - FIND("|", CONCATENATE(B762), FIND("|", CONCATENATE(B762)) + 1)))</f>
        <v>KG</v>
      </c>
      <c r="H76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439</v>
      </c>
      <c r="I762" s="40">
        <v>439</v>
      </c>
      <c r="J76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1314.8</v>
      </c>
      <c r="K762" t="s">
        <v>137</v>
      </c>
    </row>
    <row r="763" spans="1:11" x14ac:dyDescent="0.35">
      <c r="A763" t="s">
        <v>305</v>
      </c>
      <c r="B763" t="s">
        <v>913</v>
      </c>
      <c r="C763" t="s">
        <v>365</v>
      </c>
      <c r="D763">
        <v>3.57</v>
      </c>
      <c r="E763" t="s">
        <v>206</v>
      </c>
      <c r="F763">
        <v>2023</v>
      </c>
      <c r="G763" t="str">
        <f>TRIM(RIGHT(Table156[[#This Row],[Item-Codigo]], LEN(Table156[[#This Row],[Item-Codigo]]) - FIND("|", CONCATENATE(B763), FIND("|", CONCATENATE(B763)) + 1)))</f>
        <v>KG</v>
      </c>
      <c r="H76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499.12</v>
      </c>
      <c r="I763" s="40" t="s">
        <v>544</v>
      </c>
      <c r="J76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3570</v>
      </c>
      <c r="K763" t="s">
        <v>972</v>
      </c>
    </row>
    <row r="764" spans="1:11" x14ac:dyDescent="0.35">
      <c r="A764" t="s">
        <v>305</v>
      </c>
      <c r="B764" t="s">
        <v>366</v>
      </c>
      <c r="C764" t="s">
        <v>365</v>
      </c>
      <c r="D764">
        <v>2.89</v>
      </c>
      <c r="E764" t="s">
        <v>206</v>
      </c>
      <c r="F764">
        <v>2023</v>
      </c>
      <c r="G764" t="str">
        <f>TRIM(RIGHT(Table156[[#This Row],[Item-Codigo]], LEN(Table156[[#This Row],[Item-Codigo]]) - FIND("|", CONCATENATE(B764), FIND("|", CONCATENATE(B764)) + 1)))</f>
        <v>KG</v>
      </c>
      <c r="H76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499.11</v>
      </c>
      <c r="I764" s="40" t="s">
        <v>543</v>
      </c>
      <c r="J76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2890</v>
      </c>
      <c r="K764" t="s">
        <v>142</v>
      </c>
    </row>
    <row r="765" spans="1:11" x14ac:dyDescent="0.35">
      <c r="A765" t="s">
        <v>305</v>
      </c>
      <c r="B765" t="s">
        <v>367</v>
      </c>
      <c r="C765" t="s">
        <v>321</v>
      </c>
      <c r="D765">
        <v>2.15</v>
      </c>
      <c r="E765" t="s">
        <v>206</v>
      </c>
      <c r="F765">
        <v>2023</v>
      </c>
      <c r="G765" t="str">
        <f>TRIM(RIGHT(Table156[[#This Row],[Item-Codigo]], LEN(Table156[[#This Row],[Item-Codigo]]) - FIND("|", CONCATENATE(B765), FIND("|", CONCATENATE(B765)) + 1)))</f>
        <v>KG</v>
      </c>
      <c r="H76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910</v>
      </c>
      <c r="I765" s="40">
        <v>910</v>
      </c>
      <c r="J76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2150</v>
      </c>
      <c r="K765" t="s">
        <v>136</v>
      </c>
    </row>
    <row r="766" spans="1:11" x14ac:dyDescent="0.35">
      <c r="A766" t="s">
        <v>305</v>
      </c>
      <c r="B766" t="s">
        <v>368</v>
      </c>
      <c r="C766" t="s">
        <v>348</v>
      </c>
      <c r="D766">
        <v>4.5</v>
      </c>
      <c r="E766" t="s">
        <v>206</v>
      </c>
      <c r="F766">
        <v>2023</v>
      </c>
      <c r="G766" t="str">
        <f>TRIM(RIGHT(Table156[[#This Row],[Item-Codigo]], LEN(Table156[[#This Row],[Item-Codigo]]) - FIND("|", CONCATENATE(B766), FIND("|", CONCATENATE(B766)) + 1)))</f>
        <v>KG</v>
      </c>
      <c r="H76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381</v>
      </c>
      <c r="I766" s="40">
        <v>381</v>
      </c>
      <c r="J76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4500</v>
      </c>
      <c r="K766" t="s">
        <v>74</v>
      </c>
    </row>
    <row r="767" spans="1:11" x14ac:dyDescent="0.35">
      <c r="A767" t="s">
        <v>305</v>
      </c>
      <c r="B767" t="s">
        <v>372</v>
      </c>
      <c r="C767" t="s">
        <v>373</v>
      </c>
      <c r="D767">
        <v>1.2</v>
      </c>
      <c r="E767" t="s">
        <v>206</v>
      </c>
      <c r="F767">
        <v>2023</v>
      </c>
      <c r="G767" t="str">
        <f>TRIM(RIGHT(Table156[[#This Row],[Item-Codigo]], LEN(Table156[[#This Row],[Item-Codigo]]) - FIND("|", CONCATENATE(B767), FIND("|", CONCATENATE(B767)) + 1)))</f>
        <v>KG</v>
      </c>
      <c r="H76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701.2</v>
      </c>
      <c r="I767" s="40" t="s">
        <v>553</v>
      </c>
      <c r="J76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1200</v>
      </c>
      <c r="K767" t="s">
        <v>140</v>
      </c>
    </row>
    <row r="768" spans="1:11" x14ac:dyDescent="0.35">
      <c r="A768" t="s">
        <v>305</v>
      </c>
      <c r="B768" t="s">
        <v>374</v>
      </c>
      <c r="C768" t="s">
        <v>317</v>
      </c>
      <c r="D768">
        <v>15.9</v>
      </c>
      <c r="E768" t="s">
        <v>206</v>
      </c>
      <c r="F768">
        <v>2023</v>
      </c>
      <c r="G768" t="str">
        <f>TRIM(RIGHT(Table156[[#This Row],[Item-Codigo]], LEN(Table156[[#This Row],[Item-Codigo]]) - FIND("|", CONCATENATE(B768), FIND("|", CONCATENATE(B768)) + 1)))</f>
        <v>KG</v>
      </c>
      <c r="H76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1051</v>
      </c>
      <c r="I768" s="40">
        <v>1051</v>
      </c>
      <c r="J76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15900</v>
      </c>
      <c r="K768" t="s">
        <v>173</v>
      </c>
    </row>
    <row r="769" spans="1:11" x14ac:dyDescent="0.35">
      <c r="A769" t="s">
        <v>305</v>
      </c>
      <c r="B769" t="s">
        <v>375</v>
      </c>
      <c r="C769" t="s">
        <v>317</v>
      </c>
      <c r="D769">
        <v>6</v>
      </c>
      <c r="E769" t="s">
        <v>206</v>
      </c>
      <c r="F769">
        <v>2023</v>
      </c>
      <c r="G769" t="str">
        <f>TRIM(RIGHT(Table156[[#This Row],[Item-Codigo]], LEN(Table156[[#This Row],[Item-Codigo]]) - FIND("|", CONCATENATE(B769), FIND("|", CONCATENATE(B769)) + 1)))</f>
        <v>KG</v>
      </c>
      <c r="H76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945</v>
      </c>
      <c r="I769" s="40">
        <v>945</v>
      </c>
      <c r="J76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769" t="s">
        <v>148</v>
      </c>
    </row>
    <row r="770" spans="1:11" x14ac:dyDescent="0.35">
      <c r="A770" t="s">
        <v>305</v>
      </c>
      <c r="B770" t="s">
        <v>376</v>
      </c>
      <c r="C770" t="s">
        <v>377</v>
      </c>
      <c r="D770">
        <v>2.6</v>
      </c>
      <c r="E770" t="s">
        <v>206</v>
      </c>
      <c r="F770">
        <v>2023</v>
      </c>
      <c r="G770" t="str">
        <f>TRIM(RIGHT(Table156[[#This Row],[Item-Codigo]], LEN(Table156[[#This Row],[Item-Codigo]]) - FIND("|", CONCATENATE(B770), FIND("|", CONCATENATE(B770)) + 1)))</f>
        <v>KG</v>
      </c>
      <c r="H77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311</v>
      </c>
      <c r="I770" s="40">
        <v>311</v>
      </c>
      <c r="J77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2600</v>
      </c>
      <c r="K770" t="s">
        <v>168</v>
      </c>
    </row>
    <row r="771" spans="1:11" x14ac:dyDescent="0.35">
      <c r="A771" t="s">
        <v>305</v>
      </c>
      <c r="B771" t="s">
        <v>378</v>
      </c>
      <c r="C771" t="s">
        <v>377</v>
      </c>
      <c r="D771">
        <v>2.59</v>
      </c>
      <c r="E771" t="s">
        <v>206</v>
      </c>
      <c r="F771">
        <v>2023</v>
      </c>
      <c r="G771" t="str">
        <f>TRIM(RIGHT(Table156[[#This Row],[Item-Codigo]], LEN(Table156[[#This Row],[Item-Codigo]]) - FIND("|", CONCATENATE(B771), FIND("|", CONCATENATE(B771)) + 1)))</f>
        <v>KG</v>
      </c>
      <c r="H77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316</v>
      </c>
      <c r="I771" s="40">
        <v>316</v>
      </c>
      <c r="J77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2590</v>
      </c>
      <c r="K771" t="s">
        <v>165</v>
      </c>
    </row>
    <row r="772" spans="1:11" x14ac:dyDescent="0.35">
      <c r="A772" t="s">
        <v>305</v>
      </c>
      <c r="B772" t="s">
        <v>382</v>
      </c>
      <c r="C772" t="s">
        <v>327</v>
      </c>
      <c r="D772">
        <v>9</v>
      </c>
      <c r="E772" t="s">
        <v>206</v>
      </c>
      <c r="F772">
        <v>2023</v>
      </c>
      <c r="G772" t="str">
        <f>TRIM(RIGHT(Table156[[#This Row],[Item-Codigo]], LEN(Table156[[#This Row],[Item-Codigo]]) - FIND("|", CONCATENATE(B772), FIND("|", CONCATENATE(B772)) + 1)))</f>
        <v>KG</v>
      </c>
      <c r="H77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68</v>
      </c>
      <c r="I772" s="40">
        <v>68</v>
      </c>
      <c r="J77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772" t="s">
        <v>160</v>
      </c>
    </row>
    <row r="773" spans="1:11" x14ac:dyDescent="0.35">
      <c r="A773" t="s">
        <v>305</v>
      </c>
      <c r="B773" t="s">
        <v>383</v>
      </c>
      <c r="C773" t="s">
        <v>317</v>
      </c>
      <c r="D773">
        <v>7.8</v>
      </c>
      <c r="E773" t="s">
        <v>206</v>
      </c>
      <c r="F773">
        <v>2023</v>
      </c>
      <c r="G773" t="str">
        <f>TRIM(RIGHT(Table156[[#This Row],[Item-Codigo]], LEN(Table156[[#This Row],[Item-Codigo]]) - FIND("|", CONCATENATE(B773), FIND("|", CONCATENATE(B773)) + 1)))</f>
        <v>KG</v>
      </c>
      <c r="H77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1059</v>
      </c>
      <c r="I773" s="40">
        <v>1059</v>
      </c>
      <c r="J77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7800</v>
      </c>
      <c r="K773" t="s">
        <v>151</v>
      </c>
    </row>
    <row r="774" spans="1:11" x14ac:dyDescent="0.35">
      <c r="A774" t="s">
        <v>305</v>
      </c>
      <c r="B774" t="s">
        <v>384</v>
      </c>
      <c r="C774" t="s">
        <v>385</v>
      </c>
      <c r="D774">
        <v>48</v>
      </c>
      <c r="E774" t="s">
        <v>206</v>
      </c>
      <c r="F774">
        <v>2023</v>
      </c>
      <c r="G774" t="str">
        <f>TRIM(RIGHT(Table156[[#This Row],[Item-Codigo]], LEN(Table156[[#This Row],[Item-Codigo]]) - FIND("|", CONCATENATE(B774), FIND("|", CONCATENATE(B774)) + 1)))</f>
        <v>KG</v>
      </c>
      <c r="H77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527.1</v>
      </c>
      <c r="I774" s="40" t="s">
        <v>547</v>
      </c>
      <c r="J77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48000</v>
      </c>
      <c r="K774" t="s">
        <v>1078</v>
      </c>
    </row>
    <row r="775" spans="1:11" x14ac:dyDescent="0.35">
      <c r="A775" t="s">
        <v>305</v>
      </c>
      <c r="B775" t="s">
        <v>386</v>
      </c>
      <c r="C775" t="s">
        <v>387</v>
      </c>
      <c r="D775">
        <v>5.98</v>
      </c>
      <c r="E775" t="s">
        <v>206</v>
      </c>
      <c r="F775">
        <v>2023</v>
      </c>
      <c r="G775" t="str">
        <f>TRIM(RIGHT(Table156[[#This Row],[Item-Codigo]], LEN(Table156[[#This Row],[Item-Codigo]]) - FIND("|", CONCATENATE(B775), FIND("|", CONCATENATE(B775)) + 1)))</f>
        <v>KG</v>
      </c>
      <c r="H77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110.2</v>
      </c>
      <c r="I775" s="40" t="s">
        <v>522</v>
      </c>
      <c r="J77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5980</v>
      </c>
      <c r="K775" t="s">
        <v>170</v>
      </c>
    </row>
    <row r="776" spans="1:11" x14ac:dyDescent="0.35">
      <c r="A776" t="s">
        <v>305</v>
      </c>
      <c r="B776" t="s">
        <v>388</v>
      </c>
      <c r="C776" t="s">
        <v>321</v>
      </c>
      <c r="D776">
        <v>7.4</v>
      </c>
      <c r="E776" t="s">
        <v>206</v>
      </c>
      <c r="F776">
        <v>2023</v>
      </c>
      <c r="G776" t="str">
        <f>TRIM(RIGHT(Table156[[#This Row],[Item-Codigo]], LEN(Table156[[#This Row],[Item-Codigo]]) - FIND("|", CONCATENATE(B776), FIND("|", CONCATENATE(B776)) + 1)))</f>
        <v>KG</v>
      </c>
      <c r="H77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1068</v>
      </c>
      <c r="I776" s="40">
        <v>1068</v>
      </c>
      <c r="J77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7400</v>
      </c>
      <c r="K776" t="s">
        <v>145</v>
      </c>
    </row>
    <row r="777" spans="1:11" x14ac:dyDescent="0.35">
      <c r="A777" t="s">
        <v>305</v>
      </c>
      <c r="B777" t="s">
        <v>389</v>
      </c>
      <c r="C777" t="s">
        <v>390</v>
      </c>
      <c r="D777">
        <v>1.05</v>
      </c>
      <c r="E777" t="s">
        <v>206</v>
      </c>
      <c r="F777">
        <v>2023</v>
      </c>
      <c r="G777" t="str">
        <f>TRIM(RIGHT(Table156[[#This Row],[Item-Codigo]], LEN(Table156[[#This Row],[Item-Codigo]]) - FIND("|", CONCATENATE(B777), FIND("|", CONCATENATE(B777)) + 1)))</f>
        <v>KG</v>
      </c>
      <c r="H77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806</v>
      </c>
      <c r="I777" s="40">
        <v>806</v>
      </c>
      <c r="J77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1050</v>
      </c>
      <c r="K777" t="s">
        <v>134</v>
      </c>
    </row>
    <row r="778" spans="1:11" x14ac:dyDescent="0.35">
      <c r="A778" t="s">
        <v>305</v>
      </c>
      <c r="B778" t="s">
        <v>391</v>
      </c>
      <c r="C778" t="s">
        <v>390</v>
      </c>
      <c r="D778">
        <v>2</v>
      </c>
      <c r="E778" t="s">
        <v>206</v>
      </c>
      <c r="F778">
        <v>2023</v>
      </c>
      <c r="G778" t="str">
        <f>TRIM(RIGHT(Table156[[#This Row],[Item-Codigo]], LEN(Table156[[#This Row],[Item-Codigo]]) - FIND("|", CONCATENATE(B778), FIND("|", CONCATENATE(B778)) + 1)))</f>
        <v>KG</v>
      </c>
      <c r="H77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810</v>
      </c>
      <c r="I778" s="40">
        <v>810</v>
      </c>
      <c r="J77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2000</v>
      </c>
      <c r="K778" t="s">
        <v>144</v>
      </c>
    </row>
    <row r="779" spans="1:11" x14ac:dyDescent="0.35">
      <c r="A779" t="s">
        <v>305</v>
      </c>
      <c r="B779" t="s">
        <v>392</v>
      </c>
      <c r="C779" t="s">
        <v>393</v>
      </c>
      <c r="D779">
        <v>2.8</v>
      </c>
      <c r="E779" t="s">
        <v>206</v>
      </c>
      <c r="F779">
        <v>2023</v>
      </c>
      <c r="G779" t="str">
        <f>TRIM(RIGHT(Table156[[#This Row],[Item-Codigo]], LEN(Table156[[#This Row],[Item-Codigo]]) - FIND("|", CONCATENATE(B779), FIND("|", CONCATENATE(B779)) + 1)))</f>
        <v>KG</v>
      </c>
      <c r="H77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170</v>
      </c>
      <c r="I779" s="40">
        <v>170</v>
      </c>
      <c r="J77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2800</v>
      </c>
      <c r="K779" t="s">
        <v>174</v>
      </c>
    </row>
    <row r="780" spans="1:11" x14ac:dyDescent="0.35">
      <c r="A780" t="s">
        <v>305</v>
      </c>
      <c r="B780" t="s">
        <v>394</v>
      </c>
      <c r="C780" t="s">
        <v>395</v>
      </c>
      <c r="D780">
        <v>19.75</v>
      </c>
      <c r="E780" t="s">
        <v>206</v>
      </c>
      <c r="F780">
        <v>2023</v>
      </c>
      <c r="G780" t="str">
        <f>TRIM(RIGHT(Table156[[#This Row],[Item-Codigo]], LEN(Table156[[#This Row],[Item-Codigo]]) - FIND("|", CONCATENATE(B780), FIND("|", CONCATENATE(B780)) + 1)))</f>
        <v>KG</v>
      </c>
      <c r="H78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</v>
      </c>
      <c r="I780" s="40">
        <v>70</v>
      </c>
      <c r="J78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19750</v>
      </c>
      <c r="K780" t="s">
        <v>159</v>
      </c>
    </row>
    <row r="781" spans="1:11" x14ac:dyDescent="0.35">
      <c r="A781" t="s">
        <v>305</v>
      </c>
      <c r="B781" t="s">
        <v>396</v>
      </c>
      <c r="C781" t="s">
        <v>345</v>
      </c>
      <c r="D781">
        <v>13.4</v>
      </c>
      <c r="E781" t="s">
        <v>206</v>
      </c>
      <c r="F781">
        <v>2023</v>
      </c>
      <c r="G781" t="str">
        <f>TRIM(RIGHT(Table156[[#This Row],[Item-Codigo]], LEN(Table156[[#This Row],[Item-Codigo]]) - FIND("|", CONCATENATE(B781), FIND("|", CONCATENATE(B781)) + 1)))</f>
        <v>KG</v>
      </c>
      <c r="H78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58</v>
      </c>
      <c r="I781" s="40">
        <v>58</v>
      </c>
      <c r="J78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13400</v>
      </c>
      <c r="K781" t="s">
        <v>172</v>
      </c>
    </row>
    <row r="782" spans="1:11" x14ac:dyDescent="0.35">
      <c r="A782" t="s">
        <v>305</v>
      </c>
      <c r="B782" t="s">
        <v>397</v>
      </c>
      <c r="C782" t="s">
        <v>327</v>
      </c>
      <c r="D782">
        <v>9</v>
      </c>
      <c r="E782" t="s">
        <v>206</v>
      </c>
      <c r="F782">
        <v>2023</v>
      </c>
      <c r="G782" t="str">
        <f>TRIM(RIGHT(Table156[[#This Row],[Item-Codigo]], LEN(Table156[[#This Row],[Item-Codigo]]) - FIND("|", CONCATENATE(B782), FIND("|", CONCATENATE(B782)) + 1)))</f>
        <v>KG</v>
      </c>
      <c r="H78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933</v>
      </c>
      <c r="I782" s="40">
        <v>933</v>
      </c>
      <c r="J78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782" t="s">
        <v>163</v>
      </c>
    </row>
    <row r="783" spans="1:11" x14ac:dyDescent="0.35">
      <c r="A783" t="s">
        <v>305</v>
      </c>
      <c r="B783" t="s">
        <v>919</v>
      </c>
      <c r="C783" t="s">
        <v>399</v>
      </c>
      <c r="D783">
        <v>3.8709677418999999</v>
      </c>
      <c r="E783" t="s">
        <v>206</v>
      </c>
      <c r="F783">
        <v>2023</v>
      </c>
      <c r="G783" t="str">
        <f>TRIM(RIGHT(Table156[[#This Row],[Item-Codigo]], LEN(Table156[[#This Row],[Item-Codigo]]) - FIND("|", CONCATENATE(B783), FIND("|", CONCATENATE(B783)) + 1)))</f>
        <v>S 25KG</v>
      </c>
      <c r="H78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704</v>
      </c>
      <c r="I783" s="40">
        <v>704</v>
      </c>
      <c r="J78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3870.9677419</v>
      </c>
      <c r="K783" t="s">
        <v>132</v>
      </c>
    </row>
    <row r="784" spans="1:11" x14ac:dyDescent="0.35">
      <c r="A784" t="s">
        <v>305</v>
      </c>
      <c r="B784" t="s">
        <v>401</v>
      </c>
      <c r="C784" t="s">
        <v>345</v>
      </c>
      <c r="D784">
        <v>33.85</v>
      </c>
      <c r="E784" t="s">
        <v>206</v>
      </c>
      <c r="F784">
        <v>2023</v>
      </c>
      <c r="G784" t="str">
        <f>TRIM(RIGHT(Table156[[#This Row],[Item-Codigo]], LEN(Table156[[#This Row],[Item-Codigo]]) - FIND("|", CONCATENATE(B784), FIND("|", CONCATENATE(B784)) + 1)))</f>
        <v>KG</v>
      </c>
      <c r="H78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1049</v>
      </c>
      <c r="I784" s="40">
        <v>1049</v>
      </c>
      <c r="J78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33850</v>
      </c>
      <c r="K784" t="s">
        <v>973</v>
      </c>
    </row>
    <row r="785" spans="1:11" x14ac:dyDescent="0.35">
      <c r="A785" t="s">
        <v>305</v>
      </c>
      <c r="B785" t="s">
        <v>402</v>
      </c>
      <c r="C785" t="s">
        <v>404</v>
      </c>
      <c r="D785">
        <v>3.3</v>
      </c>
      <c r="E785" t="s">
        <v>206</v>
      </c>
      <c r="F785">
        <v>2023</v>
      </c>
      <c r="G785" t="str">
        <f>TRIM(RIGHT(Table156[[#This Row],[Item-Codigo]], LEN(Table156[[#This Row],[Item-Codigo]]) - FIND("|", CONCATENATE(B785), FIND("|", CONCATENATE(B785)) + 1)))</f>
        <v>KG</v>
      </c>
      <c r="H78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716</v>
      </c>
      <c r="I785" s="40">
        <v>716</v>
      </c>
      <c r="J78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3300</v>
      </c>
      <c r="K785" t="s">
        <v>162</v>
      </c>
    </row>
    <row r="786" spans="1:11" x14ac:dyDescent="0.35">
      <c r="A786" t="s">
        <v>305</v>
      </c>
      <c r="B786" t="s">
        <v>406</v>
      </c>
      <c r="C786" t="s">
        <v>327</v>
      </c>
      <c r="D786">
        <v>85</v>
      </c>
      <c r="E786" t="s">
        <v>206</v>
      </c>
      <c r="F786">
        <v>2023</v>
      </c>
      <c r="G786" t="str">
        <f>TRIM(RIGHT(Table156[[#This Row],[Item-Codigo]], LEN(Table156[[#This Row],[Item-Codigo]]) - FIND("|", CONCATENATE(B786), FIND("|", CONCATENATE(B786)) + 1)))</f>
        <v>KG</v>
      </c>
      <c r="H78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685</v>
      </c>
      <c r="I786" s="40">
        <v>685</v>
      </c>
      <c r="J78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85000</v>
      </c>
      <c r="K786" t="s">
        <v>169</v>
      </c>
    </row>
    <row r="787" spans="1:11" x14ac:dyDescent="0.35">
      <c r="A787" t="s">
        <v>305</v>
      </c>
      <c r="B787" t="s">
        <v>407</v>
      </c>
      <c r="C787" t="s">
        <v>390</v>
      </c>
      <c r="D787">
        <v>1.18</v>
      </c>
      <c r="E787" t="s">
        <v>206</v>
      </c>
      <c r="F787">
        <v>2023</v>
      </c>
      <c r="G787" t="str">
        <f>TRIM(RIGHT(Table156[[#This Row],[Item-Codigo]], LEN(Table156[[#This Row],[Item-Codigo]]) - FIND("|", CONCATENATE(B787), FIND("|", CONCATENATE(B787)) + 1)))</f>
        <v>KG</v>
      </c>
      <c r="H78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46.5</v>
      </c>
      <c r="I787" s="40" t="s">
        <v>535</v>
      </c>
      <c r="J78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1180</v>
      </c>
      <c r="K787" t="s">
        <v>161</v>
      </c>
    </row>
    <row r="788" spans="1:11" x14ac:dyDescent="0.35">
      <c r="A788" t="s">
        <v>305</v>
      </c>
      <c r="B788" t="s">
        <v>408</v>
      </c>
      <c r="C788" t="s">
        <v>327</v>
      </c>
      <c r="D788">
        <v>1.4</v>
      </c>
      <c r="E788" t="s">
        <v>206</v>
      </c>
      <c r="F788">
        <v>2023</v>
      </c>
      <c r="G788" t="str">
        <f>TRIM(RIGHT(Table156[[#This Row],[Item-Codigo]], LEN(Table156[[#This Row],[Item-Codigo]]) - FIND("|", CONCATENATE(B788), FIND("|", CONCATENATE(B788)) + 1)))</f>
        <v>KG</v>
      </c>
      <c r="H78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379</v>
      </c>
      <c r="I788" s="40">
        <v>379</v>
      </c>
      <c r="J78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1400</v>
      </c>
      <c r="K788" t="s">
        <v>139</v>
      </c>
    </row>
    <row r="789" spans="1:11" x14ac:dyDescent="0.35">
      <c r="A789" t="s">
        <v>305</v>
      </c>
      <c r="B789" t="s">
        <v>928</v>
      </c>
      <c r="C789" t="s">
        <v>327</v>
      </c>
      <c r="D789">
        <v>8.8000000000000007</v>
      </c>
      <c r="E789" t="s">
        <v>206</v>
      </c>
      <c r="F789">
        <v>2023</v>
      </c>
      <c r="G789" t="str">
        <f>TRIM(RIGHT(Table156[[#This Row],[Item-Codigo]], LEN(Table156[[#This Row],[Item-Codigo]]) - FIND("|", CONCATENATE(B789), FIND("|", CONCATENATE(B789)) + 1)))</f>
        <v>KG</v>
      </c>
      <c r="H78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442.4</v>
      </c>
      <c r="I789" s="40" t="s">
        <v>531</v>
      </c>
      <c r="J78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8800</v>
      </c>
      <c r="K789" t="s">
        <v>164</v>
      </c>
    </row>
    <row r="790" spans="1:11" x14ac:dyDescent="0.35">
      <c r="A790" t="s">
        <v>305</v>
      </c>
      <c r="B790" t="s">
        <v>928</v>
      </c>
      <c r="C790" t="s">
        <v>315</v>
      </c>
      <c r="D790">
        <v>9</v>
      </c>
      <c r="E790" t="s">
        <v>206</v>
      </c>
      <c r="F790">
        <v>2023</v>
      </c>
      <c r="G790" t="str">
        <f>TRIM(RIGHT(Table156[[#This Row],[Item-Codigo]], LEN(Table156[[#This Row],[Item-Codigo]]) - FIND("|", CONCATENATE(B790), FIND("|", CONCATENATE(B790)) + 1)))</f>
        <v>KG</v>
      </c>
      <c r="H79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442.4</v>
      </c>
      <c r="I790" s="40" t="s">
        <v>531</v>
      </c>
      <c r="J79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790" t="s">
        <v>164</v>
      </c>
    </row>
    <row r="791" spans="1:11" x14ac:dyDescent="0.35">
      <c r="A791" t="s">
        <v>305</v>
      </c>
      <c r="B791" t="s">
        <v>410</v>
      </c>
      <c r="C791" t="s">
        <v>385</v>
      </c>
      <c r="D791">
        <v>5.5</v>
      </c>
      <c r="E791" t="s">
        <v>206</v>
      </c>
      <c r="F791">
        <v>2023</v>
      </c>
      <c r="G791" t="str">
        <f>TRIM(RIGHT(Table156[[#This Row],[Item-Codigo]], LEN(Table156[[#This Row],[Item-Codigo]]) - FIND("|", CONCATENATE(B791), FIND("|", CONCATENATE(B791)) + 1)))</f>
        <v>KG</v>
      </c>
      <c r="H79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508</v>
      </c>
      <c r="I791" s="40">
        <v>508</v>
      </c>
      <c r="J79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5500</v>
      </c>
      <c r="K791" t="s">
        <v>154</v>
      </c>
    </row>
    <row r="792" spans="1:11" x14ac:dyDescent="0.35">
      <c r="A792" t="s">
        <v>305</v>
      </c>
      <c r="B792" t="s">
        <v>410</v>
      </c>
      <c r="C792" t="s">
        <v>315</v>
      </c>
      <c r="D792">
        <v>5.6</v>
      </c>
      <c r="E792" t="s">
        <v>206</v>
      </c>
      <c r="F792">
        <v>2023</v>
      </c>
      <c r="G792" t="str">
        <f>TRIM(RIGHT(Table156[[#This Row],[Item-Codigo]], LEN(Table156[[#This Row],[Item-Codigo]]) - FIND("|", CONCATENATE(B792), FIND("|", CONCATENATE(B792)) + 1)))</f>
        <v>KG</v>
      </c>
      <c r="H79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508</v>
      </c>
      <c r="I792" s="40">
        <v>508</v>
      </c>
      <c r="J79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792" t="s">
        <v>154</v>
      </c>
    </row>
    <row r="793" spans="1:11" x14ac:dyDescent="0.35">
      <c r="A793" t="s">
        <v>305</v>
      </c>
      <c r="B793" t="s">
        <v>412</v>
      </c>
      <c r="C793" t="s">
        <v>348</v>
      </c>
      <c r="D793">
        <v>30</v>
      </c>
      <c r="E793" t="s">
        <v>206</v>
      </c>
      <c r="F793">
        <v>2023</v>
      </c>
      <c r="G793" t="str">
        <f>TRIM(RIGHT(Table156[[#This Row],[Item-Codigo]], LEN(Table156[[#This Row],[Item-Codigo]]) - FIND("|", CONCATENATE(B793), FIND("|", CONCATENATE(B793)) + 1)))</f>
        <v>KG</v>
      </c>
      <c r="H79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981.2</v>
      </c>
      <c r="I793" s="40" t="s">
        <v>556</v>
      </c>
      <c r="J79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30000</v>
      </c>
      <c r="K793" t="s">
        <v>171</v>
      </c>
    </row>
    <row r="794" spans="1:11" x14ac:dyDescent="0.35">
      <c r="A794" t="s">
        <v>305</v>
      </c>
      <c r="B794" t="s">
        <v>413</v>
      </c>
      <c r="C794" t="s">
        <v>365</v>
      </c>
      <c r="D794">
        <v>2.4</v>
      </c>
      <c r="E794" t="s">
        <v>206</v>
      </c>
      <c r="F794">
        <v>2023</v>
      </c>
      <c r="G794" t="str">
        <f>TRIM(RIGHT(Table156[[#This Row],[Item-Codigo]], LEN(Table156[[#This Row],[Item-Codigo]]) - FIND("|", CONCATENATE(B794), FIND("|", CONCATENATE(B794)) + 1)))</f>
        <v>KG</v>
      </c>
      <c r="H79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456.12</v>
      </c>
      <c r="I794" s="40" t="s">
        <v>533</v>
      </c>
      <c r="J79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2400</v>
      </c>
      <c r="K794" t="s">
        <v>153</v>
      </c>
    </row>
    <row r="795" spans="1:11" x14ac:dyDescent="0.35">
      <c r="A795" t="s">
        <v>305</v>
      </c>
      <c r="B795" t="s">
        <v>930</v>
      </c>
      <c r="C795" t="s">
        <v>365</v>
      </c>
      <c r="D795">
        <v>4.17</v>
      </c>
      <c r="E795" t="s">
        <v>206</v>
      </c>
      <c r="F795">
        <v>2023</v>
      </c>
      <c r="G795" t="str">
        <f>TRIM(RIGHT(Table156[[#This Row],[Item-Codigo]], LEN(Table156[[#This Row],[Item-Codigo]]) - FIND("|", CONCATENATE(B795), FIND("|", CONCATENATE(B795)) + 1)))</f>
        <v>KG</v>
      </c>
      <c r="H79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456.13</v>
      </c>
      <c r="I795" s="40" t="s">
        <v>944</v>
      </c>
      <c r="J79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4170</v>
      </c>
      <c r="K795" t="s">
        <v>158</v>
      </c>
    </row>
    <row r="796" spans="1:11" x14ac:dyDescent="0.35">
      <c r="A796" t="s">
        <v>305</v>
      </c>
      <c r="B796" t="s">
        <v>931</v>
      </c>
      <c r="C796" t="s">
        <v>415</v>
      </c>
      <c r="D796">
        <v>4.6500000000000004</v>
      </c>
      <c r="E796" t="s">
        <v>206</v>
      </c>
      <c r="F796">
        <v>2023</v>
      </c>
      <c r="G796" t="str">
        <f>TRIM(RIGHT(Table156[[#This Row],[Item-Codigo]], LEN(Table156[[#This Row],[Item-Codigo]]) - FIND("|", CONCATENATE(B796), FIND("|", CONCATENATE(B796)) + 1)))</f>
        <v>KG</v>
      </c>
      <c r="H79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456.9</v>
      </c>
      <c r="I796" s="40" t="s">
        <v>534</v>
      </c>
      <c r="J79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4650</v>
      </c>
      <c r="K796" t="s">
        <v>158</v>
      </c>
    </row>
    <row r="797" spans="1:11" x14ac:dyDescent="0.35">
      <c r="A797" t="s">
        <v>305</v>
      </c>
      <c r="B797" t="s">
        <v>414</v>
      </c>
      <c r="C797" t="s">
        <v>415</v>
      </c>
      <c r="D797">
        <v>9.15</v>
      </c>
      <c r="E797" t="s">
        <v>206</v>
      </c>
      <c r="F797">
        <v>2023</v>
      </c>
      <c r="G797" t="str">
        <f>TRIM(RIGHT(Table156[[#This Row],[Item-Codigo]], LEN(Table156[[#This Row],[Item-Codigo]]) - FIND("|", CONCATENATE(B797), FIND("|", CONCATENATE(B797)) + 1)))</f>
        <v>KG</v>
      </c>
      <c r="H79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455.3</v>
      </c>
      <c r="I797" s="40" t="s">
        <v>532</v>
      </c>
      <c r="J79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9150</v>
      </c>
      <c r="K797" t="s">
        <v>150</v>
      </c>
    </row>
    <row r="798" spans="1:11" x14ac:dyDescent="0.35">
      <c r="A798" t="s">
        <v>305</v>
      </c>
      <c r="B798" t="s">
        <v>416</v>
      </c>
      <c r="C798" t="s">
        <v>323</v>
      </c>
      <c r="D798">
        <v>2.7</v>
      </c>
      <c r="E798" t="s">
        <v>206</v>
      </c>
      <c r="F798">
        <v>2023</v>
      </c>
      <c r="G798" t="str">
        <f>TRIM(RIGHT(Table156[[#This Row],[Item-Codigo]], LEN(Table156[[#This Row],[Item-Codigo]]) - FIND("|", CONCATENATE(B798), FIND("|", CONCATENATE(B798)) + 1)))</f>
        <v>KG</v>
      </c>
      <c r="H79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1007.5</v>
      </c>
      <c r="I798" s="40" t="s">
        <v>495</v>
      </c>
      <c r="J79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2700</v>
      </c>
      <c r="K798" t="s">
        <v>141</v>
      </c>
    </row>
    <row r="799" spans="1:11" x14ac:dyDescent="0.35">
      <c r="A799" t="s">
        <v>196</v>
      </c>
      <c r="B799" t="s">
        <v>216</v>
      </c>
      <c r="C799" t="s">
        <v>215</v>
      </c>
      <c r="D799">
        <v>611.78654623499995</v>
      </c>
      <c r="E799" t="s">
        <v>826</v>
      </c>
      <c r="F799">
        <v>2023</v>
      </c>
      <c r="G799" t="str">
        <f>TRIM(RIGHT(Table156[[#This Row],[Item-Codigo]], LEN(Table156[[#This Row],[Item-Codigo]]) - FIND("|", CONCATENATE(B799), FIND("|", CONCATENATE(B799)) + 1)))</f>
        <v>TM</v>
      </c>
      <c r="H79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122</v>
      </c>
      <c r="I799" s="40">
        <v>122</v>
      </c>
      <c r="J79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611.78654623499995</v>
      </c>
      <c r="K799" t="s">
        <v>180</v>
      </c>
    </row>
    <row r="800" spans="1:11" x14ac:dyDescent="0.35">
      <c r="A800" t="s">
        <v>198</v>
      </c>
      <c r="B800" t="s">
        <v>219</v>
      </c>
      <c r="C800" t="s">
        <v>221</v>
      </c>
      <c r="D800">
        <v>945</v>
      </c>
      <c r="E800" t="s">
        <v>826</v>
      </c>
      <c r="F800">
        <v>2023</v>
      </c>
      <c r="G800" t="str">
        <f>TRIM(RIGHT(Table156[[#This Row],[Item-Codigo]], LEN(Table156[[#This Row],[Item-Codigo]]) - FIND("|", CONCATENATE(B800), FIND("|", CONCATENATE(B800)) + 1)))</f>
        <v>TM</v>
      </c>
      <c r="H80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800" s="40">
        <v>42</v>
      </c>
      <c r="J80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945</v>
      </c>
      <c r="K800" t="s">
        <v>94</v>
      </c>
    </row>
    <row r="801" spans="1:11" x14ac:dyDescent="0.35">
      <c r="A801" t="s">
        <v>198</v>
      </c>
      <c r="B801" t="s">
        <v>224</v>
      </c>
      <c r="C801" t="s">
        <v>223</v>
      </c>
      <c r="D801">
        <v>1887</v>
      </c>
      <c r="E801" t="s">
        <v>826</v>
      </c>
      <c r="F801">
        <v>2023</v>
      </c>
      <c r="G801" t="str">
        <f>TRIM(RIGHT(Table156[[#This Row],[Item-Codigo]], LEN(Table156[[#This Row],[Item-Codigo]]) - FIND("|", CONCATENATE(B801), FIND("|", CONCATENATE(B801)) + 1)))</f>
        <v>TM</v>
      </c>
      <c r="H80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40</v>
      </c>
      <c r="I801" s="40">
        <v>40</v>
      </c>
      <c r="J80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1887</v>
      </c>
      <c r="K801" t="s">
        <v>95</v>
      </c>
    </row>
    <row r="802" spans="1:11" x14ac:dyDescent="0.35">
      <c r="A802" t="s">
        <v>198</v>
      </c>
      <c r="B802" t="s">
        <v>224</v>
      </c>
      <c r="C802" t="s">
        <v>831</v>
      </c>
      <c r="D802">
        <v>1882.5</v>
      </c>
      <c r="E802" t="s">
        <v>826</v>
      </c>
      <c r="F802">
        <v>2023</v>
      </c>
      <c r="G802" t="str">
        <f>TRIM(RIGHT(Table156[[#This Row],[Item-Codigo]], LEN(Table156[[#This Row],[Item-Codigo]]) - FIND("|", CONCATENATE(B802), FIND("|", CONCATENATE(B802)) + 1)))</f>
        <v>TM</v>
      </c>
      <c r="H80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40</v>
      </c>
      <c r="I802" s="40">
        <v>40</v>
      </c>
      <c r="J80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1882.5</v>
      </c>
      <c r="K802" t="s">
        <v>95</v>
      </c>
    </row>
    <row r="803" spans="1:11" x14ac:dyDescent="0.35">
      <c r="A803" t="s">
        <v>198</v>
      </c>
      <c r="B803" t="s">
        <v>225</v>
      </c>
      <c r="C803" t="s">
        <v>226</v>
      </c>
      <c r="D803">
        <v>387.00035795366699</v>
      </c>
      <c r="E803" t="s">
        <v>826</v>
      </c>
      <c r="F803">
        <v>2023</v>
      </c>
      <c r="G803" t="str">
        <f>TRIM(RIGHT(Table156[[#This Row],[Item-Codigo]], LEN(Table156[[#This Row],[Item-Codigo]]) - FIND("|", CONCATENATE(B803), FIND("|", CONCATENATE(B803)) + 1)))</f>
        <v>TM</v>
      </c>
      <c r="H80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301</v>
      </c>
      <c r="I803" s="40">
        <v>301</v>
      </c>
      <c r="J80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387.00035795366699</v>
      </c>
      <c r="K803" t="s">
        <v>96</v>
      </c>
    </row>
    <row r="804" spans="1:11" x14ac:dyDescent="0.35">
      <c r="A804" t="s">
        <v>198</v>
      </c>
      <c r="B804" t="s">
        <v>228</v>
      </c>
      <c r="C804" t="s">
        <v>832</v>
      </c>
      <c r="D804">
        <v>349.98583390670001</v>
      </c>
      <c r="E804" t="s">
        <v>826</v>
      </c>
      <c r="F804">
        <v>2023</v>
      </c>
      <c r="G804" t="str">
        <f>TRIM(RIGHT(Table156[[#This Row],[Item-Codigo]], LEN(Table156[[#This Row],[Item-Codigo]]) - FIND("|", CONCATENATE(B804), FIND("|", CONCATENATE(B804)) + 1)))</f>
        <v>TM</v>
      </c>
      <c r="H80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804" s="40">
        <v>200</v>
      </c>
      <c r="J80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349.98583390670001</v>
      </c>
      <c r="K804" t="s">
        <v>97</v>
      </c>
    </row>
    <row r="805" spans="1:11" x14ac:dyDescent="0.35">
      <c r="A805" t="s">
        <v>198</v>
      </c>
      <c r="B805" t="s">
        <v>228</v>
      </c>
      <c r="C805" t="s">
        <v>218</v>
      </c>
      <c r="D805">
        <v>387.60524461116199</v>
      </c>
      <c r="E805" t="s">
        <v>826</v>
      </c>
      <c r="F805">
        <v>2023</v>
      </c>
      <c r="G805" t="str">
        <f>TRIM(RIGHT(Table156[[#This Row],[Item-Codigo]], LEN(Table156[[#This Row],[Item-Codigo]]) - FIND("|", CONCATENATE(B805), FIND("|", CONCATENATE(B805)) + 1)))</f>
        <v>TM</v>
      </c>
      <c r="H80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805" s="40">
        <v>200</v>
      </c>
      <c r="J80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387.60524461116199</v>
      </c>
      <c r="K805" t="s">
        <v>97</v>
      </c>
    </row>
    <row r="806" spans="1:11" x14ac:dyDescent="0.35">
      <c r="A806" t="s">
        <v>198</v>
      </c>
      <c r="B806" t="s">
        <v>232</v>
      </c>
      <c r="C806" t="s">
        <v>231</v>
      </c>
      <c r="D806">
        <v>46</v>
      </c>
      <c r="E806" t="s">
        <v>826</v>
      </c>
      <c r="F806">
        <v>2023</v>
      </c>
      <c r="G806" t="str">
        <f>TRIM(RIGHT(Table156[[#This Row],[Item-Codigo]], LEN(Table156[[#This Row],[Item-Codigo]]) - FIND("|", CONCATENATE(B806), FIND("|", CONCATENATE(B806)) + 1)))</f>
        <v>TM</v>
      </c>
      <c r="H80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806" s="40">
        <v>701</v>
      </c>
      <c r="J80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46</v>
      </c>
      <c r="K806" t="s">
        <v>98</v>
      </c>
    </row>
    <row r="807" spans="1:11" x14ac:dyDescent="0.35">
      <c r="A807" t="s">
        <v>198</v>
      </c>
      <c r="B807" t="s">
        <v>232</v>
      </c>
      <c r="C807" t="s">
        <v>834</v>
      </c>
      <c r="D807">
        <v>46</v>
      </c>
      <c r="E807" t="s">
        <v>826</v>
      </c>
      <c r="F807">
        <v>2023</v>
      </c>
      <c r="G807" t="str">
        <f>TRIM(RIGHT(Table156[[#This Row],[Item-Codigo]], LEN(Table156[[#This Row],[Item-Codigo]]) - FIND("|", CONCATENATE(B807), FIND("|", CONCATENATE(B807)) + 1)))</f>
        <v>TM</v>
      </c>
      <c r="H80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807" s="40">
        <v>701</v>
      </c>
      <c r="J80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46</v>
      </c>
      <c r="K807" t="s">
        <v>98</v>
      </c>
    </row>
    <row r="808" spans="1:11" x14ac:dyDescent="0.35">
      <c r="A808" t="s">
        <v>198</v>
      </c>
      <c r="B808" t="s">
        <v>237</v>
      </c>
      <c r="C808" t="s">
        <v>238</v>
      </c>
      <c r="D808">
        <v>1220</v>
      </c>
      <c r="E808" t="s">
        <v>826</v>
      </c>
      <c r="F808">
        <v>2023</v>
      </c>
      <c r="G808" t="str">
        <f>TRIM(RIGHT(Table156[[#This Row],[Item-Codigo]], LEN(Table156[[#This Row],[Item-Codigo]]) - FIND("|", CONCATENATE(B808), FIND("|", CONCATENATE(B808)) + 1)))</f>
        <v>TM</v>
      </c>
      <c r="H80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808" s="40">
        <v>116</v>
      </c>
      <c r="J80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1220</v>
      </c>
      <c r="K808" t="s">
        <v>99</v>
      </c>
    </row>
    <row r="809" spans="1:11" x14ac:dyDescent="0.35">
      <c r="A809" t="s">
        <v>198</v>
      </c>
      <c r="B809" t="s">
        <v>237</v>
      </c>
      <c r="C809" t="s">
        <v>239</v>
      </c>
      <c r="D809">
        <v>1300</v>
      </c>
      <c r="E809" t="s">
        <v>826</v>
      </c>
      <c r="F809">
        <v>2023</v>
      </c>
      <c r="G809" t="str">
        <f>TRIM(RIGHT(Table156[[#This Row],[Item-Codigo]], LEN(Table156[[#This Row],[Item-Codigo]]) - FIND("|", CONCATENATE(B809), FIND("|", CONCATENATE(B809)) + 1)))</f>
        <v>TM</v>
      </c>
      <c r="H80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809" s="40">
        <v>116</v>
      </c>
      <c r="J80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1300</v>
      </c>
      <c r="K809" t="s">
        <v>99</v>
      </c>
    </row>
    <row r="810" spans="1:11" x14ac:dyDescent="0.35">
      <c r="A810" t="s">
        <v>198</v>
      </c>
      <c r="B810" t="s">
        <v>838</v>
      </c>
      <c r="C810" t="s">
        <v>238</v>
      </c>
      <c r="D810">
        <v>885.00011904660005</v>
      </c>
      <c r="E810" t="s">
        <v>826</v>
      </c>
      <c r="F810">
        <v>2023</v>
      </c>
      <c r="G810" t="str">
        <f>TRIM(RIGHT(Table156[[#This Row],[Item-Codigo]], LEN(Table156[[#This Row],[Item-Codigo]]) - FIND("|", CONCATENATE(B810), FIND("|", CONCATENATE(B810)) + 1)))</f>
        <v>TM</v>
      </c>
      <c r="H81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111.5</v>
      </c>
      <c r="I810" s="40" t="s">
        <v>933</v>
      </c>
      <c r="J81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885.00011904660005</v>
      </c>
      <c r="K810" t="s">
        <v>184</v>
      </c>
    </row>
    <row r="811" spans="1:11" x14ac:dyDescent="0.35">
      <c r="A811" t="s">
        <v>198</v>
      </c>
      <c r="B811" t="s">
        <v>841</v>
      </c>
      <c r="C811" t="s">
        <v>837</v>
      </c>
      <c r="D811">
        <v>766.51445114114995</v>
      </c>
      <c r="E811" t="s">
        <v>826</v>
      </c>
      <c r="F811">
        <v>2023</v>
      </c>
      <c r="G811" t="str">
        <f>TRIM(RIGHT(Table156[[#This Row],[Item-Codigo]], LEN(Table156[[#This Row],[Item-Codigo]]) - FIND("|", CONCATENATE(B811), FIND("|", CONCATENATE(B811)) + 1)))</f>
        <v>TM</v>
      </c>
      <c r="H81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159</v>
      </c>
      <c r="I811" s="40">
        <v>159</v>
      </c>
      <c r="J81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766.51445114114995</v>
      </c>
      <c r="K811" t="s">
        <v>191</v>
      </c>
    </row>
    <row r="812" spans="1:11" x14ac:dyDescent="0.35">
      <c r="A812" t="s">
        <v>198</v>
      </c>
      <c r="B812" t="s">
        <v>841</v>
      </c>
      <c r="C812" t="s">
        <v>241</v>
      </c>
      <c r="D812">
        <v>765.11783736339999</v>
      </c>
      <c r="E812" t="s">
        <v>826</v>
      </c>
      <c r="F812">
        <v>2023</v>
      </c>
      <c r="G812" t="str">
        <f>TRIM(RIGHT(Table156[[#This Row],[Item-Codigo]], LEN(Table156[[#This Row],[Item-Codigo]]) - FIND("|", CONCATENATE(B812), FIND("|", CONCATENATE(B812)) + 1)))</f>
        <v>TM</v>
      </c>
      <c r="H81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159</v>
      </c>
      <c r="I812" s="40">
        <v>159</v>
      </c>
      <c r="J81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765.11783736339999</v>
      </c>
      <c r="K812" t="s">
        <v>191</v>
      </c>
    </row>
    <row r="813" spans="1:11" x14ac:dyDescent="0.35">
      <c r="A813" t="s">
        <v>198</v>
      </c>
      <c r="B813" t="s">
        <v>841</v>
      </c>
      <c r="C813" t="s">
        <v>842</v>
      </c>
      <c r="D813">
        <v>760.02282239966701</v>
      </c>
      <c r="E813" t="s">
        <v>826</v>
      </c>
      <c r="F813">
        <v>2023</v>
      </c>
      <c r="G813" t="str">
        <f>TRIM(RIGHT(Table156[[#This Row],[Item-Codigo]], LEN(Table156[[#This Row],[Item-Codigo]]) - FIND("|", CONCATENATE(B813), FIND("|", CONCATENATE(B813)) + 1)))</f>
        <v>TM</v>
      </c>
      <c r="H81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159</v>
      </c>
      <c r="I813" s="40">
        <v>159</v>
      </c>
      <c r="J81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760.02282239966701</v>
      </c>
      <c r="K813" t="s">
        <v>191</v>
      </c>
    </row>
    <row r="814" spans="1:11" x14ac:dyDescent="0.35">
      <c r="A814" t="s">
        <v>198</v>
      </c>
      <c r="B814" t="s">
        <v>199</v>
      </c>
      <c r="C814" t="s">
        <v>200</v>
      </c>
      <c r="D814">
        <v>17.5000518465</v>
      </c>
      <c r="E814" t="s">
        <v>826</v>
      </c>
      <c r="F814">
        <v>2023</v>
      </c>
      <c r="G814" t="str">
        <f>TRIM(RIGHT(Table156[[#This Row],[Item-Codigo]], LEN(Table156[[#This Row],[Item-Codigo]]) - FIND("|", CONCATENATE(B814), FIND("|", CONCATENATE(B814)) + 1)))</f>
        <v>QQ</v>
      </c>
      <c r="H81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814" s="40">
        <v>1</v>
      </c>
      <c r="J814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385.00114062299997</v>
      </c>
      <c r="K814" t="s">
        <v>182</v>
      </c>
    </row>
    <row r="815" spans="1:11" x14ac:dyDescent="0.35">
      <c r="A815" t="s">
        <v>198</v>
      </c>
      <c r="B815" t="s">
        <v>199</v>
      </c>
      <c r="C815" t="s">
        <v>845</v>
      </c>
      <c r="D815">
        <v>17.300029618700002</v>
      </c>
      <c r="E815" t="s">
        <v>826</v>
      </c>
      <c r="F815">
        <v>2023</v>
      </c>
      <c r="G815" t="str">
        <f>TRIM(RIGHT(Table156[[#This Row],[Item-Codigo]], LEN(Table156[[#This Row],[Item-Codigo]]) - FIND("|", CONCATENATE(B815), FIND("|", CONCATENATE(B815)) + 1)))</f>
        <v>QQ</v>
      </c>
      <c r="H81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815" s="40">
        <v>1</v>
      </c>
      <c r="J815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380.60065161140005</v>
      </c>
      <c r="K815" t="s">
        <v>182</v>
      </c>
    </row>
    <row r="816" spans="1:11" x14ac:dyDescent="0.35">
      <c r="A816" t="s">
        <v>198</v>
      </c>
      <c r="B816" t="s">
        <v>199</v>
      </c>
      <c r="C816" t="s">
        <v>846</v>
      </c>
      <c r="D816">
        <v>17.29997633332</v>
      </c>
      <c r="E816" t="s">
        <v>826</v>
      </c>
      <c r="F816">
        <v>2023</v>
      </c>
      <c r="G816" t="str">
        <f>TRIM(RIGHT(Table156[[#This Row],[Item-Codigo]], LEN(Table156[[#This Row],[Item-Codigo]]) - FIND("|", CONCATENATE(B816), FIND("|", CONCATENATE(B816)) + 1)))</f>
        <v>QQ</v>
      </c>
      <c r="H81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816" s="40">
        <v>1</v>
      </c>
      <c r="J816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380.59947933303999</v>
      </c>
      <c r="K816" t="s">
        <v>182</v>
      </c>
    </row>
    <row r="817" spans="1:11" x14ac:dyDescent="0.35">
      <c r="A817" t="s">
        <v>198</v>
      </c>
      <c r="B817" t="s">
        <v>199</v>
      </c>
      <c r="C817" t="s">
        <v>201</v>
      </c>
      <c r="D817">
        <v>17.4999801988778</v>
      </c>
      <c r="E817" t="s">
        <v>826</v>
      </c>
      <c r="F817">
        <v>2023</v>
      </c>
      <c r="G817" t="str">
        <f>TRIM(RIGHT(Table156[[#This Row],[Item-Codigo]], LEN(Table156[[#This Row],[Item-Codigo]]) - FIND("|", CONCATENATE(B817), FIND("|", CONCATENATE(B817)) + 1)))</f>
        <v>QQ</v>
      </c>
      <c r="H81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817" s="40">
        <v>1</v>
      </c>
      <c r="J817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384.99956437531159</v>
      </c>
      <c r="K817" t="s">
        <v>182</v>
      </c>
    </row>
    <row r="818" spans="1:11" x14ac:dyDescent="0.35">
      <c r="A818" t="s">
        <v>198</v>
      </c>
      <c r="B818" t="s">
        <v>199</v>
      </c>
      <c r="C818" t="s">
        <v>847</v>
      </c>
      <c r="D818">
        <v>17.300042327533301</v>
      </c>
      <c r="E818" t="s">
        <v>826</v>
      </c>
      <c r="F818">
        <v>2023</v>
      </c>
      <c r="G818" t="str">
        <f>TRIM(RIGHT(Table156[[#This Row],[Item-Codigo]], LEN(Table156[[#This Row],[Item-Codigo]]) - FIND("|", CONCATENATE(B818), FIND("|", CONCATENATE(B818)) + 1)))</f>
        <v>QQ</v>
      </c>
      <c r="H81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818" s="40">
        <v>1</v>
      </c>
      <c r="J818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380.60093120573265</v>
      </c>
      <c r="K818" t="s">
        <v>182</v>
      </c>
    </row>
    <row r="819" spans="1:11" x14ac:dyDescent="0.35">
      <c r="A819" t="s">
        <v>198</v>
      </c>
      <c r="B819" t="s">
        <v>199</v>
      </c>
      <c r="C819" t="s">
        <v>848</v>
      </c>
      <c r="D819">
        <v>18.0000131782182</v>
      </c>
      <c r="E819" t="s">
        <v>826</v>
      </c>
      <c r="F819">
        <v>2023</v>
      </c>
      <c r="G819" t="str">
        <f>TRIM(RIGHT(Table156[[#This Row],[Item-Codigo]], LEN(Table156[[#This Row],[Item-Codigo]]) - FIND("|", CONCATENATE(B819), FIND("|", CONCATENATE(B819)) + 1)))</f>
        <v>QQ</v>
      </c>
      <c r="H81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819" s="40">
        <v>1</v>
      </c>
      <c r="J819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396.00028992080041</v>
      </c>
      <c r="K819" t="s">
        <v>182</v>
      </c>
    </row>
    <row r="820" spans="1:11" x14ac:dyDescent="0.35">
      <c r="A820" t="s">
        <v>198</v>
      </c>
      <c r="B820" t="s">
        <v>199</v>
      </c>
      <c r="C820" t="s">
        <v>849</v>
      </c>
      <c r="D820">
        <v>17.49999549735</v>
      </c>
      <c r="E820" t="s">
        <v>826</v>
      </c>
      <c r="F820">
        <v>2023</v>
      </c>
      <c r="G820" t="str">
        <f>TRIM(RIGHT(Table156[[#This Row],[Item-Codigo]], LEN(Table156[[#This Row],[Item-Codigo]]) - FIND("|", CONCATENATE(B820), FIND("|", CONCATENATE(B820)) + 1)))</f>
        <v>QQ</v>
      </c>
      <c r="H82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820" s="40">
        <v>1</v>
      </c>
      <c r="J820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384.99990094169999</v>
      </c>
      <c r="K820" t="s">
        <v>182</v>
      </c>
    </row>
    <row r="821" spans="1:11" x14ac:dyDescent="0.35">
      <c r="A821" t="s">
        <v>198</v>
      </c>
      <c r="B821" t="s">
        <v>245</v>
      </c>
      <c r="C821" t="s">
        <v>246</v>
      </c>
      <c r="D821">
        <v>350</v>
      </c>
      <c r="E821" t="s">
        <v>826</v>
      </c>
      <c r="F821">
        <v>2023</v>
      </c>
      <c r="G821" t="str">
        <f>TRIM(RIGHT(Table156[[#This Row],[Item-Codigo]], LEN(Table156[[#This Row],[Item-Codigo]]) - FIND("|", CONCATENATE(B821), FIND("|", CONCATENATE(B821)) + 1)))</f>
        <v>TM</v>
      </c>
      <c r="H82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14</v>
      </c>
      <c r="I821" s="40">
        <v>14</v>
      </c>
      <c r="J82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350</v>
      </c>
      <c r="K821" t="s">
        <v>187</v>
      </c>
    </row>
    <row r="822" spans="1:11" x14ac:dyDescent="0.35">
      <c r="A822" t="s">
        <v>198</v>
      </c>
      <c r="B822" t="s">
        <v>854</v>
      </c>
      <c r="C822" t="s">
        <v>855</v>
      </c>
      <c r="D822">
        <v>385.970436307</v>
      </c>
      <c r="E822" t="s">
        <v>826</v>
      </c>
      <c r="F822">
        <v>2023</v>
      </c>
      <c r="G822" t="str">
        <f>TRIM(RIGHT(Table156[[#This Row],[Item-Codigo]], LEN(Table156[[#This Row],[Item-Codigo]]) - FIND("|", CONCATENATE(B822), FIND("|", CONCATENATE(B822)) + 1)))</f>
        <v>TM</v>
      </c>
      <c r="H82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214</v>
      </c>
      <c r="I822" s="40">
        <v>214</v>
      </c>
      <c r="J82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385.970436307</v>
      </c>
      <c r="K822" t="s">
        <v>186</v>
      </c>
    </row>
    <row r="823" spans="1:11" x14ac:dyDescent="0.35">
      <c r="A823" t="s">
        <v>198</v>
      </c>
      <c r="B823" t="s">
        <v>207</v>
      </c>
      <c r="C823" t="s">
        <v>857</v>
      </c>
      <c r="D823">
        <v>18.780083056639999</v>
      </c>
      <c r="E823" t="s">
        <v>826</v>
      </c>
      <c r="F823">
        <v>2023</v>
      </c>
      <c r="G823" t="str">
        <f>TRIM(RIGHT(Table156[[#This Row],[Item-Codigo]], LEN(Table156[[#This Row],[Item-Codigo]]) - FIND("|", CONCATENATE(B823), FIND("|", CONCATENATE(B823)) + 1)))</f>
        <v>QQ</v>
      </c>
      <c r="H82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823" s="40">
        <v>410</v>
      </c>
      <c r="J823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413.16182724607995</v>
      </c>
      <c r="K823" t="s">
        <v>183</v>
      </c>
    </row>
    <row r="824" spans="1:11" x14ac:dyDescent="0.35">
      <c r="A824" t="s">
        <v>198</v>
      </c>
      <c r="B824" t="s">
        <v>207</v>
      </c>
      <c r="C824" t="s">
        <v>858</v>
      </c>
      <c r="D824">
        <v>18.4669056972667</v>
      </c>
      <c r="E824" t="s">
        <v>826</v>
      </c>
      <c r="F824">
        <v>2023</v>
      </c>
      <c r="G824" t="str">
        <f>TRIM(RIGHT(Table156[[#This Row],[Item-Codigo]], LEN(Table156[[#This Row],[Item-Codigo]]) - FIND("|", CONCATENATE(B824), FIND("|", CONCATENATE(B824)) + 1)))</f>
        <v>QQ</v>
      </c>
      <c r="H82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824" s="40">
        <v>410</v>
      </c>
      <c r="J824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406.27192533986738</v>
      </c>
      <c r="K824" t="s">
        <v>183</v>
      </c>
    </row>
    <row r="825" spans="1:11" x14ac:dyDescent="0.35">
      <c r="A825" t="s">
        <v>198</v>
      </c>
      <c r="B825" t="s">
        <v>207</v>
      </c>
      <c r="C825" t="s">
        <v>201</v>
      </c>
      <c r="D825">
        <v>18.079992163899998</v>
      </c>
      <c r="E825" t="s">
        <v>826</v>
      </c>
      <c r="F825">
        <v>2023</v>
      </c>
      <c r="G825" t="str">
        <f>TRIM(RIGHT(Table156[[#This Row],[Item-Codigo]], LEN(Table156[[#This Row],[Item-Codigo]]) - FIND("|", CONCATENATE(B825), FIND("|", CONCATENATE(B825)) + 1)))</f>
        <v>QQ</v>
      </c>
      <c r="H82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825" s="40">
        <v>410</v>
      </c>
      <c r="J825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397.75982760579996</v>
      </c>
      <c r="K825" t="s">
        <v>183</v>
      </c>
    </row>
    <row r="826" spans="1:11" x14ac:dyDescent="0.35">
      <c r="A826" t="s">
        <v>198</v>
      </c>
      <c r="B826" t="s">
        <v>207</v>
      </c>
      <c r="C826" t="s">
        <v>208</v>
      </c>
      <c r="D826">
        <v>18.760080912199999</v>
      </c>
      <c r="E826" t="s">
        <v>826</v>
      </c>
      <c r="F826">
        <v>2023</v>
      </c>
      <c r="G826" t="str">
        <f>TRIM(RIGHT(Table156[[#This Row],[Item-Codigo]], LEN(Table156[[#This Row],[Item-Codigo]]) - FIND("|", CONCATENATE(B826), FIND("|", CONCATENATE(B826)) + 1)))</f>
        <v>QQ</v>
      </c>
      <c r="H82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826" s="40">
        <v>410</v>
      </c>
      <c r="J826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412.72178006839999</v>
      </c>
      <c r="K826" t="s">
        <v>183</v>
      </c>
    </row>
    <row r="827" spans="1:11" x14ac:dyDescent="0.35">
      <c r="A827" t="s">
        <v>198</v>
      </c>
      <c r="B827" t="s">
        <v>207</v>
      </c>
      <c r="C827" t="s">
        <v>860</v>
      </c>
      <c r="D827">
        <v>18.8950786442667</v>
      </c>
      <c r="E827" t="s">
        <v>826</v>
      </c>
      <c r="F827">
        <v>2023</v>
      </c>
      <c r="G827" t="str">
        <f>TRIM(RIGHT(Table156[[#This Row],[Item-Codigo]], LEN(Table156[[#This Row],[Item-Codigo]]) - FIND("|", CONCATENATE(B827), FIND("|", CONCATENATE(B827)) + 1)))</f>
        <v>QQ</v>
      </c>
      <c r="H82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827" s="40">
        <v>410</v>
      </c>
      <c r="J827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415.69173017386743</v>
      </c>
      <c r="K827" t="s">
        <v>183</v>
      </c>
    </row>
    <row r="828" spans="1:11" x14ac:dyDescent="0.35">
      <c r="A828" t="s">
        <v>198</v>
      </c>
      <c r="B828" t="s">
        <v>207</v>
      </c>
      <c r="C828" t="s">
        <v>861</v>
      </c>
      <c r="D828">
        <v>18.514190110785702</v>
      </c>
      <c r="E828" t="s">
        <v>826</v>
      </c>
      <c r="F828">
        <v>2023</v>
      </c>
      <c r="G828" t="str">
        <f>TRIM(RIGHT(Table156[[#This Row],[Item-Codigo]], LEN(Table156[[#This Row],[Item-Codigo]]) - FIND("|", CONCATENATE(B828), FIND("|", CONCATENATE(B828)) + 1)))</f>
        <v>QQ</v>
      </c>
      <c r="H82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828" s="40">
        <v>410</v>
      </c>
      <c r="J828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407.31218243728546</v>
      </c>
      <c r="K828" t="s">
        <v>183</v>
      </c>
    </row>
    <row r="829" spans="1:11" x14ac:dyDescent="0.35">
      <c r="A829" t="s">
        <v>198</v>
      </c>
      <c r="B829" t="s">
        <v>207</v>
      </c>
      <c r="C829" t="s">
        <v>833</v>
      </c>
      <c r="D829">
        <v>18.270034058</v>
      </c>
      <c r="E829" t="s">
        <v>826</v>
      </c>
      <c r="F829">
        <v>2023</v>
      </c>
      <c r="G829" t="str">
        <f>TRIM(RIGHT(Table156[[#This Row],[Item-Codigo]], LEN(Table156[[#This Row],[Item-Codigo]]) - FIND("|", CONCATENATE(B829), FIND("|", CONCATENATE(B829)) + 1)))</f>
        <v>QQ</v>
      </c>
      <c r="H82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829" s="40">
        <v>410</v>
      </c>
      <c r="J829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401.94074927600002</v>
      </c>
      <c r="K829" t="s">
        <v>183</v>
      </c>
    </row>
    <row r="830" spans="1:11" x14ac:dyDescent="0.35">
      <c r="A830" t="s">
        <v>198</v>
      </c>
      <c r="B830" t="s">
        <v>207</v>
      </c>
      <c r="C830" t="s">
        <v>209</v>
      </c>
      <c r="D830">
        <v>18.503961732126701</v>
      </c>
      <c r="E830" t="s">
        <v>826</v>
      </c>
      <c r="F830">
        <v>2023</v>
      </c>
      <c r="G830" t="str">
        <f>TRIM(RIGHT(Table156[[#This Row],[Item-Codigo]], LEN(Table156[[#This Row],[Item-Codigo]]) - FIND("|", CONCATENATE(B830), FIND("|", CONCATENATE(B830)) + 1)))</f>
        <v>QQ</v>
      </c>
      <c r="H83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830" s="40">
        <v>410</v>
      </c>
      <c r="J830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407.0871581067874</v>
      </c>
      <c r="K830" t="s">
        <v>183</v>
      </c>
    </row>
    <row r="831" spans="1:11" x14ac:dyDescent="0.35">
      <c r="A831" t="s">
        <v>198</v>
      </c>
      <c r="B831" t="s">
        <v>207</v>
      </c>
      <c r="C831" t="s">
        <v>863</v>
      </c>
      <c r="D831">
        <v>18.160155967400001</v>
      </c>
      <c r="E831" t="s">
        <v>826</v>
      </c>
      <c r="F831">
        <v>2023</v>
      </c>
      <c r="G831" t="str">
        <f>TRIM(RIGHT(Table156[[#This Row],[Item-Codigo]], LEN(Table156[[#This Row],[Item-Codigo]]) - FIND("|", CONCATENATE(B831), FIND("|", CONCATENATE(B831)) + 1)))</f>
        <v>QQ</v>
      </c>
      <c r="H83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831" s="40">
        <v>410</v>
      </c>
      <c r="J831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399.52343128280006</v>
      </c>
      <c r="K831" t="s">
        <v>183</v>
      </c>
    </row>
    <row r="832" spans="1:11" x14ac:dyDescent="0.35">
      <c r="A832" t="s">
        <v>198</v>
      </c>
      <c r="B832" t="s">
        <v>207</v>
      </c>
      <c r="C832" t="s">
        <v>864</v>
      </c>
      <c r="D832">
        <v>18.5599630422</v>
      </c>
      <c r="E832" t="s">
        <v>826</v>
      </c>
      <c r="F832">
        <v>2023</v>
      </c>
      <c r="G832" t="str">
        <f>TRIM(RIGHT(Table156[[#This Row],[Item-Codigo]], LEN(Table156[[#This Row],[Item-Codigo]]) - FIND("|", CONCATENATE(B832), FIND("|", CONCATENATE(B832)) + 1)))</f>
        <v>QQ</v>
      </c>
      <c r="H83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832" s="40">
        <v>410</v>
      </c>
      <c r="J832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408.31918692839997</v>
      </c>
      <c r="K832" t="s">
        <v>183</v>
      </c>
    </row>
    <row r="833" spans="1:11" x14ac:dyDescent="0.35">
      <c r="A833" t="s">
        <v>198</v>
      </c>
      <c r="B833" t="s">
        <v>207</v>
      </c>
      <c r="C833" t="s">
        <v>211</v>
      </c>
      <c r="D833">
        <v>18.665829654928601</v>
      </c>
      <c r="E833" t="s">
        <v>826</v>
      </c>
      <c r="F833">
        <v>2023</v>
      </c>
      <c r="G833" t="str">
        <f>TRIM(RIGHT(Table156[[#This Row],[Item-Codigo]], LEN(Table156[[#This Row],[Item-Codigo]]) - FIND("|", CONCATENATE(B833), FIND("|", CONCATENATE(B833)) + 1)))</f>
        <v>QQ</v>
      </c>
      <c r="H83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833" s="40">
        <v>410</v>
      </c>
      <c r="J833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410.64825240842924</v>
      </c>
      <c r="K833" t="s">
        <v>183</v>
      </c>
    </row>
    <row r="834" spans="1:11" x14ac:dyDescent="0.35">
      <c r="A834" t="s">
        <v>198</v>
      </c>
      <c r="B834" t="s">
        <v>207</v>
      </c>
      <c r="C834" t="s">
        <v>865</v>
      </c>
      <c r="D834">
        <v>18.169929269575</v>
      </c>
      <c r="E834" t="s">
        <v>826</v>
      </c>
      <c r="F834">
        <v>2023</v>
      </c>
      <c r="G834" t="str">
        <f>TRIM(RIGHT(Table156[[#This Row],[Item-Codigo]], LEN(Table156[[#This Row],[Item-Codigo]]) - FIND("|", CONCATENATE(B834), FIND("|", CONCATENATE(B834)) + 1)))</f>
        <v>QQ</v>
      </c>
      <c r="H83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834" s="40">
        <v>410</v>
      </c>
      <c r="J834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399.73844393065002</v>
      </c>
      <c r="K834" t="s">
        <v>183</v>
      </c>
    </row>
    <row r="835" spans="1:11" x14ac:dyDescent="0.35">
      <c r="A835" t="s">
        <v>198</v>
      </c>
      <c r="B835" t="s">
        <v>207</v>
      </c>
      <c r="C835" t="s">
        <v>866</v>
      </c>
      <c r="D835">
        <v>18.59998697532</v>
      </c>
      <c r="E835" t="s">
        <v>826</v>
      </c>
      <c r="F835">
        <v>2023</v>
      </c>
      <c r="G835" t="str">
        <f>TRIM(RIGHT(Table156[[#This Row],[Item-Codigo]], LEN(Table156[[#This Row],[Item-Codigo]]) - FIND("|", CONCATENATE(B835), FIND("|", CONCATENATE(B835)) + 1)))</f>
        <v>QQ</v>
      </c>
      <c r="H83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835" s="40">
        <v>410</v>
      </c>
      <c r="J835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409.19971345703999</v>
      </c>
      <c r="K835" t="s">
        <v>183</v>
      </c>
    </row>
    <row r="836" spans="1:11" x14ac:dyDescent="0.35">
      <c r="A836" t="s">
        <v>198</v>
      </c>
      <c r="B836" t="s">
        <v>207</v>
      </c>
      <c r="C836" t="s">
        <v>212</v>
      </c>
      <c r="D836">
        <v>18.589981580220002</v>
      </c>
      <c r="E836" t="s">
        <v>826</v>
      </c>
      <c r="F836">
        <v>2023</v>
      </c>
      <c r="G836" t="str">
        <f>TRIM(RIGHT(Table156[[#This Row],[Item-Codigo]], LEN(Table156[[#This Row],[Item-Codigo]]) - FIND("|", CONCATENATE(B836), FIND("|", CONCATENATE(B836)) + 1)))</f>
        <v>QQ</v>
      </c>
      <c r="H83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836" s="40">
        <v>410</v>
      </c>
      <c r="J836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408.97959476484004</v>
      </c>
      <c r="K836" t="s">
        <v>183</v>
      </c>
    </row>
    <row r="837" spans="1:11" x14ac:dyDescent="0.35">
      <c r="A837" t="s">
        <v>198</v>
      </c>
      <c r="B837" t="s">
        <v>207</v>
      </c>
      <c r="C837" t="s">
        <v>867</v>
      </c>
      <c r="D837">
        <v>18.66996340004</v>
      </c>
      <c r="E837" t="s">
        <v>826</v>
      </c>
      <c r="F837">
        <v>2023</v>
      </c>
      <c r="G837" t="str">
        <f>TRIM(RIGHT(Table156[[#This Row],[Item-Codigo]], LEN(Table156[[#This Row],[Item-Codigo]]) - FIND("|", CONCATENATE(B837), FIND("|", CONCATENATE(B837)) + 1)))</f>
        <v>QQ</v>
      </c>
      <c r="H83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837" s="40">
        <v>410</v>
      </c>
      <c r="J837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410.73919480088</v>
      </c>
      <c r="K837" t="s">
        <v>183</v>
      </c>
    </row>
    <row r="838" spans="1:11" x14ac:dyDescent="0.35">
      <c r="A838" t="s">
        <v>198</v>
      </c>
      <c r="B838" t="s">
        <v>207</v>
      </c>
      <c r="C838" t="s">
        <v>868</v>
      </c>
      <c r="D838">
        <v>18.5186481369714</v>
      </c>
      <c r="E838" t="s">
        <v>826</v>
      </c>
      <c r="F838">
        <v>2023</v>
      </c>
      <c r="G838" t="str">
        <f>TRIM(RIGHT(Table156[[#This Row],[Item-Codigo]], LEN(Table156[[#This Row],[Item-Codigo]]) - FIND("|", CONCATENATE(B838), FIND("|", CONCATENATE(B838)) + 1)))</f>
        <v>QQ</v>
      </c>
      <c r="H83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838" s="40">
        <v>410</v>
      </c>
      <c r="J838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407.41025901337082</v>
      </c>
      <c r="K838" t="s">
        <v>183</v>
      </c>
    </row>
    <row r="839" spans="1:11" x14ac:dyDescent="0.35">
      <c r="A839" t="s">
        <v>256</v>
      </c>
      <c r="B839" t="s">
        <v>261</v>
      </c>
      <c r="C839" t="s">
        <v>262</v>
      </c>
      <c r="D839">
        <v>0.1497001077</v>
      </c>
      <c r="E839" t="s">
        <v>826</v>
      </c>
      <c r="F839">
        <v>2023</v>
      </c>
      <c r="G839" t="str">
        <f>TRIM(RIGHT(Table156[[#This Row],[Item-Codigo]], LEN(Table156[[#This Row],[Item-Codigo]]) - FIND("|", CONCATENATE(B839), FIND("|", CONCATENATE(B839)) + 1)))</f>
        <v>UND</v>
      </c>
      <c r="H83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839" s="40" t="s">
        <v>500</v>
      </c>
      <c r="J83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0.1497001077</v>
      </c>
      <c r="K839" t="s">
        <v>43</v>
      </c>
    </row>
    <row r="840" spans="1:11" x14ac:dyDescent="0.35">
      <c r="A840" t="s">
        <v>256</v>
      </c>
      <c r="B840" t="s">
        <v>261</v>
      </c>
      <c r="C840" t="s">
        <v>263</v>
      </c>
      <c r="D840">
        <v>0.16739996125000001</v>
      </c>
      <c r="E840" t="s">
        <v>826</v>
      </c>
      <c r="F840">
        <v>2023</v>
      </c>
      <c r="G840" t="str">
        <f>TRIM(RIGHT(Table156[[#This Row],[Item-Codigo]], LEN(Table156[[#This Row],[Item-Codigo]]) - FIND("|", CONCATENATE(B840), FIND("|", CONCATENATE(B840)) + 1)))</f>
        <v>UND</v>
      </c>
      <c r="H84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840" s="40" t="s">
        <v>500</v>
      </c>
      <c r="J84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0.16739996125000001</v>
      </c>
      <c r="K840" t="s">
        <v>43</v>
      </c>
    </row>
    <row r="841" spans="1:11" x14ac:dyDescent="0.35">
      <c r="A841" t="s">
        <v>256</v>
      </c>
      <c r="B841" t="s">
        <v>264</v>
      </c>
      <c r="C841" t="s">
        <v>262</v>
      </c>
      <c r="D841">
        <v>0.14970026380000001</v>
      </c>
      <c r="E841" t="s">
        <v>826</v>
      </c>
      <c r="F841">
        <v>2023</v>
      </c>
      <c r="G841" t="str">
        <f>TRIM(RIGHT(Table156[[#This Row],[Item-Codigo]], LEN(Table156[[#This Row],[Item-Codigo]]) - FIND("|", CONCATENATE(B841), FIND("|", CONCATENATE(B841)) + 1)))</f>
        <v>UND</v>
      </c>
      <c r="H84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1024-ME</v>
      </c>
      <c r="I841" s="40" t="s">
        <v>501</v>
      </c>
      <c r="J84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0.14970026380000001</v>
      </c>
      <c r="K841" t="s">
        <v>44</v>
      </c>
    </row>
    <row r="842" spans="1:11" x14ac:dyDescent="0.35">
      <c r="A842" t="s">
        <v>256</v>
      </c>
      <c r="B842" t="s">
        <v>265</v>
      </c>
      <c r="C842" t="s">
        <v>262</v>
      </c>
      <c r="D842">
        <v>0.14970025995</v>
      </c>
      <c r="E842" t="s">
        <v>826</v>
      </c>
      <c r="F842">
        <v>2023</v>
      </c>
      <c r="G842" t="str">
        <f>TRIM(RIGHT(Table156[[#This Row],[Item-Codigo]], LEN(Table156[[#This Row],[Item-Codigo]]) - FIND("|", CONCATENATE(B842), FIND("|", CONCATENATE(B842)) + 1)))</f>
        <v>UND</v>
      </c>
      <c r="H84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1025-ME</v>
      </c>
      <c r="I842" s="40" t="s">
        <v>502</v>
      </c>
      <c r="J84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0.14970025995</v>
      </c>
      <c r="K842" t="s">
        <v>45</v>
      </c>
    </row>
    <row r="843" spans="1:11" x14ac:dyDescent="0.35">
      <c r="A843" t="s">
        <v>256</v>
      </c>
      <c r="B843" t="s">
        <v>265</v>
      </c>
      <c r="C843" t="s">
        <v>263</v>
      </c>
      <c r="D843">
        <v>0.16739985869999999</v>
      </c>
      <c r="E843" t="s">
        <v>826</v>
      </c>
      <c r="F843">
        <v>2023</v>
      </c>
      <c r="G843" t="str">
        <f>TRIM(RIGHT(Table156[[#This Row],[Item-Codigo]], LEN(Table156[[#This Row],[Item-Codigo]]) - FIND("|", CONCATENATE(B843), FIND("|", CONCATENATE(B843)) + 1)))</f>
        <v>UND</v>
      </c>
      <c r="H84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1025-ME</v>
      </c>
      <c r="I843" s="40" t="s">
        <v>502</v>
      </c>
      <c r="J84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0.16739985869999999</v>
      </c>
      <c r="K843" t="s">
        <v>45</v>
      </c>
    </row>
    <row r="844" spans="1:11" x14ac:dyDescent="0.35">
      <c r="A844" t="s">
        <v>256</v>
      </c>
      <c r="B844" t="s">
        <v>266</v>
      </c>
      <c r="C844" t="s">
        <v>263</v>
      </c>
      <c r="D844">
        <v>0.17940024260000001</v>
      </c>
      <c r="E844" t="s">
        <v>826</v>
      </c>
      <c r="F844">
        <v>2023</v>
      </c>
      <c r="G844" t="str">
        <f>TRIM(RIGHT(Table156[[#This Row],[Item-Codigo]], LEN(Table156[[#This Row],[Item-Codigo]]) - FIND("|", CONCATENATE(B844), FIND("|", CONCATENATE(B844)) + 1)))</f>
        <v>UND</v>
      </c>
      <c r="H84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1026-ME</v>
      </c>
      <c r="I844" s="40" t="s">
        <v>503</v>
      </c>
      <c r="J84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0.17940024260000001</v>
      </c>
      <c r="K844" t="s">
        <v>46</v>
      </c>
    </row>
    <row r="845" spans="1:11" x14ac:dyDescent="0.35">
      <c r="A845" t="s">
        <v>256</v>
      </c>
      <c r="B845" t="s">
        <v>272</v>
      </c>
      <c r="C845" t="s">
        <v>263</v>
      </c>
      <c r="D845">
        <v>0.1673996073</v>
      </c>
      <c r="E845" t="s">
        <v>826</v>
      </c>
      <c r="F845">
        <v>2023</v>
      </c>
      <c r="G845" t="str">
        <f>TRIM(RIGHT(Table156[[#This Row],[Item-Codigo]], LEN(Table156[[#This Row],[Item-Codigo]]) - FIND("|", CONCATENATE(B845), FIND("|", CONCATENATE(B845)) + 1)))</f>
        <v>UND</v>
      </c>
      <c r="H84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1029-ME</v>
      </c>
      <c r="I845" s="40" t="s">
        <v>506</v>
      </c>
      <c r="J84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0.1673996073</v>
      </c>
      <c r="K845" t="s">
        <v>51</v>
      </c>
    </row>
    <row r="846" spans="1:11" x14ac:dyDescent="0.35">
      <c r="A846" t="s">
        <v>256</v>
      </c>
      <c r="B846" t="s">
        <v>273</v>
      </c>
      <c r="C846" t="s">
        <v>262</v>
      </c>
      <c r="D846">
        <v>0.14970028320000001</v>
      </c>
      <c r="E846" t="s">
        <v>826</v>
      </c>
      <c r="F846">
        <v>2023</v>
      </c>
      <c r="G846" t="str">
        <f>TRIM(RIGHT(Table156[[#This Row],[Item-Codigo]], LEN(Table156[[#This Row],[Item-Codigo]]) - FIND("|", CONCATENATE(B846), FIND("|", CONCATENATE(B846)) + 1)))</f>
        <v>UND</v>
      </c>
      <c r="H84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1030-ME</v>
      </c>
      <c r="I846" s="40" t="s">
        <v>507</v>
      </c>
      <c r="J84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0.14970028320000001</v>
      </c>
      <c r="K846" t="s">
        <v>52</v>
      </c>
    </row>
    <row r="847" spans="1:11" x14ac:dyDescent="0.35">
      <c r="A847" t="s">
        <v>256</v>
      </c>
      <c r="B847" t="s">
        <v>273</v>
      </c>
      <c r="C847" t="s">
        <v>263</v>
      </c>
      <c r="D847">
        <v>0.16739999999999999</v>
      </c>
      <c r="E847" t="s">
        <v>826</v>
      </c>
      <c r="F847">
        <v>2023</v>
      </c>
      <c r="G847" t="str">
        <f>TRIM(RIGHT(Table156[[#This Row],[Item-Codigo]], LEN(Table156[[#This Row],[Item-Codigo]]) - FIND("|", CONCATENATE(B847), FIND("|", CONCATENATE(B847)) + 1)))</f>
        <v>UND</v>
      </c>
      <c r="H84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1030-ME</v>
      </c>
      <c r="I847" s="40" t="s">
        <v>507</v>
      </c>
      <c r="J84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0.16739999999999999</v>
      </c>
      <c r="K847" t="s">
        <v>52</v>
      </c>
    </row>
    <row r="848" spans="1:11" x14ac:dyDescent="0.35">
      <c r="A848" t="s">
        <v>256</v>
      </c>
      <c r="B848" t="s">
        <v>283</v>
      </c>
      <c r="C848" t="s">
        <v>262</v>
      </c>
      <c r="D848">
        <v>0.2188005496</v>
      </c>
      <c r="E848" t="s">
        <v>826</v>
      </c>
      <c r="F848">
        <v>2023</v>
      </c>
      <c r="G848" t="str">
        <f>TRIM(RIGHT(Table156[[#This Row],[Item-Codigo]], LEN(Table156[[#This Row],[Item-Codigo]]) - FIND("|", CONCATENATE(B848), FIND("|", CONCATENATE(B848)) + 1)))</f>
        <v>UND</v>
      </c>
      <c r="H84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0754-ME</v>
      </c>
      <c r="I848" s="40" t="s">
        <v>482</v>
      </c>
      <c r="J84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0.2188005496</v>
      </c>
      <c r="K848" t="s">
        <v>112</v>
      </c>
    </row>
    <row r="849" spans="1:11" x14ac:dyDescent="0.35">
      <c r="A849" t="s">
        <v>256</v>
      </c>
      <c r="B849" t="s">
        <v>283</v>
      </c>
      <c r="C849" t="s">
        <v>267</v>
      </c>
      <c r="D849">
        <v>0.2468002473</v>
      </c>
      <c r="E849" t="s">
        <v>826</v>
      </c>
      <c r="F849">
        <v>2023</v>
      </c>
      <c r="G849" t="str">
        <f>TRIM(RIGHT(Table156[[#This Row],[Item-Codigo]], LEN(Table156[[#This Row],[Item-Codigo]]) - FIND("|", CONCATENATE(B849), FIND("|", CONCATENATE(B849)) + 1)))</f>
        <v>UND</v>
      </c>
      <c r="H84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0754-ME</v>
      </c>
      <c r="I849" s="40" t="s">
        <v>482</v>
      </c>
      <c r="J84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0.2468002473</v>
      </c>
      <c r="K849" t="s">
        <v>112</v>
      </c>
    </row>
    <row r="850" spans="1:11" x14ac:dyDescent="0.35">
      <c r="A850" t="s">
        <v>256</v>
      </c>
      <c r="B850" t="s">
        <v>284</v>
      </c>
      <c r="C850" t="s">
        <v>286</v>
      </c>
      <c r="D850">
        <v>11.89</v>
      </c>
      <c r="E850" t="s">
        <v>826</v>
      </c>
      <c r="F850">
        <v>2023</v>
      </c>
      <c r="G850" t="str">
        <f>TRIM(RIGHT(Table156[[#This Row],[Item-Codigo]], LEN(Table156[[#This Row],[Item-Codigo]]) - FIND("|", CONCATENATE(B850), FIND("|", CONCATENATE(B850)) + 1)))</f>
        <v>UND</v>
      </c>
      <c r="H85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PIOLA (UNID)</v>
      </c>
      <c r="I850" s="40" t="s">
        <v>558</v>
      </c>
      <c r="J85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11.89</v>
      </c>
      <c r="K850" t="s">
        <v>127</v>
      </c>
    </row>
    <row r="851" spans="1:11" x14ac:dyDescent="0.35">
      <c r="A851" t="s">
        <v>256</v>
      </c>
      <c r="B851" t="s">
        <v>288</v>
      </c>
      <c r="C851" t="s">
        <v>262</v>
      </c>
      <c r="D851">
        <v>0.21880113100000001</v>
      </c>
      <c r="E851" t="s">
        <v>826</v>
      </c>
      <c r="F851">
        <v>2023</v>
      </c>
      <c r="G851" t="str">
        <f>TRIM(RIGHT(Table156[[#This Row],[Item-Codigo]], LEN(Table156[[#This Row],[Item-Codigo]]) - FIND("|", CONCATENATE(B851), FIND("|", CONCATENATE(B851)) + 1)))</f>
        <v>UND</v>
      </c>
      <c r="H85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0993-ME</v>
      </c>
      <c r="I851" s="40" t="s">
        <v>490</v>
      </c>
      <c r="J85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0.21880113100000001</v>
      </c>
      <c r="K851" t="s">
        <v>106</v>
      </c>
    </row>
    <row r="852" spans="1:11" x14ac:dyDescent="0.35">
      <c r="A852" t="s">
        <v>256</v>
      </c>
      <c r="B852" t="s">
        <v>290</v>
      </c>
      <c r="C852" t="s">
        <v>262</v>
      </c>
      <c r="D852">
        <v>0.22970091740000001</v>
      </c>
      <c r="E852" t="s">
        <v>826</v>
      </c>
      <c r="F852">
        <v>2023</v>
      </c>
      <c r="G852" t="str">
        <f>TRIM(RIGHT(Table156[[#This Row],[Item-Codigo]], LEN(Table156[[#This Row],[Item-Codigo]]) - FIND("|", CONCATENATE(B852), FIND("|", CONCATENATE(B852)) + 1)))</f>
        <v>UND</v>
      </c>
      <c r="H85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0995-ME</v>
      </c>
      <c r="I852" s="40" t="s">
        <v>492</v>
      </c>
      <c r="J85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0.22970091740000001</v>
      </c>
      <c r="K852" t="s">
        <v>108</v>
      </c>
    </row>
    <row r="853" spans="1:11" x14ac:dyDescent="0.35">
      <c r="A853" t="s">
        <v>256</v>
      </c>
      <c r="B853" t="s">
        <v>291</v>
      </c>
      <c r="C853" t="s">
        <v>267</v>
      </c>
      <c r="D853">
        <v>0.2271</v>
      </c>
      <c r="E853" t="s">
        <v>826</v>
      </c>
      <c r="F853">
        <v>2023</v>
      </c>
      <c r="G853" t="str">
        <f>TRIM(RIGHT(Table156[[#This Row],[Item-Codigo]], LEN(Table156[[#This Row],[Item-Codigo]]) - FIND("|", CONCATENATE(B853), FIND("|", CONCATENATE(B853)) + 1)))</f>
        <v>UND</v>
      </c>
      <c r="H85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0988-ME</v>
      </c>
      <c r="I853" s="40" t="s">
        <v>489</v>
      </c>
      <c r="J85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0.2271</v>
      </c>
      <c r="K853" t="s">
        <v>119</v>
      </c>
    </row>
    <row r="854" spans="1:11" x14ac:dyDescent="0.35">
      <c r="A854" t="s">
        <v>256</v>
      </c>
      <c r="B854" t="s">
        <v>292</v>
      </c>
      <c r="C854" t="s">
        <v>267</v>
      </c>
      <c r="D854">
        <v>0.23630010069999999</v>
      </c>
      <c r="E854" t="s">
        <v>826</v>
      </c>
      <c r="F854">
        <v>2023</v>
      </c>
      <c r="G854" t="str">
        <f>TRIM(RIGHT(Table156[[#This Row],[Item-Codigo]], LEN(Table156[[#This Row],[Item-Codigo]]) - FIND("|", CONCATENATE(B854), FIND("|", CONCATENATE(B854)) + 1)))</f>
        <v>UND</v>
      </c>
      <c r="H85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0987-ME</v>
      </c>
      <c r="I854" s="40" t="s">
        <v>488</v>
      </c>
      <c r="J85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0.23630010069999999</v>
      </c>
      <c r="K854" t="s">
        <v>117</v>
      </c>
    </row>
    <row r="855" spans="1:11" x14ac:dyDescent="0.35">
      <c r="A855" t="s">
        <v>256</v>
      </c>
      <c r="B855" t="s">
        <v>293</v>
      </c>
      <c r="C855" t="s">
        <v>263</v>
      </c>
      <c r="D855">
        <v>0.21</v>
      </c>
      <c r="E855" t="s">
        <v>826</v>
      </c>
      <c r="F855">
        <v>2023</v>
      </c>
      <c r="G855" t="str">
        <f>TRIM(RIGHT(Table156[[#This Row],[Item-Codigo]], LEN(Table156[[#This Row],[Item-Codigo]]) - FIND("|", CONCATENATE(B855), FIND("|", CONCATENATE(B855)) + 1)))</f>
        <v>UND</v>
      </c>
      <c r="H85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0201-ME</v>
      </c>
      <c r="I855" s="40" t="s">
        <v>478</v>
      </c>
      <c r="J85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</v>
      </c>
      <c r="K855" t="s">
        <v>105</v>
      </c>
    </row>
    <row r="856" spans="1:11" x14ac:dyDescent="0.35">
      <c r="A856" t="s">
        <v>256</v>
      </c>
      <c r="B856" t="s">
        <v>891</v>
      </c>
      <c r="C856" t="s">
        <v>267</v>
      </c>
      <c r="D856">
        <v>0.20200043200000001</v>
      </c>
      <c r="E856" t="s">
        <v>826</v>
      </c>
      <c r="F856">
        <v>2023</v>
      </c>
      <c r="G856" t="str">
        <f>TRIM(RIGHT(Table156[[#This Row],[Item-Codigo]], LEN(Table156[[#This Row],[Item-Codigo]]) - FIND("|", CONCATENATE(B856), FIND("|", CONCATENATE(B856)) + 1)))</f>
        <v>UND</v>
      </c>
      <c r="H85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0202-ME</v>
      </c>
      <c r="I856" s="40" t="s">
        <v>479</v>
      </c>
      <c r="J85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0.20200043200000001</v>
      </c>
      <c r="K856" t="s">
        <v>128</v>
      </c>
    </row>
    <row r="857" spans="1:11" x14ac:dyDescent="0.35">
      <c r="A857" t="s">
        <v>256</v>
      </c>
      <c r="B857" t="s">
        <v>296</v>
      </c>
      <c r="C857" t="s">
        <v>262</v>
      </c>
      <c r="D857">
        <v>0.2209998041</v>
      </c>
      <c r="E857" t="s">
        <v>826</v>
      </c>
      <c r="F857">
        <v>2023</v>
      </c>
      <c r="G857" t="str">
        <f>TRIM(RIGHT(Table156[[#This Row],[Item-Codigo]], LEN(Table156[[#This Row],[Item-Codigo]]) - FIND("|", CONCATENATE(B857), FIND("|", CONCATENATE(B857)) + 1)))</f>
        <v>UND</v>
      </c>
      <c r="H85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1018-ME</v>
      </c>
      <c r="I857" s="40" t="s">
        <v>496</v>
      </c>
      <c r="J85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0.2209998041</v>
      </c>
      <c r="K857" t="s">
        <v>109</v>
      </c>
    </row>
    <row r="858" spans="1:11" x14ac:dyDescent="0.35">
      <c r="A858" t="s">
        <v>256</v>
      </c>
      <c r="B858" t="s">
        <v>296</v>
      </c>
      <c r="C858" t="s">
        <v>263</v>
      </c>
      <c r="D858">
        <v>0.23519973869999999</v>
      </c>
      <c r="E858" t="s">
        <v>826</v>
      </c>
      <c r="F858">
        <v>2023</v>
      </c>
      <c r="G858" t="str">
        <f>TRIM(RIGHT(Table156[[#This Row],[Item-Codigo]], LEN(Table156[[#This Row],[Item-Codigo]]) - FIND("|", CONCATENATE(B858), FIND("|", CONCATENATE(B858)) + 1)))</f>
        <v>UND</v>
      </c>
      <c r="H85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1018-ME</v>
      </c>
      <c r="I858" s="40" t="s">
        <v>496</v>
      </c>
      <c r="J85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0.23519973869999999</v>
      </c>
      <c r="K858" t="s">
        <v>109</v>
      </c>
    </row>
    <row r="859" spans="1:11" x14ac:dyDescent="0.35">
      <c r="A859" t="s">
        <v>256</v>
      </c>
      <c r="B859" t="s">
        <v>297</v>
      </c>
      <c r="C859" t="s">
        <v>263</v>
      </c>
      <c r="D859">
        <v>0.23519999999999999</v>
      </c>
      <c r="E859" t="s">
        <v>826</v>
      </c>
      <c r="F859">
        <v>2023</v>
      </c>
      <c r="G859" t="str">
        <f>TRIM(RIGHT(Table156[[#This Row],[Item-Codigo]], LEN(Table156[[#This Row],[Item-Codigo]]) - FIND("|", CONCATENATE(B859), FIND("|", CONCATENATE(B859)) + 1)))</f>
        <v>UND</v>
      </c>
      <c r="H85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0982-ME</v>
      </c>
      <c r="I859" s="40" t="s">
        <v>483</v>
      </c>
      <c r="J85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0.23519999999999999</v>
      </c>
      <c r="K859" t="s">
        <v>114</v>
      </c>
    </row>
    <row r="860" spans="1:11" x14ac:dyDescent="0.35">
      <c r="A860" t="s">
        <v>256</v>
      </c>
      <c r="B860" t="s">
        <v>297</v>
      </c>
      <c r="C860" t="s">
        <v>267</v>
      </c>
      <c r="D860">
        <v>0.21509944310000001</v>
      </c>
      <c r="E860" t="s">
        <v>826</v>
      </c>
      <c r="F860">
        <v>2023</v>
      </c>
      <c r="G860" t="str">
        <f>TRIM(RIGHT(Table156[[#This Row],[Item-Codigo]], LEN(Table156[[#This Row],[Item-Codigo]]) - FIND("|", CONCATENATE(B860), FIND("|", CONCATENATE(B860)) + 1)))</f>
        <v>UND</v>
      </c>
      <c r="H86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0982-ME</v>
      </c>
      <c r="I860" s="40" t="s">
        <v>483</v>
      </c>
      <c r="J86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0.21509944310000001</v>
      </c>
      <c r="K860" t="s">
        <v>114</v>
      </c>
    </row>
    <row r="861" spans="1:11" x14ac:dyDescent="0.35">
      <c r="A861" t="s">
        <v>256</v>
      </c>
      <c r="B861" t="s">
        <v>298</v>
      </c>
      <c r="C861" t="s">
        <v>262</v>
      </c>
      <c r="D861">
        <v>0.221</v>
      </c>
      <c r="E861" t="s">
        <v>826</v>
      </c>
      <c r="F861">
        <v>2023</v>
      </c>
      <c r="G861" t="str">
        <f>TRIM(RIGHT(Table156[[#This Row],[Item-Codigo]], LEN(Table156[[#This Row],[Item-Codigo]]) - FIND("|", CONCATENATE(B861), FIND("|", CONCATENATE(B861)) + 1)))</f>
        <v>UND</v>
      </c>
      <c r="H86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1019-ME</v>
      </c>
      <c r="I861" s="40" t="s">
        <v>497</v>
      </c>
      <c r="J86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0.221</v>
      </c>
      <c r="K861" t="s">
        <v>111</v>
      </c>
    </row>
    <row r="862" spans="1:11" x14ac:dyDescent="0.35">
      <c r="A862" t="s">
        <v>256</v>
      </c>
      <c r="B862" t="s">
        <v>300</v>
      </c>
      <c r="C862" t="s">
        <v>267</v>
      </c>
      <c r="D862">
        <v>0.24679956180000001</v>
      </c>
      <c r="E862" t="s">
        <v>826</v>
      </c>
      <c r="F862">
        <v>2023</v>
      </c>
      <c r="G862" t="str">
        <f>TRIM(RIGHT(Table156[[#This Row],[Item-Codigo]], LEN(Table156[[#This Row],[Item-Codigo]]) - FIND("|", CONCATENATE(B862), FIND("|", CONCATENATE(B862)) + 1)))</f>
        <v>UND</v>
      </c>
      <c r="H86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0751-ME</v>
      </c>
      <c r="I862" s="40" t="s">
        <v>480</v>
      </c>
      <c r="J86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0.24679956180000001</v>
      </c>
      <c r="K862" t="s">
        <v>110</v>
      </c>
    </row>
    <row r="863" spans="1:11" x14ac:dyDescent="0.35">
      <c r="A863" t="s">
        <v>256</v>
      </c>
      <c r="B863" t="s">
        <v>301</v>
      </c>
      <c r="C863" t="s">
        <v>262</v>
      </c>
      <c r="D863">
        <v>0.22969996049999999</v>
      </c>
      <c r="E863" t="s">
        <v>826</v>
      </c>
      <c r="F863">
        <v>2023</v>
      </c>
      <c r="G863" t="str">
        <f>TRIM(RIGHT(Table156[[#This Row],[Item-Codigo]], LEN(Table156[[#This Row],[Item-Codigo]]) - FIND("|", CONCATENATE(B863), FIND("|", CONCATENATE(B863)) + 1)))</f>
        <v>UND</v>
      </c>
      <c r="H86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0171-ME</v>
      </c>
      <c r="I863" s="40" t="s">
        <v>476</v>
      </c>
      <c r="J86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0.22969996049999999</v>
      </c>
      <c r="K863" t="s">
        <v>107</v>
      </c>
    </row>
    <row r="864" spans="1:11" x14ac:dyDescent="0.35">
      <c r="A864" t="s">
        <v>305</v>
      </c>
      <c r="B864" t="s">
        <v>308</v>
      </c>
      <c r="C864" t="s">
        <v>319</v>
      </c>
      <c r="D864">
        <v>9.1999999999999993</v>
      </c>
      <c r="E864" t="s">
        <v>826</v>
      </c>
      <c r="F864">
        <v>2023</v>
      </c>
      <c r="G864" t="str">
        <f>TRIM(RIGHT(Table156[[#This Row],[Item-Codigo]], LEN(Table156[[#This Row],[Item-Codigo]]) - FIND("|", CONCATENATE(B864), FIND("|", CONCATENATE(B864)) + 1)))</f>
        <v>KG</v>
      </c>
      <c r="H86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1039</v>
      </c>
      <c r="I864" s="40">
        <v>1039</v>
      </c>
      <c r="J86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9200</v>
      </c>
      <c r="K864" t="s">
        <v>67</v>
      </c>
    </row>
    <row r="865" spans="1:11" x14ac:dyDescent="0.35">
      <c r="A865" t="s">
        <v>305</v>
      </c>
      <c r="B865" t="s">
        <v>312</v>
      </c>
      <c r="C865" t="s">
        <v>313</v>
      </c>
      <c r="D865">
        <v>8.35</v>
      </c>
      <c r="E865" t="s">
        <v>826</v>
      </c>
      <c r="F865">
        <v>2023</v>
      </c>
      <c r="G865" t="str">
        <f>TRIM(RIGHT(Table156[[#This Row],[Item-Codigo]], LEN(Table156[[#This Row],[Item-Codigo]]) - FIND("|", CONCATENATE(B865), FIND("|", CONCATENATE(B865)) + 1)))</f>
        <v>KG</v>
      </c>
      <c r="H86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317</v>
      </c>
      <c r="I865" s="40">
        <v>317</v>
      </c>
      <c r="J86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8350</v>
      </c>
      <c r="K865" t="s">
        <v>69</v>
      </c>
    </row>
    <row r="866" spans="1:11" x14ac:dyDescent="0.35">
      <c r="A866" t="s">
        <v>305</v>
      </c>
      <c r="B866" t="s">
        <v>900</v>
      </c>
      <c r="C866" t="s">
        <v>323</v>
      </c>
      <c r="D866">
        <v>2.62</v>
      </c>
      <c r="E866" t="s">
        <v>826</v>
      </c>
      <c r="F866">
        <v>2023</v>
      </c>
      <c r="G866" t="str">
        <f>TRIM(RIGHT(Table156[[#This Row],[Item-Codigo]], LEN(Table156[[#This Row],[Item-Codigo]]) - FIND("|", CONCATENATE(B866), FIND("|", CONCATENATE(B866)) + 1)))</f>
        <v>KG</v>
      </c>
      <c r="H86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1010.6</v>
      </c>
      <c r="I866" s="40" t="s">
        <v>937</v>
      </c>
      <c r="J86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2620</v>
      </c>
      <c r="K866" t="s">
        <v>1226</v>
      </c>
    </row>
    <row r="867" spans="1:11" x14ac:dyDescent="0.35">
      <c r="A867" t="s">
        <v>305</v>
      </c>
      <c r="B867" t="s">
        <v>320</v>
      </c>
      <c r="C867" t="s">
        <v>321</v>
      </c>
      <c r="D867">
        <v>8.75</v>
      </c>
      <c r="E867" t="s">
        <v>826</v>
      </c>
      <c r="F867">
        <v>2023</v>
      </c>
      <c r="G867" t="str">
        <f>TRIM(RIGHT(Table156[[#This Row],[Item-Codigo]], LEN(Table156[[#This Row],[Item-Codigo]]) - FIND("|", CONCATENATE(B867), FIND("|", CONCATENATE(B867)) + 1)))</f>
        <v>KG</v>
      </c>
      <c r="H86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1009</v>
      </c>
      <c r="I867" s="40">
        <v>1009</v>
      </c>
      <c r="J86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8750</v>
      </c>
      <c r="K867" t="s">
        <v>73</v>
      </c>
    </row>
    <row r="868" spans="1:11" x14ac:dyDescent="0.35">
      <c r="A868" t="s">
        <v>305</v>
      </c>
      <c r="B868" t="s">
        <v>325</v>
      </c>
      <c r="C868" t="s">
        <v>319</v>
      </c>
      <c r="D868">
        <v>5.6</v>
      </c>
      <c r="E868" t="s">
        <v>826</v>
      </c>
      <c r="F868">
        <v>2023</v>
      </c>
      <c r="G868" t="str">
        <f>TRIM(RIGHT(Table156[[#This Row],[Item-Codigo]], LEN(Table156[[#This Row],[Item-Codigo]]) - FIND("|", CONCATENATE(B868), FIND("|", CONCATENATE(B868)) + 1)))</f>
        <v>KG</v>
      </c>
      <c r="H86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1045</v>
      </c>
      <c r="I868" s="40">
        <v>1045</v>
      </c>
      <c r="J86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868" t="s">
        <v>76</v>
      </c>
    </row>
    <row r="869" spans="1:11" x14ac:dyDescent="0.35">
      <c r="A869" t="s">
        <v>305</v>
      </c>
      <c r="B869" t="s">
        <v>326</v>
      </c>
      <c r="C869" t="s">
        <v>327</v>
      </c>
      <c r="D869">
        <v>5.85</v>
      </c>
      <c r="E869" t="s">
        <v>826</v>
      </c>
      <c r="F869">
        <v>2023</v>
      </c>
      <c r="G869" t="str">
        <f>TRIM(RIGHT(Table156[[#This Row],[Item-Codigo]], LEN(Table156[[#This Row],[Item-Codigo]]) - FIND("|", CONCATENATE(B869), FIND("|", CONCATENATE(B869)) + 1)))</f>
        <v>KG</v>
      </c>
      <c r="H86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470.5</v>
      </c>
      <c r="I869" s="40" t="s">
        <v>536</v>
      </c>
      <c r="J86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5850</v>
      </c>
      <c r="K869" t="s">
        <v>77</v>
      </c>
    </row>
    <row r="870" spans="1:11" x14ac:dyDescent="0.35">
      <c r="A870" t="s">
        <v>305</v>
      </c>
      <c r="B870" t="s">
        <v>335</v>
      </c>
      <c r="C870" t="s">
        <v>309</v>
      </c>
      <c r="D870">
        <v>1.6</v>
      </c>
      <c r="E870" t="s">
        <v>826</v>
      </c>
      <c r="F870">
        <v>2023</v>
      </c>
      <c r="G870" t="str">
        <f>TRIM(RIGHT(Table156[[#This Row],[Item-Codigo]], LEN(Table156[[#This Row],[Item-Codigo]]) - FIND("|", CONCATENATE(B870), FIND("|", CONCATENATE(B870)) + 1)))</f>
        <v>KG</v>
      </c>
      <c r="H87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131.3</v>
      </c>
      <c r="I870" s="40" t="s">
        <v>523</v>
      </c>
      <c r="J87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1600</v>
      </c>
      <c r="K870" t="s">
        <v>83</v>
      </c>
    </row>
    <row r="871" spans="1:11" x14ac:dyDescent="0.35">
      <c r="A871" t="s">
        <v>305</v>
      </c>
      <c r="B871" t="s">
        <v>336</v>
      </c>
      <c r="C871" t="s">
        <v>327</v>
      </c>
      <c r="D871">
        <v>5</v>
      </c>
      <c r="E871" t="s">
        <v>826</v>
      </c>
      <c r="F871">
        <v>2023</v>
      </c>
      <c r="G871" t="str">
        <f>TRIM(RIGHT(Table156[[#This Row],[Item-Codigo]], LEN(Table156[[#This Row],[Item-Codigo]]) - FIND("|", CONCATENATE(B871), FIND("|", CONCATENATE(B871)) + 1)))</f>
        <v>KG</v>
      </c>
      <c r="H87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340.1</v>
      </c>
      <c r="I871" s="40" t="s">
        <v>529</v>
      </c>
      <c r="J87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5000</v>
      </c>
      <c r="K871" t="s">
        <v>84</v>
      </c>
    </row>
    <row r="872" spans="1:11" x14ac:dyDescent="0.35">
      <c r="A872" t="s">
        <v>305</v>
      </c>
      <c r="B872" t="s">
        <v>337</v>
      </c>
      <c r="C872" t="s">
        <v>307</v>
      </c>
      <c r="D872">
        <v>13.5</v>
      </c>
      <c r="E872" t="s">
        <v>826</v>
      </c>
      <c r="F872">
        <v>2023</v>
      </c>
      <c r="G872" t="str">
        <f>TRIM(RIGHT(Table156[[#This Row],[Item-Codigo]], LEN(Table156[[#This Row],[Item-Codigo]]) - FIND("|", CONCATENATE(B872), FIND("|", CONCATENATE(B872)) + 1)))</f>
        <v>KG</v>
      </c>
      <c r="H87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936</v>
      </c>
      <c r="I872" s="40">
        <v>936</v>
      </c>
      <c r="J87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13500</v>
      </c>
      <c r="K872" t="s">
        <v>85</v>
      </c>
    </row>
    <row r="873" spans="1:11" x14ac:dyDescent="0.35">
      <c r="A873" t="s">
        <v>305</v>
      </c>
      <c r="B873" t="s">
        <v>339</v>
      </c>
      <c r="C873" t="s">
        <v>327</v>
      </c>
      <c r="D873">
        <v>95</v>
      </c>
      <c r="E873" t="s">
        <v>826</v>
      </c>
      <c r="F873">
        <v>2023</v>
      </c>
      <c r="G873" t="str">
        <f>TRIM(RIGHT(Table156[[#This Row],[Item-Codigo]], LEN(Table156[[#This Row],[Item-Codigo]]) - FIND("|", CONCATENATE(B873), FIND("|", CONCATENATE(B873)) + 1)))</f>
        <v>KG</v>
      </c>
      <c r="H87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520.5</v>
      </c>
      <c r="I873" s="40" t="s">
        <v>546</v>
      </c>
      <c r="J87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95000</v>
      </c>
      <c r="K873" t="s">
        <v>87</v>
      </c>
    </row>
    <row r="874" spans="1:11" x14ac:dyDescent="0.35">
      <c r="A874" t="s">
        <v>305</v>
      </c>
      <c r="B874" t="s">
        <v>340</v>
      </c>
      <c r="C874" t="s">
        <v>327</v>
      </c>
      <c r="D874">
        <v>11.25</v>
      </c>
      <c r="E874" t="s">
        <v>826</v>
      </c>
      <c r="F874">
        <v>2023</v>
      </c>
      <c r="G874" t="str">
        <f>TRIM(RIGHT(Table156[[#This Row],[Item-Codigo]], LEN(Table156[[#This Row],[Item-Codigo]]) - FIND("|", CONCATENATE(B874), FIND("|", CONCATENATE(B874)) + 1)))</f>
        <v>KG</v>
      </c>
      <c r="H87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877</v>
      </c>
      <c r="I874" s="40">
        <v>877</v>
      </c>
      <c r="J87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11250</v>
      </c>
      <c r="K874" t="s">
        <v>1074</v>
      </c>
    </row>
    <row r="875" spans="1:11" x14ac:dyDescent="0.35">
      <c r="A875" t="s">
        <v>305</v>
      </c>
      <c r="B875" t="s">
        <v>343</v>
      </c>
      <c r="C875" t="s">
        <v>905</v>
      </c>
      <c r="D875">
        <v>550</v>
      </c>
      <c r="E875" t="s">
        <v>826</v>
      </c>
      <c r="F875">
        <v>2023</v>
      </c>
      <c r="G875" t="str">
        <f>TRIM(RIGHT(Table156[[#This Row],[Item-Codigo]], LEN(Table156[[#This Row],[Item-Codigo]]) - FIND("|", CONCATENATE(B875), FIND("|", CONCATENATE(B875)) + 1)))</f>
        <v>TM</v>
      </c>
      <c r="H87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719</v>
      </c>
      <c r="I875" s="40">
        <v>719</v>
      </c>
      <c r="J87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550</v>
      </c>
      <c r="K875" t="s">
        <v>1077</v>
      </c>
    </row>
    <row r="876" spans="1:11" x14ac:dyDescent="0.35">
      <c r="A876" t="s">
        <v>305</v>
      </c>
      <c r="B876" t="s">
        <v>343</v>
      </c>
      <c r="C876" t="s">
        <v>385</v>
      </c>
      <c r="D876">
        <v>580</v>
      </c>
      <c r="E876" t="s">
        <v>826</v>
      </c>
      <c r="F876">
        <v>2023</v>
      </c>
      <c r="G876" t="str">
        <f>TRIM(RIGHT(Table156[[#This Row],[Item-Codigo]], LEN(Table156[[#This Row],[Item-Codigo]]) - FIND("|", CONCATENATE(B876), FIND("|", CONCATENATE(B876)) + 1)))</f>
        <v>TM</v>
      </c>
      <c r="H87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719</v>
      </c>
      <c r="I876" s="40">
        <v>719</v>
      </c>
      <c r="J87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580</v>
      </c>
      <c r="K876" t="s">
        <v>1077</v>
      </c>
    </row>
    <row r="877" spans="1:11" x14ac:dyDescent="0.35">
      <c r="A877" t="s">
        <v>305</v>
      </c>
      <c r="B877" t="s">
        <v>344</v>
      </c>
      <c r="C877" t="s">
        <v>345</v>
      </c>
      <c r="D877">
        <v>95</v>
      </c>
      <c r="E877" t="s">
        <v>826</v>
      </c>
      <c r="F877">
        <v>2023</v>
      </c>
      <c r="G877" t="str">
        <f>TRIM(RIGHT(Table156[[#This Row],[Item-Codigo]], LEN(Table156[[#This Row],[Item-Codigo]]) - FIND("|", CONCATENATE(B877), FIND("|", CONCATENATE(B877)) + 1)))</f>
        <v>KG</v>
      </c>
      <c r="H87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912.5</v>
      </c>
      <c r="I877" s="40" t="s">
        <v>555</v>
      </c>
      <c r="J87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95000</v>
      </c>
      <c r="K877" t="s">
        <v>90</v>
      </c>
    </row>
    <row r="878" spans="1:11" x14ac:dyDescent="0.35">
      <c r="A878" t="s">
        <v>305</v>
      </c>
      <c r="B878" t="s">
        <v>346</v>
      </c>
      <c r="C878" t="s">
        <v>327</v>
      </c>
      <c r="D878">
        <v>9</v>
      </c>
      <c r="E878" t="s">
        <v>826</v>
      </c>
      <c r="F878">
        <v>2023</v>
      </c>
      <c r="G878" t="str">
        <f>TRIM(RIGHT(Table156[[#This Row],[Item-Codigo]], LEN(Table156[[#This Row],[Item-Codigo]]) - FIND("|", CONCATENATE(B878), FIND("|", CONCATENATE(B878)) + 1)))</f>
        <v>KG</v>
      </c>
      <c r="H87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492.12</v>
      </c>
      <c r="I878" s="40" t="s">
        <v>539</v>
      </c>
      <c r="J87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878" t="s">
        <v>91</v>
      </c>
    </row>
    <row r="879" spans="1:11" x14ac:dyDescent="0.35">
      <c r="A879" t="s">
        <v>305</v>
      </c>
      <c r="B879" t="s">
        <v>347</v>
      </c>
      <c r="C879" t="s">
        <v>348</v>
      </c>
      <c r="D879">
        <v>19</v>
      </c>
      <c r="E879" t="s">
        <v>826</v>
      </c>
      <c r="F879">
        <v>2023</v>
      </c>
      <c r="G879" t="str">
        <f>TRIM(RIGHT(Table156[[#This Row],[Item-Codigo]], LEN(Table156[[#This Row],[Item-Codigo]]) - FIND("|", CONCATENATE(B879), FIND("|", CONCATENATE(B879)) + 1)))</f>
        <v>KG</v>
      </c>
      <c r="H87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550</v>
      </c>
      <c r="I879" s="40">
        <v>550</v>
      </c>
      <c r="J87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19000</v>
      </c>
      <c r="K879" t="s">
        <v>92</v>
      </c>
    </row>
    <row r="880" spans="1:11" x14ac:dyDescent="0.35">
      <c r="A880" t="s">
        <v>305</v>
      </c>
      <c r="B880" t="s">
        <v>352</v>
      </c>
      <c r="C880" t="s">
        <v>353</v>
      </c>
      <c r="D880">
        <v>9.35</v>
      </c>
      <c r="E880" t="s">
        <v>826</v>
      </c>
      <c r="F880">
        <v>2023</v>
      </c>
      <c r="G880" t="str">
        <f>TRIM(RIGHT(Table156[[#This Row],[Item-Codigo]], LEN(Table156[[#This Row],[Item-Codigo]]) - FIND("|", CONCATENATE(B880), FIND("|", CONCATENATE(B880)) + 1)))</f>
        <v>KG</v>
      </c>
      <c r="H88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742</v>
      </c>
      <c r="I880" s="40">
        <v>742</v>
      </c>
      <c r="J88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9350</v>
      </c>
      <c r="K880" t="s">
        <v>147</v>
      </c>
    </row>
    <row r="881" spans="1:11" x14ac:dyDescent="0.35">
      <c r="A881" t="s">
        <v>305</v>
      </c>
      <c r="B881" t="s">
        <v>362</v>
      </c>
      <c r="C881" t="s">
        <v>363</v>
      </c>
      <c r="D881">
        <v>1.3148</v>
      </c>
      <c r="E881" t="s">
        <v>826</v>
      </c>
      <c r="F881">
        <v>2023</v>
      </c>
      <c r="G881" t="str">
        <f>TRIM(RIGHT(Table156[[#This Row],[Item-Codigo]], LEN(Table156[[#This Row],[Item-Codigo]]) - FIND("|", CONCATENATE(B881), FIND("|", CONCATENATE(B881)) + 1)))</f>
        <v>KG</v>
      </c>
      <c r="H88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439</v>
      </c>
      <c r="I881" s="40">
        <v>439</v>
      </c>
      <c r="J88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1314.8</v>
      </c>
      <c r="K881" t="s">
        <v>137</v>
      </c>
    </row>
    <row r="882" spans="1:11" x14ac:dyDescent="0.35">
      <c r="A882" t="s">
        <v>305</v>
      </c>
      <c r="B882" t="s">
        <v>367</v>
      </c>
      <c r="C882" t="s">
        <v>321</v>
      </c>
      <c r="D882">
        <v>2.15</v>
      </c>
      <c r="E882" t="s">
        <v>826</v>
      </c>
      <c r="F882">
        <v>2023</v>
      </c>
      <c r="G882" t="str">
        <f>TRIM(RIGHT(Table156[[#This Row],[Item-Codigo]], LEN(Table156[[#This Row],[Item-Codigo]]) - FIND("|", CONCATENATE(B882), FIND("|", CONCATENATE(B882)) + 1)))</f>
        <v>KG</v>
      </c>
      <c r="H88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910</v>
      </c>
      <c r="I882" s="40">
        <v>910</v>
      </c>
      <c r="J88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2150</v>
      </c>
      <c r="K882" t="s">
        <v>136</v>
      </c>
    </row>
    <row r="883" spans="1:11" x14ac:dyDescent="0.35">
      <c r="A883" t="s">
        <v>305</v>
      </c>
      <c r="B883" t="s">
        <v>368</v>
      </c>
      <c r="C883" t="s">
        <v>348</v>
      </c>
      <c r="D883">
        <v>4.5</v>
      </c>
      <c r="E883" t="s">
        <v>826</v>
      </c>
      <c r="F883">
        <v>2023</v>
      </c>
      <c r="G883" t="str">
        <f>TRIM(RIGHT(Table156[[#This Row],[Item-Codigo]], LEN(Table156[[#This Row],[Item-Codigo]]) - FIND("|", CONCATENATE(B883), FIND("|", CONCATENATE(B883)) + 1)))</f>
        <v>KG</v>
      </c>
      <c r="H88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381</v>
      </c>
      <c r="I883" s="40">
        <v>381</v>
      </c>
      <c r="J88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4500</v>
      </c>
      <c r="K883" t="s">
        <v>74</v>
      </c>
    </row>
    <row r="884" spans="1:11" x14ac:dyDescent="0.35">
      <c r="A884" t="s">
        <v>305</v>
      </c>
      <c r="B884" t="s">
        <v>372</v>
      </c>
      <c r="C884" t="s">
        <v>373</v>
      </c>
      <c r="D884">
        <v>1.2</v>
      </c>
      <c r="E884" t="s">
        <v>826</v>
      </c>
      <c r="F884">
        <v>2023</v>
      </c>
      <c r="G884" t="str">
        <f>TRIM(RIGHT(Table156[[#This Row],[Item-Codigo]], LEN(Table156[[#This Row],[Item-Codigo]]) - FIND("|", CONCATENATE(B884), FIND("|", CONCATENATE(B884)) + 1)))</f>
        <v>KG</v>
      </c>
      <c r="H88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701.2</v>
      </c>
      <c r="I884" s="40" t="s">
        <v>553</v>
      </c>
      <c r="J88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1200</v>
      </c>
      <c r="K884" t="s">
        <v>140</v>
      </c>
    </row>
    <row r="885" spans="1:11" x14ac:dyDescent="0.35">
      <c r="A885" t="s">
        <v>305</v>
      </c>
      <c r="B885" t="s">
        <v>375</v>
      </c>
      <c r="C885" t="s">
        <v>317</v>
      </c>
      <c r="D885">
        <v>6</v>
      </c>
      <c r="E885" t="s">
        <v>826</v>
      </c>
      <c r="F885">
        <v>2023</v>
      </c>
      <c r="G885" t="str">
        <f>TRIM(RIGHT(Table156[[#This Row],[Item-Codigo]], LEN(Table156[[#This Row],[Item-Codigo]]) - FIND("|", CONCATENATE(B885), FIND("|", CONCATENATE(B885)) + 1)))</f>
        <v>KG</v>
      </c>
      <c r="H88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945</v>
      </c>
      <c r="I885" s="40">
        <v>945</v>
      </c>
      <c r="J88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885" t="s">
        <v>148</v>
      </c>
    </row>
    <row r="886" spans="1:11" x14ac:dyDescent="0.35">
      <c r="A886" t="s">
        <v>305</v>
      </c>
      <c r="B886" t="s">
        <v>378</v>
      </c>
      <c r="C886" t="s">
        <v>377</v>
      </c>
      <c r="D886">
        <v>2.59</v>
      </c>
      <c r="E886" t="s">
        <v>826</v>
      </c>
      <c r="F886">
        <v>2023</v>
      </c>
      <c r="G886" t="str">
        <f>TRIM(RIGHT(Table156[[#This Row],[Item-Codigo]], LEN(Table156[[#This Row],[Item-Codigo]]) - FIND("|", CONCATENATE(B886), FIND("|", CONCATENATE(B886)) + 1)))</f>
        <v>KG</v>
      </c>
      <c r="H88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316</v>
      </c>
      <c r="I886" s="40">
        <v>316</v>
      </c>
      <c r="J88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2590</v>
      </c>
      <c r="K886" t="s">
        <v>165</v>
      </c>
    </row>
    <row r="887" spans="1:11" x14ac:dyDescent="0.35">
      <c r="A887" t="s">
        <v>305</v>
      </c>
      <c r="B887" t="s">
        <v>380</v>
      </c>
      <c r="C887" t="s">
        <v>381</v>
      </c>
      <c r="D887">
        <v>4.4000000000000004</v>
      </c>
      <c r="E887" t="s">
        <v>826</v>
      </c>
      <c r="F887">
        <v>2023</v>
      </c>
      <c r="G887" t="str">
        <f>TRIM(RIGHT(Table156[[#This Row],[Item-Codigo]], LEN(Table156[[#This Row],[Item-Codigo]]) - FIND("|", CONCATENATE(B887), FIND("|", CONCATENATE(B887)) + 1)))</f>
        <v>KG</v>
      </c>
      <c r="H88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706</v>
      </c>
      <c r="I887" s="40">
        <v>706</v>
      </c>
      <c r="J88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4400</v>
      </c>
      <c r="K887" t="s">
        <v>156</v>
      </c>
    </row>
    <row r="888" spans="1:11" x14ac:dyDescent="0.35">
      <c r="A888" t="s">
        <v>305</v>
      </c>
      <c r="B888" t="s">
        <v>382</v>
      </c>
      <c r="C888" t="s">
        <v>327</v>
      </c>
      <c r="D888">
        <v>9</v>
      </c>
      <c r="E888" t="s">
        <v>826</v>
      </c>
      <c r="F888">
        <v>2023</v>
      </c>
      <c r="G888" t="str">
        <f>TRIM(RIGHT(Table156[[#This Row],[Item-Codigo]], LEN(Table156[[#This Row],[Item-Codigo]]) - FIND("|", CONCATENATE(B888), FIND("|", CONCATENATE(B888)) + 1)))</f>
        <v>KG</v>
      </c>
      <c r="H88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68</v>
      </c>
      <c r="I888" s="40">
        <v>68</v>
      </c>
      <c r="J88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888" t="s">
        <v>160</v>
      </c>
    </row>
    <row r="889" spans="1:11" x14ac:dyDescent="0.35">
      <c r="A889" t="s">
        <v>305</v>
      </c>
      <c r="B889" t="s">
        <v>383</v>
      </c>
      <c r="C889" t="s">
        <v>317</v>
      </c>
      <c r="D889">
        <v>7.8</v>
      </c>
      <c r="E889" t="s">
        <v>826</v>
      </c>
      <c r="F889">
        <v>2023</v>
      </c>
      <c r="G889" t="str">
        <f>TRIM(RIGHT(Table156[[#This Row],[Item-Codigo]], LEN(Table156[[#This Row],[Item-Codigo]]) - FIND("|", CONCATENATE(B889), FIND("|", CONCATENATE(B889)) + 1)))</f>
        <v>KG</v>
      </c>
      <c r="H88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1059</v>
      </c>
      <c r="I889" s="40">
        <v>1059</v>
      </c>
      <c r="J88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7800</v>
      </c>
      <c r="K889" t="s">
        <v>151</v>
      </c>
    </row>
    <row r="890" spans="1:11" x14ac:dyDescent="0.35">
      <c r="A890" t="s">
        <v>305</v>
      </c>
      <c r="B890" t="s">
        <v>384</v>
      </c>
      <c r="C890" t="s">
        <v>385</v>
      </c>
      <c r="D890">
        <v>48</v>
      </c>
      <c r="E890" t="s">
        <v>826</v>
      </c>
      <c r="F890">
        <v>2023</v>
      </c>
      <c r="G890" t="str">
        <f>TRIM(RIGHT(Table156[[#This Row],[Item-Codigo]], LEN(Table156[[#This Row],[Item-Codigo]]) - FIND("|", CONCATENATE(B890), FIND("|", CONCATENATE(B890)) + 1)))</f>
        <v>KG</v>
      </c>
      <c r="H89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527.1</v>
      </c>
      <c r="I890" s="40" t="s">
        <v>547</v>
      </c>
      <c r="J89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48000</v>
      </c>
      <c r="K890" t="s">
        <v>1078</v>
      </c>
    </row>
    <row r="891" spans="1:11" x14ac:dyDescent="0.35">
      <c r="A891" t="s">
        <v>305</v>
      </c>
      <c r="B891" t="s">
        <v>386</v>
      </c>
      <c r="C891" t="s">
        <v>351</v>
      </c>
      <c r="D891">
        <v>5.85</v>
      </c>
      <c r="E891" t="s">
        <v>826</v>
      </c>
      <c r="F891">
        <v>2023</v>
      </c>
      <c r="G891" t="str">
        <f>TRIM(RIGHT(Table156[[#This Row],[Item-Codigo]], LEN(Table156[[#This Row],[Item-Codigo]]) - FIND("|", CONCATENATE(B891), FIND("|", CONCATENATE(B891)) + 1)))</f>
        <v>KG</v>
      </c>
      <c r="H89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110.2</v>
      </c>
      <c r="I891" s="40" t="s">
        <v>522</v>
      </c>
      <c r="J89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5850</v>
      </c>
      <c r="K891" t="s">
        <v>170</v>
      </c>
    </row>
    <row r="892" spans="1:11" x14ac:dyDescent="0.35">
      <c r="A892" t="s">
        <v>305</v>
      </c>
      <c r="B892" t="s">
        <v>388</v>
      </c>
      <c r="C892" t="s">
        <v>321</v>
      </c>
      <c r="D892">
        <v>7.4</v>
      </c>
      <c r="E892" t="s">
        <v>826</v>
      </c>
      <c r="F892">
        <v>2023</v>
      </c>
      <c r="G892" t="str">
        <f>TRIM(RIGHT(Table156[[#This Row],[Item-Codigo]], LEN(Table156[[#This Row],[Item-Codigo]]) - FIND("|", CONCATENATE(B892), FIND("|", CONCATENATE(B892)) + 1)))</f>
        <v>KG</v>
      </c>
      <c r="H89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1068</v>
      </c>
      <c r="I892" s="40">
        <v>1068</v>
      </c>
      <c r="J89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7400</v>
      </c>
      <c r="K892" t="s">
        <v>145</v>
      </c>
    </row>
    <row r="893" spans="1:11" x14ac:dyDescent="0.35">
      <c r="A893" t="s">
        <v>305</v>
      </c>
      <c r="B893" t="s">
        <v>389</v>
      </c>
      <c r="C893" t="s">
        <v>390</v>
      </c>
      <c r="D893">
        <v>1.05</v>
      </c>
      <c r="E893" t="s">
        <v>826</v>
      </c>
      <c r="F893">
        <v>2023</v>
      </c>
      <c r="G893" t="str">
        <f>TRIM(RIGHT(Table156[[#This Row],[Item-Codigo]], LEN(Table156[[#This Row],[Item-Codigo]]) - FIND("|", CONCATENATE(B893), FIND("|", CONCATENATE(B893)) + 1)))</f>
        <v>KG</v>
      </c>
      <c r="H89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806</v>
      </c>
      <c r="I893" s="40">
        <v>806</v>
      </c>
      <c r="J89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1050</v>
      </c>
      <c r="K893" t="s">
        <v>134</v>
      </c>
    </row>
    <row r="894" spans="1:11" x14ac:dyDescent="0.35">
      <c r="A894" t="s">
        <v>305</v>
      </c>
      <c r="B894" t="s">
        <v>392</v>
      </c>
      <c r="C894" t="s">
        <v>393</v>
      </c>
      <c r="D894">
        <v>2.8</v>
      </c>
      <c r="E894" t="s">
        <v>826</v>
      </c>
      <c r="F894">
        <v>2023</v>
      </c>
      <c r="G894" t="str">
        <f>TRIM(RIGHT(Table156[[#This Row],[Item-Codigo]], LEN(Table156[[#This Row],[Item-Codigo]]) - FIND("|", CONCATENATE(B894), FIND("|", CONCATENATE(B894)) + 1)))</f>
        <v>KG</v>
      </c>
      <c r="H89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170</v>
      </c>
      <c r="I894" s="40">
        <v>170</v>
      </c>
      <c r="J89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2800</v>
      </c>
      <c r="K894" t="s">
        <v>174</v>
      </c>
    </row>
    <row r="895" spans="1:11" x14ac:dyDescent="0.35">
      <c r="A895" t="s">
        <v>305</v>
      </c>
      <c r="B895" t="s">
        <v>394</v>
      </c>
      <c r="C895" t="s">
        <v>395</v>
      </c>
      <c r="D895">
        <v>19.75</v>
      </c>
      <c r="E895" t="s">
        <v>826</v>
      </c>
      <c r="F895">
        <v>2023</v>
      </c>
      <c r="G895" t="str">
        <f>TRIM(RIGHT(Table156[[#This Row],[Item-Codigo]], LEN(Table156[[#This Row],[Item-Codigo]]) - FIND("|", CONCATENATE(B895), FIND("|", CONCATENATE(B895)) + 1)))</f>
        <v>KG</v>
      </c>
      <c r="H89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</v>
      </c>
      <c r="I895" s="40">
        <v>70</v>
      </c>
      <c r="J89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19750</v>
      </c>
      <c r="K895" t="s">
        <v>159</v>
      </c>
    </row>
    <row r="896" spans="1:11" x14ac:dyDescent="0.35">
      <c r="A896" t="s">
        <v>305</v>
      </c>
      <c r="B896" t="s">
        <v>919</v>
      </c>
      <c r="C896" t="s">
        <v>399</v>
      </c>
      <c r="D896">
        <v>3.9411764704999999</v>
      </c>
      <c r="E896" t="s">
        <v>826</v>
      </c>
      <c r="F896">
        <v>2023</v>
      </c>
      <c r="G896" t="str">
        <f>TRIM(RIGHT(Table156[[#This Row],[Item-Codigo]], LEN(Table156[[#This Row],[Item-Codigo]]) - FIND("|", CONCATENATE(B896), FIND("|", CONCATENATE(B896)) + 1)))</f>
        <v>S 25KG</v>
      </c>
      <c r="H89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704</v>
      </c>
      <c r="I896" s="40">
        <v>704</v>
      </c>
      <c r="J89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3941.1764705000001</v>
      </c>
      <c r="K896" t="s">
        <v>132</v>
      </c>
    </row>
    <row r="897" spans="1:11" x14ac:dyDescent="0.35">
      <c r="A897" t="s">
        <v>305</v>
      </c>
      <c r="B897" t="s">
        <v>921</v>
      </c>
      <c r="C897" t="s">
        <v>348</v>
      </c>
      <c r="D897">
        <v>4</v>
      </c>
      <c r="E897" t="s">
        <v>826</v>
      </c>
      <c r="F897">
        <v>2023</v>
      </c>
      <c r="G897" t="str">
        <f>TRIM(RIGHT(Table156[[#This Row],[Item-Codigo]], LEN(Table156[[#This Row],[Item-Codigo]]) - FIND("|", CONCATENATE(B897), FIND("|", CONCATENATE(B897)) + 1)))</f>
        <v>KG</v>
      </c>
      <c r="H89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475.1</v>
      </c>
      <c r="I897" s="40" t="s">
        <v>537</v>
      </c>
      <c r="J89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</v>
      </c>
      <c r="K897" t="s">
        <v>82</v>
      </c>
    </row>
    <row r="898" spans="1:11" x14ac:dyDescent="0.35">
      <c r="A898" t="s">
        <v>305</v>
      </c>
      <c r="B898" t="s">
        <v>401</v>
      </c>
      <c r="C898" t="s">
        <v>345</v>
      </c>
      <c r="D898">
        <v>33.85</v>
      </c>
      <c r="E898" t="s">
        <v>826</v>
      </c>
      <c r="F898">
        <v>2023</v>
      </c>
      <c r="G898" t="str">
        <f>TRIM(RIGHT(Table156[[#This Row],[Item-Codigo]], LEN(Table156[[#This Row],[Item-Codigo]]) - FIND("|", CONCATENATE(B898), FIND("|", CONCATENATE(B898)) + 1)))</f>
        <v>KG</v>
      </c>
      <c r="H89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1049</v>
      </c>
      <c r="I898" s="40">
        <v>1049</v>
      </c>
      <c r="J89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33850</v>
      </c>
      <c r="K898" t="s">
        <v>973</v>
      </c>
    </row>
    <row r="899" spans="1:11" x14ac:dyDescent="0.35">
      <c r="A899" t="s">
        <v>305</v>
      </c>
      <c r="B899" t="s">
        <v>923</v>
      </c>
      <c r="C899" t="s">
        <v>924</v>
      </c>
      <c r="D899">
        <v>15.88</v>
      </c>
      <c r="E899" t="s">
        <v>826</v>
      </c>
      <c r="F899">
        <v>2023</v>
      </c>
      <c r="G899" t="str">
        <f>TRIM(RIGHT(Table156[[#This Row],[Item-Codigo]], LEN(Table156[[#This Row],[Item-Codigo]]) - FIND("|", CONCATENATE(B899), FIND("|", CONCATENATE(B899)) + 1)))</f>
        <v>KG</v>
      </c>
      <c r="H89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601</v>
      </c>
      <c r="I899" s="40">
        <v>601</v>
      </c>
      <c r="J89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15880</v>
      </c>
      <c r="K899" t="s">
        <v>167</v>
      </c>
    </row>
    <row r="900" spans="1:11" x14ac:dyDescent="0.35">
      <c r="A900" t="s">
        <v>305</v>
      </c>
      <c r="B900" t="s">
        <v>402</v>
      </c>
      <c r="C900" t="s">
        <v>404</v>
      </c>
      <c r="D900">
        <v>3.3</v>
      </c>
      <c r="E900" t="s">
        <v>826</v>
      </c>
      <c r="F900">
        <v>2023</v>
      </c>
      <c r="G900" t="str">
        <f>TRIM(RIGHT(Table156[[#This Row],[Item-Codigo]], LEN(Table156[[#This Row],[Item-Codigo]]) - FIND("|", CONCATENATE(B900), FIND("|", CONCATENATE(B900)) + 1)))</f>
        <v>KG</v>
      </c>
      <c r="H90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716</v>
      </c>
      <c r="I900" s="40">
        <v>716</v>
      </c>
      <c r="J90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3300</v>
      </c>
      <c r="K900" t="s">
        <v>162</v>
      </c>
    </row>
    <row r="901" spans="1:11" x14ac:dyDescent="0.35">
      <c r="A901" t="s">
        <v>305</v>
      </c>
      <c r="B901" t="s">
        <v>410</v>
      </c>
      <c r="C901" t="s">
        <v>385</v>
      </c>
      <c r="D901">
        <v>5.5</v>
      </c>
      <c r="E901" t="s">
        <v>826</v>
      </c>
      <c r="F901">
        <v>2023</v>
      </c>
      <c r="G901" t="str">
        <f>TRIM(RIGHT(Table156[[#This Row],[Item-Codigo]], LEN(Table156[[#This Row],[Item-Codigo]]) - FIND("|", CONCATENATE(B901), FIND("|", CONCATENATE(B901)) + 1)))</f>
        <v>KG</v>
      </c>
      <c r="H90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508</v>
      </c>
      <c r="I901" s="40">
        <v>508</v>
      </c>
      <c r="J90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5500</v>
      </c>
      <c r="K901" t="s">
        <v>154</v>
      </c>
    </row>
    <row r="902" spans="1:11" x14ac:dyDescent="0.35">
      <c r="A902" t="s">
        <v>305</v>
      </c>
      <c r="B902" t="s">
        <v>410</v>
      </c>
      <c r="C902" t="s">
        <v>415</v>
      </c>
      <c r="D902">
        <v>5.63</v>
      </c>
      <c r="E902" t="s">
        <v>826</v>
      </c>
      <c r="F902">
        <v>2023</v>
      </c>
      <c r="G902" t="str">
        <f>TRIM(RIGHT(Table156[[#This Row],[Item-Codigo]], LEN(Table156[[#This Row],[Item-Codigo]]) - FIND("|", CONCATENATE(B902), FIND("|", CONCATENATE(B902)) + 1)))</f>
        <v>KG</v>
      </c>
      <c r="H90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508</v>
      </c>
      <c r="I902" s="40">
        <v>508</v>
      </c>
      <c r="J90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5630</v>
      </c>
      <c r="K902" t="s">
        <v>154</v>
      </c>
    </row>
    <row r="903" spans="1:11" x14ac:dyDescent="0.35">
      <c r="A903" t="s">
        <v>305</v>
      </c>
      <c r="B903" t="s">
        <v>412</v>
      </c>
      <c r="C903" t="s">
        <v>348</v>
      </c>
      <c r="D903">
        <v>30</v>
      </c>
      <c r="E903" t="s">
        <v>826</v>
      </c>
      <c r="F903">
        <v>2023</v>
      </c>
      <c r="G903" t="str">
        <f>TRIM(RIGHT(Table156[[#This Row],[Item-Codigo]], LEN(Table156[[#This Row],[Item-Codigo]]) - FIND("|", CONCATENATE(B903), FIND("|", CONCATENATE(B903)) + 1)))</f>
        <v>KG</v>
      </c>
      <c r="H90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981.2</v>
      </c>
      <c r="I903" s="40" t="s">
        <v>556</v>
      </c>
      <c r="J90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30000</v>
      </c>
      <c r="K903" t="s">
        <v>171</v>
      </c>
    </row>
    <row r="904" spans="1:11" x14ac:dyDescent="0.35">
      <c r="A904" t="s">
        <v>305</v>
      </c>
      <c r="B904" t="s">
        <v>931</v>
      </c>
      <c r="C904" t="s">
        <v>415</v>
      </c>
      <c r="D904">
        <v>3.93</v>
      </c>
      <c r="E904" t="s">
        <v>826</v>
      </c>
      <c r="F904">
        <v>2023</v>
      </c>
      <c r="G904" t="str">
        <f>TRIM(RIGHT(Table156[[#This Row],[Item-Codigo]], LEN(Table156[[#This Row],[Item-Codigo]]) - FIND("|", CONCATENATE(B904), FIND("|", CONCATENATE(B904)) + 1)))</f>
        <v>KG</v>
      </c>
      <c r="H90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456.9</v>
      </c>
      <c r="I904" s="40" t="s">
        <v>534</v>
      </c>
      <c r="J90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3930</v>
      </c>
      <c r="K904" t="s">
        <v>158</v>
      </c>
    </row>
    <row r="905" spans="1:11" x14ac:dyDescent="0.35">
      <c r="A905" t="s">
        <v>305</v>
      </c>
      <c r="B905" t="s">
        <v>414</v>
      </c>
      <c r="C905" t="s">
        <v>415</v>
      </c>
      <c r="D905">
        <v>7.68</v>
      </c>
      <c r="E905" t="s">
        <v>826</v>
      </c>
      <c r="F905">
        <v>2023</v>
      </c>
      <c r="G905" t="str">
        <f>TRIM(RIGHT(Table156[[#This Row],[Item-Codigo]], LEN(Table156[[#This Row],[Item-Codigo]]) - FIND("|", CONCATENATE(B905), FIND("|", CONCATENATE(B905)) + 1)))</f>
        <v>KG</v>
      </c>
      <c r="H90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455.3</v>
      </c>
      <c r="I905" s="40" t="s">
        <v>532</v>
      </c>
      <c r="J90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7680</v>
      </c>
      <c r="K905" t="s">
        <v>150</v>
      </c>
    </row>
    <row r="906" spans="1:11" x14ac:dyDescent="0.35">
      <c r="A906" t="s">
        <v>305</v>
      </c>
      <c r="B906" t="s">
        <v>416</v>
      </c>
      <c r="C906" t="s">
        <v>315</v>
      </c>
      <c r="D906">
        <v>2.65</v>
      </c>
      <c r="E906" t="s">
        <v>826</v>
      </c>
      <c r="F906">
        <v>2023</v>
      </c>
      <c r="G906" t="str">
        <f>TRIM(RIGHT(Table156[[#This Row],[Item-Codigo]], LEN(Table156[[#This Row],[Item-Codigo]]) - FIND("|", CONCATENATE(B906), FIND("|", CONCATENATE(B906)) + 1)))</f>
        <v>KG</v>
      </c>
      <c r="H90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1007.5</v>
      </c>
      <c r="I906" s="40" t="s">
        <v>495</v>
      </c>
      <c r="J90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2650</v>
      </c>
      <c r="K906" t="s">
        <v>141</v>
      </c>
    </row>
    <row r="907" spans="1:11" x14ac:dyDescent="0.35">
      <c r="A907" t="s">
        <v>196</v>
      </c>
      <c r="B907" t="s">
        <v>827</v>
      </c>
      <c r="C907" t="s">
        <v>215</v>
      </c>
      <c r="D907">
        <v>321.51544270120002</v>
      </c>
      <c r="E907" t="s">
        <v>828</v>
      </c>
      <c r="F907">
        <v>2023</v>
      </c>
      <c r="G907" t="str">
        <f>TRIM(RIGHT(Table156[[#This Row],[Item-Codigo]], LEN(Table156[[#This Row],[Item-Codigo]]) - FIND("|", CONCATENATE(B907), FIND("|", CONCATENATE(B907)) + 1)))</f>
        <v>TM</v>
      </c>
      <c r="H90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17.2</v>
      </c>
      <c r="I907" s="40" t="s">
        <v>932</v>
      </c>
      <c r="J90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321.51544270120002</v>
      </c>
      <c r="K907" t="s">
        <v>181</v>
      </c>
    </row>
    <row r="908" spans="1:11" x14ac:dyDescent="0.35">
      <c r="A908" t="s">
        <v>198</v>
      </c>
      <c r="B908" t="s">
        <v>219</v>
      </c>
      <c r="C908" t="s">
        <v>220</v>
      </c>
      <c r="D908">
        <v>860</v>
      </c>
      <c r="E908" t="s">
        <v>828</v>
      </c>
      <c r="F908">
        <v>2023</v>
      </c>
      <c r="G908" t="str">
        <f>TRIM(RIGHT(Table156[[#This Row],[Item-Codigo]], LEN(Table156[[#This Row],[Item-Codigo]]) - FIND("|", CONCATENATE(B908), FIND("|", CONCATENATE(B908)) + 1)))</f>
        <v>TM</v>
      </c>
      <c r="H90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908" s="40">
        <v>42</v>
      </c>
      <c r="J90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860</v>
      </c>
      <c r="K908" t="s">
        <v>94</v>
      </c>
    </row>
    <row r="909" spans="1:11" x14ac:dyDescent="0.35">
      <c r="A909" t="s">
        <v>198</v>
      </c>
      <c r="B909" t="s">
        <v>219</v>
      </c>
      <c r="C909" t="s">
        <v>222</v>
      </c>
      <c r="D909">
        <v>855</v>
      </c>
      <c r="E909" t="s">
        <v>828</v>
      </c>
      <c r="F909">
        <v>2023</v>
      </c>
      <c r="G909" t="str">
        <f>TRIM(RIGHT(Table156[[#This Row],[Item-Codigo]], LEN(Table156[[#This Row],[Item-Codigo]]) - FIND("|", CONCATENATE(B909), FIND("|", CONCATENATE(B909)) + 1)))</f>
        <v>TM</v>
      </c>
      <c r="H90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909" s="40">
        <v>42</v>
      </c>
      <c r="J90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855</v>
      </c>
      <c r="K909" t="s">
        <v>94</v>
      </c>
    </row>
    <row r="910" spans="1:11" x14ac:dyDescent="0.35">
      <c r="A910" t="s">
        <v>198</v>
      </c>
      <c r="B910" t="s">
        <v>224</v>
      </c>
      <c r="C910" t="s">
        <v>223</v>
      </c>
      <c r="D910">
        <v>1778</v>
      </c>
      <c r="E910" t="s">
        <v>828</v>
      </c>
      <c r="F910">
        <v>2023</v>
      </c>
      <c r="G910" t="str">
        <f>TRIM(RIGHT(Table156[[#This Row],[Item-Codigo]], LEN(Table156[[#This Row],[Item-Codigo]]) - FIND("|", CONCATENATE(B910), FIND("|", CONCATENATE(B910)) + 1)))</f>
        <v>TM</v>
      </c>
      <c r="H91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40</v>
      </c>
      <c r="I910" s="40">
        <v>40</v>
      </c>
      <c r="J91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1778</v>
      </c>
      <c r="K910" t="s">
        <v>95</v>
      </c>
    </row>
    <row r="911" spans="1:11" x14ac:dyDescent="0.35">
      <c r="A911" t="s">
        <v>198</v>
      </c>
      <c r="B911" t="s">
        <v>225</v>
      </c>
      <c r="C911" t="s">
        <v>226</v>
      </c>
      <c r="D911">
        <v>387.00035710036701</v>
      </c>
      <c r="E911" t="s">
        <v>828</v>
      </c>
      <c r="F911">
        <v>2023</v>
      </c>
      <c r="G911" t="str">
        <f>TRIM(RIGHT(Table156[[#This Row],[Item-Codigo]], LEN(Table156[[#This Row],[Item-Codigo]]) - FIND("|", CONCATENATE(B911), FIND("|", CONCATENATE(B911)) + 1)))</f>
        <v>TM</v>
      </c>
      <c r="H91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301</v>
      </c>
      <c r="I911" s="40">
        <v>301</v>
      </c>
      <c r="J91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387.00035710036701</v>
      </c>
      <c r="K911" t="s">
        <v>96</v>
      </c>
    </row>
    <row r="912" spans="1:11" x14ac:dyDescent="0.35">
      <c r="A912" t="s">
        <v>198</v>
      </c>
      <c r="B912" t="s">
        <v>227</v>
      </c>
      <c r="C912" t="s">
        <v>218</v>
      </c>
      <c r="D912">
        <v>0.3232363654</v>
      </c>
      <c r="E912" t="s">
        <v>828</v>
      </c>
      <c r="F912">
        <v>2023</v>
      </c>
      <c r="G912" t="str">
        <f>TRIM(RIGHT(Table156[[#This Row],[Item-Codigo]], LEN(Table156[[#This Row],[Item-Codigo]]) - FIND("|", CONCATENATE(B912), FIND("|", CONCATENATE(B912)) + 1)))</f>
        <v>KG</v>
      </c>
      <c r="H91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912" s="40">
        <v>200</v>
      </c>
      <c r="J91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323.23636540000001</v>
      </c>
      <c r="K912" t="s">
        <v>97</v>
      </c>
    </row>
    <row r="913" spans="1:11" x14ac:dyDescent="0.35">
      <c r="A913" t="s">
        <v>198</v>
      </c>
      <c r="B913" t="s">
        <v>230</v>
      </c>
      <c r="C913" t="s">
        <v>231</v>
      </c>
      <c r="D913">
        <v>4.5912168599999997E-2</v>
      </c>
      <c r="E913" t="s">
        <v>828</v>
      </c>
      <c r="F913">
        <v>2023</v>
      </c>
      <c r="G913" t="str">
        <f>TRIM(RIGHT(Table156[[#This Row],[Item-Codigo]], LEN(Table156[[#This Row],[Item-Codigo]]) - FIND("|", CONCATENATE(B913), FIND("|", CONCATENATE(B913)) + 1)))</f>
        <v>KG</v>
      </c>
      <c r="H91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913" s="40">
        <v>701</v>
      </c>
      <c r="J91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45.912168599999994</v>
      </c>
      <c r="K913" t="s">
        <v>98</v>
      </c>
    </row>
    <row r="914" spans="1:11" x14ac:dyDescent="0.35">
      <c r="A914" t="s">
        <v>198</v>
      </c>
      <c r="B914" t="s">
        <v>233</v>
      </c>
      <c r="C914" t="s">
        <v>235</v>
      </c>
      <c r="D914">
        <v>1950</v>
      </c>
      <c r="E914" t="s">
        <v>828</v>
      </c>
      <c r="F914">
        <v>2023</v>
      </c>
      <c r="G914" t="str">
        <f>TRIM(RIGHT(Table156[[#This Row],[Item-Codigo]], LEN(Table156[[#This Row],[Item-Codigo]]) - FIND("|", CONCATENATE(B914), FIND("|", CONCATENATE(B914)) + 1)))</f>
        <v>TM</v>
      </c>
      <c r="H91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156.4</v>
      </c>
      <c r="I914" s="40" t="s">
        <v>524</v>
      </c>
      <c r="J91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1950</v>
      </c>
      <c r="K914" t="s">
        <v>977</v>
      </c>
    </row>
    <row r="915" spans="1:11" x14ac:dyDescent="0.35">
      <c r="A915" t="s">
        <v>198</v>
      </c>
      <c r="B915" t="s">
        <v>233</v>
      </c>
      <c r="C915" t="s">
        <v>836</v>
      </c>
      <c r="D915">
        <v>1950.1845018450001</v>
      </c>
      <c r="E915" t="s">
        <v>828</v>
      </c>
      <c r="F915">
        <v>2023</v>
      </c>
      <c r="G915" t="str">
        <f>TRIM(RIGHT(Table156[[#This Row],[Item-Codigo]], LEN(Table156[[#This Row],[Item-Codigo]]) - FIND("|", CONCATENATE(B915), FIND("|", CONCATENATE(B915)) + 1)))</f>
        <v>TM</v>
      </c>
      <c r="H91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156.4</v>
      </c>
      <c r="I915" s="40" t="s">
        <v>524</v>
      </c>
      <c r="J91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1950.1845018450001</v>
      </c>
      <c r="K915" t="s">
        <v>977</v>
      </c>
    </row>
    <row r="916" spans="1:11" x14ac:dyDescent="0.35">
      <c r="A916" t="s">
        <v>198</v>
      </c>
      <c r="B916" t="s">
        <v>233</v>
      </c>
      <c r="C916" t="s">
        <v>236</v>
      </c>
      <c r="D916">
        <v>1924.9975576274501</v>
      </c>
      <c r="E916" t="s">
        <v>828</v>
      </c>
      <c r="F916">
        <v>2023</v>
      </c>
      <c r="G916" t="str">
        <f>TRIM(RIGHT(Table156[[#This Row],[Item-Codigo]], LEN(Table156[[#This Row],[Item-Codigo]]) - FIND("|", CONCATENATE(B916), FIND("|", CONCATENATE(B916)) + 1)))</f>
        <v>TM</v>
      </c>
      <c r="H91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156.4</v>
      </c>
      <c r="I916" s="40" t="s">
        <v>524</v>
      </c>
      <c r="J91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1924.9975576274501</v>
      </c>
      <c r="K916" t="s">
        <v>977</v>
      </c>
    </row>
    <row r="917" spans="1:11" x14ac:dyDescent="0.35">
      <c r="A917" t="s">
        <v>198</v>
      </c>
      <c r="B917" t="s">
        <v>237</v>
      </c>
      <c r="C917" t="s">
        <v>837</v>
      </c>
      <c r="D917">
        <v>1250</v>
      </c>
      <c r="E917" t="s">
        <v>828</v>
      </c>
      <c r="F917">
        <v>2023</v>
      </c>
      <c r="G917" t="str">
        <f>TRIM(RIGHT(Table156[[#This Row],[Item-Codigo]], LEN(Table156[[#This Row],[Item-Codigo]]) - FIND("|", CONCATENATE(B917), FIND("|", CONCATENATE(B917)) + 1)))</f>
        <v>TM</v>
      </c>
      <c r="H91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917" s="40">
        <v>116</v>
      </c>
      <c r="J91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1250</v>
      </c>
      <c r="K917" t="s">
        <v>99</v>
      </c>
    </row>
    <row r="918" spans="1:11" x14ac:dyDescent="0.35">
      <c r="A918" t="s">
        <v>198</v>
      </c>
      <c r="B918" t="s">
        <v>237</v>
      </c>
      <c r="C918" t="s">
        <v>238</v>
      </c>
      <c r="D918">
        <v>1255</v>
      </c>
      <c r="E918" t="s">
        <v>828</v>
      </c>
      <c r="F918">
        <v>2023</v>
      </c>
      <c r="G918" t="str">
        <f>TRIM(RIGHT(Table156[[#This Row],[Item-Codigo]], LEN(Table156[[#This Row],[Item-Codigo]]) - FIND("|", CONCATENATE(B918), FIND("|", CONCATENATE(B918)) + 1)))</f>
        <v>TM</v>
      </c>
      <c r="H91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918" s="40">
        <v>116</v>
      </c>
      <c r="J91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1255</v>
      </c>
      <c r="K918" t="s">
        <v>99</v>
      </c>
    </row>
    <row r="919" spans="1:11" x14ac:dyDescent="0.35">
      <c r="A919" t="s">
        <v>198</v>
      </c>
      <c r="B919" t="s">
        <v>240</v>
      </c>
      <c r="C919" t="s">
        <v>238</v>
      </c>
      <c r="D919">
        <v>935</v>
      </c>
      <c r="E919" t="s">
        <v>828</v>
      </c>
      <c r="F919">
        <v>2023</v>
      </c>
      <c r="G919" t="str">
        <f>TRIM(RIGHT(Table156[[#This Row],[Item-Codigo]], LEN(Table156[[#This Row],[Item-Codigo]]) - FIND("|", CONCATENATE(B919), FIND("|", CONCATENATE(B919)) + 1)))</f>
        <v>TM</v>
      </c>
      <c r="H91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111</v>
      </c>
      <c r="I919" s="40">
        <v>111</v>
      </c>
      <c r="J91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935</v>
      </c>
      <c r="K919" t="s">
        <v>184</v>
      </c>
    </row>
    <row r="920" spans="1:11" x14ac:dyDescent="0.35">
      <c r="A920" t="s">
        <v>198</v>
      </c>
      <c r="B920" t="s">
        <v>838</v>
      </c>
      <c r="C920" t="s">
        <v>239</v>
      </c>
      <c r="D920">
        <v>935.46814461955</v>
      </c>
      <c r="E920" t="s">
        <v>828</v>
      </c>
      <c r="F920">
        <v>2023</v>
      </c>
      <c r="G920" t="str">
        <f>TRIM(RIGHT(Table156[[#This Row],[Item-Codigo]], LEN(Table156[[#This Row],[Item-Codigo]]) - FIND("|", CONCATENATE(B920), FIND("|", CONCATENATE(B920)) + 1)))</f>
        <v>TM</v>
      </c>
      <c r="H92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111.5</v>
      </c>
      <c r="I920" s="40" t="s">
        <v>933</v>
      </c>
      <c r="J92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935.46814461955</v>
      </c>
      <c r="K920" t="s">
        <v>184</v>
      </c>
    </row>
    <row r="921" spans="1:11" x14ac:dyDescent="0.35">
      <c r="A921" t="s">
        <v>198</v>
      </c>
      <c r="B921" t="s">
        <v>844</v>
      </c>
      <c r="C921" t="s">
        <v>218</v>
      </c>
      <c r="D921">
        <v>0.67740422020000002</v>
      </c>
      <c r="E921" t="s">
        <v>828</v>
      </c>
      <c r="F921">
        <v>2023</v>
      </c>
      <c r="G921" t="str">
        <f>TRIM(RIGHT(Table156[[#This Row],[Item-Codigo]], LEN(Table156[[#This Row],[Item-Codigo]]) - FIND("|", CONCATENATE(B921), FIND("|", CONCATENATE(B921)) + 1)))</f>
        <v>KG</v>
      </c>
      <c r="H92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211</v>
      </c>
      <c r="I921" s="40">
        <v>211</v>
      </c>
      <c r="J92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677.40422020000005</v>
      </c>
      <c r="K921" t="s">
        <v>188</v>
      </c>
    </row>
    <row r="922" spans="1:11" x14ac:dyDescent="0.35">
      <c r="A922" t="s">
        <v>198</v>
      </c>
      <c r="B922" t="s">
        <v>199</v>
      </c>
      <c r="C922" t="s">
        <v>200</v>
      </c>
      <c r="D922">
        <v>16.600000161274199</v>
      </c>
      <c r="E922" t="s">
        <v>828</v>
      </c>
      <c r="F922">
        <v>2023</v>
      </c>
      <c r="G922" t="str">
        <f>TRIM(RIGHT(Table156[[#This Row],[Item-Codigo]], LEN(Table156[[#This Row],[Item-Codigo]]) - FIND("|", CONCATENATE(B922), FIND("|", CONCATENATE(B922)) + 1)))</f>
        <v>QQ</v>
      </c>
      <c r="H92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922" s="40">
        <v>1</v>
      </c>
      <c r="J922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365.20000354803238</v>
      </c>
      <c r="K922" t="s">
        <v>182</v>
      </c>
    </row>
    <row r="923" spans="1:11" x14ac:dyDescent="0.35">
      <c r="A923" t="s">
        <v>198</v>
      </c>
      <c r="B923" t="s">
        <v>199</v>
      </c>
      <c r="C923" t="s">
        <v>203</v>
      </c>
      <c r="D923">
        <v>16.69992533405</v>
      </c>
      <c r="E923" t="s">
        <v>828</v>
      </c>
      <c r="F923">
        <v>2023</v>
      </c>
      <c r="G923" t="str">
        <f>TRIM(RIGHT(Table156[[#This Row],[Item-Codigo]], LEN(Table156[[#This Row],[Item-Codigo]]) - FIND("|", CONCATENATE(B923), FIND("|", CONCATENATE(B923)) + 1)))</f>
        <v>QQ</v>
      </c>
      <c r="H92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923" s="40">
        <v>1</v>
      </c>
      <c r="J923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367.39835734910002</v>
      </c>
      <c r="K923" t="s">
        <v>182</v>
      </c>
    </row>
    <row r="924" spans="1:11" x14ac:dyDescent="0.35">
      <c r="A924" t="s">
        <v>198</v>
      </c>
      <c r="B924" t="s">
        <v>245</v>
      </c>
      <c r="C924" t="s">
        <v>246</v>
      </c>
      <c r="D924">
        <v>260</v>
      </c>
      <c r="E924" t="s">
        <v>828</v>
      </c>
      <c r="F924">
        <v>2023</v>
      </c>
      <c r="G924" t="str">
        <f>TRIM(RIGHT(Table156[[#This Row],[Item-Codigo]], LEN(Table156[[#This Row],[Item-Codigo]]) - FIND("|", CONCATENATE(B924), FIND("|", CONCATENATE(B924)) + 1)))</f>
        <v>TM</v>
      </c>
      <c r="H92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14</v>
      </c>
      <c r="I924" s="40">
        <v>14</v>
      </c>
      <c r="J92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260</v>
      </c>
      <c r="K924" t="s">
        <v>187</v>
      </c>
    </row>
    <row r="925" spans="1:11" x14ac:dyDescent="0.35">
      <c r="A925" t="s">
        <v>198</v>
      </c>
      <c r="B925" t="s">
        <v>247</v>
      </c>
      <c r="C925" t="s">
        <v>248</v>
      </c>
      <c r="D925">
        <v>0.26495151569999997</v>
      </c>
      <c r="E925" t="s">
        <v>828</v>
      </c>
      <c r="F925">
        <v>2023</v>
      </c>
      <c r="G925" t="str">
        <f>TRIM(RIGHT(Table156[[#This Row],[Item-Codigo]], LEN(Table156[[#This Row],[Item-Codigo]]) - FIND("|", CONCATENATE(B925), FIND("|", CONCATENATE(B925)) + 1)))</f>
        <v>KG</v>
      </c>
      <c r="H92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214</v>
      </c>
      <c r="I925" s="40">
        <v>214</v>
      </c>
      <c r="J92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264.95151569999996</v>
      </c>
      <c r="K925" t="s">
        <v>186</v>
      </c>
    </row>
    <row r="926" spans="1:11" x14ac:dyDescent="0.35">
      <c r="A926" t="s">
        <v>198</v>
      </c>
      <c r="B926" t="s">
        <v>207</v>
      </c>
      <c r="C926" t="s">
        <v>201</v>
      </c>
      <c r="D926">
        <v>14.000045050700001</v>
      </c>
      <c r="E926" t="s">
        <v>828</v>
      </c>
      <c r="F926">
        <v>2023</v>
      </c>
      <c r="G926" t="str">
        <f>TRIM(RIGHT(Table156[[#This Row],[Item-Codigo]], LEN(Table156[[#This Row],[Item-Codigo]]) - FIND("|", CONCATENATE(B926), FIND("|", CONCATENATE(B926)) + 1)))</f>
        <v>QQ</v>
      </c>
      <c r="H92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926" s="40">
        <v>410</v>
      </c>
      <c r="J926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308.00099111540004</v>
      </c>
      <c r="K926" t="s">
        <v>183</v>
      </c>
    </row>
    <row r="927" spans="1:11" x14ac:dyDescent="0.35">
      <c r="A927" t="s">
        <v>198</v>
      </c>
      <c r="B927" t="s">
        <v>207</v>
      </c>
      <c r="C927" t="s">
        <v>208</v>
      </c>
      <c r="D927">
        <v>13.99996014455</v>
      </c>
      <c r="E927" t="s">
        <v>828</v>
      </c>
      <c r="F927">
        <v>2023</v>
      </c>
      <c r="G927" t="str">
        <f>TRIM(RIGHT(Table156[[#This Row],[Item-Codigo]], LEN(Table156[[#This Row],[Item-Codigo]]) - FIND("|", CONCATENATE(B927), FIND("|", CONCATENATE(B927)) + 1)))</f>
        <v>QQ</v>
      </c>
      <c r="H92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927" s="40">
        <v>410</v>
      </c>
      <c r="J927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307.99912318010001</v>
      </c>
      <c r="K927" t="s">
        <v>183</v>
      </c>
    </row>
    <row r="928" spans="1:11" x14ac:dyDescent="0.35">
      <c r="A928" t="s">
        <v>198</v>
      </c>
      <c r="B928" t="s">
        <v>207</v>
      </c>
      <c r="C928" t="s">
        <v>211</v>
      </c>
      <c r="D928">
        <v>13.9999713646333</v>
      </c>
      <c r="E928" t="s">
        <v>828</v>
      </c>
      <c r="F928">
        <v>2023</v>
      </c>
      <c r="G928" t="str">
        <f>TRIM(RIGHT(Table156[[#This Row],[Item-Codigo]], LEN(Table156[[#This Row],[Item-Codigo]]) - FIND("|", CONCATENATE(B928), FIND("|", CONCATENATE(B928)) + 1)))</f>
        <v>QQ</v>
      </c>
      <c r="H92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928" s="40">
        <v>410</v>
      </c>
      <c r="J928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307.99937002193258</v>
      </c>
      <c r="K928" t="s">
        <v>183</v>
      </c>
    </row>
    <row r="929" spans="1:11" x14ac:dyDescent="0.35">
      <c r="A929" t="s">
        <v>198</v>
      </c>
      <c r="B929" t="s">
        <v>207</v>
      </c>
      <c r="C929" t="s">
        <v>212</v>
      </c>
      <c r="D929">
        <v>13.9999728810091</v>
      </c>
      <c r="E929" t="s">
        <v>828</v>
      </c>
      <c r="F929">
        <v>2023</v>
      </c>
      <c r="G929" t="str">
        <f>TRIM(RIGHT(Table156[[#This Row],[Item-Codigo]], LEN(Table156[[#This Row],[Item-Codigo]]) - FIND("|", CONCATENATE(B929), FIND("|", CONCATENATE(B929)) + 1)))</f>
        <v>QQ</v>
      </c>
      <c r="H92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929" s="40">
        <v>410</v>
      </c>
      <c r="J929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307.99940338220017</v>
      </c>
      <c r="K929" t="s">
        <v>183</v>
      </c>
    </row>
    <row r="930" spans="1:11" x14ac:dyDescent="0.35">
      <c r="A930" t="s">
        <v>198</v>
      </c>
      <c r="B930" t="s">
        <v>207</v>
      </c>
      <c r="C930" t="s">
        <v>213</v>
      </c>
      <c r="D930">
        <v>13.9999959533524</v>
      </c>
      <c r="E930" t="s">
        <v>828</v>
      </c>
      <c r="F930">
        <v>2023</v>
      </c>
      <c r="G930" t="str">
        <f>TRIM(RIGHT(Table156[[#This Row],[Item-Codigo]], LEN(Table156[[#This Row],[Item-Codigo]]) - FIND("|", CONCATENATE(B930), FIND("|", CONCATENATE(B930)) + 1)))</f>
        <v>QQ</v>
      </c>
      <c r="H93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930" s="40">
        <v>410</v>
      </c>
      <c r="J930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307.99991097375278</v>
      </c>
      <c r="K930" t="s">
        <v>183</v>
      </c>
    </row>
    <row r="931" spans="1:11" x14ac:dyDescent="0.35">
      <c r="A931" t="s">
        <v>256</v>
      </c>
      <c r="B931" t="s">
        <v>261</v>
      </c>
      <c r="C931" t="s">
        <v>262</v>
      </c>
      <c r="D931">
        <v>0.1497</v>
      </c>
      <c r="E931" t="s">
        <v>828</v>
      </c>
      <c r="F931">
        <v>2023</v>
      </c>
      <c r="G931" t="str">
        <f>TRIM(RIGHT(Table156[[#This Row],[Item-Codigo]], LEN(Table156[[#This Row],[Item-Codigo]]) - FIND("|", CONCATENATE(B931), FIND("|", CONCATENATE(B931)) + 1)))</f>
        <v>UND</v>
      </c>
      <c r="H93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931" s="40" t="s">
        <v>500</v>
      </c>
      <c r="J93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0.1497</v>
      </c>
      <c r="K931" t="s">
        <v>43</v>
      </c>
    </row>
    <row r="932" spans="1:11" x14ac:dyDescent="0.35">
      <c r="A932" t="s">
        <v>256</v>
      </c>
      <c r="B932" t="s">
        <v>261</v>
      </c>
      <c r="C932" t="s">
        <v>263</v>
      </c>
      <c r="D932">
        <v>0.1487998978</v>
      </c>
      <c r="E932" t="s">
        <v>828</v>
      </c>
      <c r="F932">
        <v>2023</v>
      </c>
      <c r="G932" t="str">
        <f>TRIM(RIGHT(Table156[[#This Row],[Item-Codigo]], LEN(Table156[[#This Row],[Item-Codigo]]) - FIND("|", CONCATENATE(B932), FIND("|", CONCATENATE(B932)) + 1)))</f>
        <v>UND</v>
      </c>
      <c r="H93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932" s="40" t="s">
        <v>500</v>
      </c>
      <c r="J93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0.1487998978</v>
      </c>
      <c r="K932" t="s">
        <v>43</v>
      </c>
    </row>
    <row r="933" spans="1:11" x14ac:dyDescent="0.35">
      <c r="A933" t="s">
        <v>256</v>
      </c>
      <c r="B933" t="s">
        <v>264</v>
      </c>
      <c r="C933" t="s">
        <v>263</v>
      </c>
      <c r="D933">
        <v>0.14880028219999999</v>
      </c>
      <c r="E933" t="s">
        <v>828</v>
      </c>
      <c r="F933">
        <v>2023</v>
      </c>
      <c r="G933" t="str">
        <f>TRIM(RIGHT(Table156[[#This Row],[Item-Codigo]], LEN(Table156[[#This Row],[Item-Codigo]]) - FIND("|", CONCATENATE(B933), FIND("|", CONCATENATE(B933)) + 1)))</f>
        <v>UND</v>
      </c>
      <c r="H93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1024-ME</v>
      </c>
      <c r="I933" s="40" t="s">
        <v>501</v>
      </c>
      <c r="J93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0.14880028219999999</v>
      </c>
      <c r="K933" t="s">
        <v>44</v>
      </c>
    </row>
    <row r="934" spans="1:11" x14ac:dyDescent="0.35">
      <c r="A934" t="s">
        <v>256</v>
      </c>
      <c r="B934" t="s">
        <v>265</v>
      </c>
      <c r="C934" t="s">
        <v>262</v>
      </c>
      <c r="D934">
        <v>0.1497002583</v>
      </c>
      <c r="E934" t="s">
        <v>828</v>
      </c>
      <c r="F934">
        <v>2023</v>
      </c>
      <c r="G934" t="str">
        <f>TRIM(RIGHT(Table156[[#This Row],[Item-Codigo]], LEN(Table156[[#This Row],[Item-Codigo]]) - FIND("|", CONCATENATE(B934), FIND("|", CONCATENATE(B934)) + 1)))</f>
        <v>UND</v>
      </c>
      <c r="H93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1025-ME</v>
      </c>
      <c r="I934" s="40" t="s">
        <v>502</v>
      </c>
      <c r="J93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0.1497002583</v>
      </c>
      <c r="K934" t="s">
        <v>45</v>
      </c>
    </row>
    <row r="935" spans="1:11" x14ac:dyDescent="0.35">
      <c r="A935" t="s">
        <v>256</v>
      </c>
      <c r="B935" t="s">
        <v>265</v>
      </c>
      <c r="C935" t="s">
        <v>263</v>
      </c>
      <c r="D935">
        <v>0.14880012644999999</v>
      </c>
      <c r="E935" t="s">
        <v>828</v>
      </c>
      <c r="F935">
        <v>2023</v>
      </c>
      <c r="G935" t="str">
        <f>TRIM(RIGHT(Table156[[#This Row],[Item-Codigo]], LEN(Table156[[#This Row],[Item-Codigo]]) - FIND("|", CONCATENATE(B935), FIND("|", CONCATENATE(B935)) + 1)))</f>
        <v>UND</v>
      </c>
      <c r="H93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1025-ME</v>
      </c>
      <c r="I935" s="40" t="s">
        <v>502</v>
      </c>
      <c r="J93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0.14880012644999999</v>
      </c>
      <c r="K935" t="s">
        <v>45</v>
      </c>
    </row>
    <row r="936" spans="1:11" x14ac:dyDescent="0.35">
      <c r="A936" t="s">
        <v>256</v>
      </c>
      <c r="B936" t="s">
        <v>266</v>
      </c>
      <c r="C936" t="s">
        <v>267</v>
      </c>
      <c r="D936">
        <v>0.16830000000000001</v>
      </c>
      <c r="E936" t="s">
        <v>828</v>
      </c>
      <c r="F936">
        <v>2023</v>
      </c>
      <c r="G936" t="str">
        <f>TRIM(RIGHT(Table156[[#This Row],[Item-Codigo]], LEN(Table156[[#This Row],[Item-Codigo]]) - FIND("|", CONCATENATE(B936), FIND("|", CONCATENATE(B936)) + 1)))</f>
        <v>UND</v>
      </c>
      <c r="H93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1026-ME</v>
      </c>
      <c r="I936" s="40" t="s">
        <v>503</v>
      </c>
      <c r="J93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0.16830000000000001</v>
      </c>
      <c r="K936" t="s">
        <v>46</v>
      </c>
    </row>
    <row r="937" spans="1:11" x14ac:dyDescent="0.35">
      <c r="A937" t="s">
        <v>256</v>
      </c>
      <c r="B937" t="s">
        <v>272</v>
      </c>
      <c r="C937" t="s">
        <v>263</v>
      </c>
      <c r="D937">
        <v>0.14880016500000001</v>
      </c>
      <c r="E937" t="s">
        <v>828</v>
      </c>
      <c r="F937">
        <v>2023</v>
      </c>
      <c r="G937" t="str">
        <f>TRIM(RIGHT(Table156[[#This Row],[Item-Codigo]], LEN(Table156[[#This Row],[Item-Codigo]]) - FIND("|", CONCATENATE(B937), FIND("|", CONCATENATE(B937)) + 1)))</f>
        <v>UND</v>
      </c>
      <c r="H93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1029-ME</v>
      </c>
      <c r="I937" s="40" t="s">
        <v>506</v>
      </c>
      <c r="J93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0.14880016500000001</v>
      </c>
      <c r="K937" t="s">
        <v>51</v>
      </c>
    </row>
    <row r="938" spans="1:11" x14ac:dyDescent="0.35">
      <c r="A938" t="s">
        <v>256</v>
      </c>
      <c r="B938" t="s">
        <v>273</v>
      </c>
      <c r="C938" t="s">
        <v>263</v>
      </c>
      <c r="D938">
        <v>0.14880008920000001</v>
      </c>
      <c r="E938" t="s">
        <v>828</v>
      </c>
      <c r="F938">
        <v>2023</v>
      </c>
      <c r="G938" t="str">
        <f>TRIM(RIGHT(Table156[[#This Row],[Item-Codigo]], LEN(Table156[[#This Row],[Item-Codigo]]) - FIND("|", CONCATENATE(B938), FIND("|", CONCATENATE(B938)) + 1)))</f>
        <v>UND</v>
      </c>
      <c r="H93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1030-ME</v>
      </c>
      <c r="I938" s="40" t="s">
        <v>507</v>
      </c>
      <c r="J93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0.14880008920000001</v>
      </c>
      <c r="K938" t="s">
        <v>52</v>
      </c>
    </row>
    <row r="939" spans="1:11" x14ac:dyDescent="0.35">
      <c r="A939" t="s">
        <v>256</v>
      </c>
      <c r="B939" t="s">
        <v>274</v>
      </c>
      <c r="C939" t="s">
        <v>263</v>
      </c>
      <c r="D939">
        <v>0.14880037309999999</v>
      </c>
      <c r="E939" t="s">
        <v>828</v>
      </c>
      <c r="F939">
        <v>2023</v>
      </c>
      <c r="G939" t="str">
        <f>TRIM(RIGHT(Table156[[#This Row],[Item-Codigo]], LEN(Table156[[#This Row],[Item-Codigo]]) - FIND("|", CONCATENATE(B939), FIND("|", CONCATENATE(B939)) + 1)))</f>
        <v>UND</v>
      </c>
      <c r="H93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1031-ME</v>
      </c>
      <c r="I939" s="40" t="s">
        <v>508</v>
      </c>
      <c r="J93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0.14880037309999999</v>
      </c>
      <c r="K939" t="s">
        <v>53</v>
      </c>
    </row>
    <row r="940" spans="1:11" x14ac:dyDescent="0.35">
      <c r="A940" t="s">
        <v>256</v>
      </c>
      <c r="B940" t="s">
        <v>287</v>
      </c>
      <c r="C940" t="s">
        <v>267</v>
      </c>
      <c r="D940">
        <v>0.247</v>
      </c>
      <c r="E940" t="s">
        <v>828</v>
      </c>
      <c r="F940">
        <v>2023</v>
      </c>
      <c r="G940" t="str">
        <f>TRIM(RIGHT(Table156[[#This Row],[Item-Codigo]], LEN(Table156[[#This Row],[Item-Codigo]]) - FIND("|", CONCATENATE(B940), FIND("|", CONCATENATE(B940)) + 1)))</f>
        <v>UND</v>
      </c>
      <c r="H94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0115-ME</v>
      </c>
      <c r="I940" s="40" t="s">
        <v>474</v>
      </c>
      <c r="J94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0.247</v>
      </c>
      <c r="K940" t="s">
        <v>115</v>
      </c>
    </row>
    <row r="941" spans="1:11" x14ac:dyDescent="0.35">
      <c r="A941" t="s">
        <v>256</v>
      </c>
      <c r="B941" t="s">
        <v>288</v>
      </c>
      <c r="C941" t="s">
        <v>267</v>
      </c>
      <c r="D941">
        <v>0.2150997811</v>
      </c>
      <c r="E941" t="s">
        <v>828</v>
      </c>
      <c r="F941">
        <v>2023</v>
      </c>
      <c r="G941" t="str">
        <f>TRIM(RIGHT(Table156[[#This Row],[Item-Codigo]], LEN(Table156[[#This Row],[Item-Codigo]]) - FIND("|", CONCATENATE(B941), FIND("|", CONCATENATE(B941)) + 1)))</f>
        <v>UND</v>
      </c>
      <c r="H94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0993-ME</v>
      </c>
      <c r="I941" s="40" t="s">
        <v>490</v>
      </c>
      <c r="J94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0.2150997811</v>
      </c>
      <c r="K941" t="s">
        <v>106</v>
      </c>
    </row>
    <row r="942" spans="1:11" x14ac:dyDescent="0.35">
      <c r="A942" t="s">
        <v>256</v>
      </c>
      <c r="B942" t="s">
        <v>290</v>
      </c>
      <c r="C942" t="s">
        <v>267</v>
      </c>
      <c r="D942">
        <v>0.22389999999999999</v>
      </c>
      <c r="E942" t="s">
        <v>828</v>
      </c>
      <c r="F942">
        <v>2023</v>
      </c>
      <c r="G942" t="str">
        <f>TRIM(RIGHT(Table156[[#This Row],[Item-Codigo]], LEN(Table156[[#This Row],[Item-Codigo]]) - FIND("|", CONCATENATE(B942), FIND("|", CONCATENATE(B942)) + 1)))</f>
        <v>UND</v>
      </c>
      <c r="H94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0995-ME</v>
      </c>
      <c r="I942" s="40" t="s">
        <v>492</v>
      </c>
      <c r="J94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0.22389999999999999</v>
      </c>
      <c r="K942" t="s">
        <v>108</v>
      </c>
    </row>
    <row r="943" spans="1:11" x14ac:dyDescent="0.35">
      <c r="A943" t="s">
        <v>256</v>
      </c>
      <c r="B943" t="s">
        <v>292</v>
      </c>
      <c r="C943" t="s">
        <v>262</v>
      </c>
      <c r="D943">
        <v>0.22969999999999999</v>
      </c>
      <c r="E943" t="s">
        <v>828</v>
      </c>
      <c r="F943">
        <v>2023</v>
      </c>
      <c r="G943" t="str">
        <f>TRIM(RIGHT(Table156[[#This Row],[Item-Codigo]], LEN(Table156[[#This Row],[Item-Codigo]]) - FIND("|", CONCATENATE(B943), FIND("|", CONCATENATE(B943)) + 1)))</f>
        <v>UND</v>
      </c>
      <c r="H94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0987-ME</v>
      </c>
      <c r="I943" s="40" t="s">
        <v>488</v>
      </c>
      <c r="J94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0.22969999999999999</v>
      </c>
      <c r="K943" t="s">
        <v>117</v>
      </c>
    </row>
    <row r="944" spans="1:11" x14ac:dyDescent="0.35">
      <c r="A944" t="s">
        <v>256</v>
      </c>
      <c r="B944" t="s">
        <v>293</v>
      </c>
      <c r="C944" t="s">
        <v>263</v>
      </c>
      <c r="D944">
        <v>0.21</v>
      </c>
      <c r="E944" t="s">
        <v>828</v>
      </c>
      <c r="F944">
        <v>2023</v>
      </c>
      <c r="G944" t="str">
        <f>TRIM(RIGHT(Table156[[#This Row],[Item-Codigo]], LEN(Table156[[#This Row],[Item-Codigo]]) - FIND("|", CONCATENATE(B944), FIND("|", CONCATENATE(B944)) + 1)))</f>
        <v>UND</v>
      </c>
      <c r="H94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0201-ME</v>
      </c>
      <c r="I944" s="40" t="s">
        <v>478</v>
      </c>
      <c r="J94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</v>
      </c>
      <c r="K944" t="s">
        <v>105</v>
      </c>
    </row>
    <row r="945" spans="1:11" x14ac:dyDescent="0.35">
      <c r="A945" t="s">
        <v>256</v>
      </c>
      <c r="B945" t="s">
        <v>891</v>
      </c>
      <c r="C945" t="s">
        <v>267</v>
      </c>
      <c r="D945">
        <v>0.20200000000000001</v>
      </c>
      <c r="E945" t="s">
        <v>828</v>
      </c>
      <c r="F945">
        <v>2023</v>
      </c>
      <c r="G945" t="str">
        <f>TRIM(RIGHT(Table156[[#This Row],[Item-Codigo]], LEN(Table156[[#This Row],[Item-Codigo]]) - FIND("|", CONCATENATE(B945), FIND("|", CONCATENATE(B945)) + 1)))</f>
        <v>UND</v>
      </c>
      <c r="H94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0202-ME</v>
      </c>
      <c r="I945" s="40" t="s">
        <v>479</v>
      </c>
      <c r="J94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0.20200000000000001</v>
      </c>
      <c r="K945" t="s">
        <v>128</v>
      </c>
    </row>
    <row r="946" spans="1:11" x14ac:dyDescent="0.35">
      <c r="A946" t="s">
        <v>256</v>
      </c>
      <c r="B946" t="s">
        <v>294</v>
      </c>
      <c r="C946" t="s">
        <v>262</v>
      </c>
      <c r="D946">
        <v>0.19789999999999999</v>
      </c>
      <c r="E946" t="s">
        <v>828</v>
      </c>
      <c r="F946">
        <v>2023</v>
      </c>
      <c r="G946" t="str">
        <f>TRIM(RIGHT(Table156[[#This Row],[Item-Codigo]], LEN(Table156[[#This Row],[Item-Codigo]]) - FIND("|", CONCATENATE(B946), FIND("|", CONCATENATE(B946)) + 1)))</f>
        <v>UND</v>
      </c>
      <c r="H94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0111-ME</v>
      </c>
      <c r="I946" s="40" t="s">
        <v>472</v>
      </c>
      <c r="J94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0.19789999999999999</v>
      </c>
      <c r="K946" t="s">
        <v>125</v>
      </c>
    </row>
    <row r="947" spans="1:11" x14ac:dyDescent="0.35">
      <c r="A947" t="s">
        <v>256</v>
      </c>
      <c r="B947" t="s">
        <v>294</v>
      </c>
      <c r="C947" t="s">
        <v>263</v>
      </c>
      <c r="D947">
        <v>0.19889999999999999</v>
      </c>
      <c r="E947" t="s">
        <v>828</v>
      </c>
      <c r="F947">
        <v>2023</v>
      </c>
      <c r="G947" t="str">
        <f>TRIM(RIGHT(Table156[[#This Row],[Item-Codigo]], LEN(Table156[[#This Row],[Item-Codigo]]) - FIND("|", CONCATENATE(B947), FIND("|", CONCATENATE(B947)) + 1)))</f>
        <v>UND</v>
      </c>
      <c r="H94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0111-ME</v>
      </c>
      <c r="I947" s="40" t="s">
        <v>472</v>
      </c>
      <c r="J94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0.19889999999999999</v>
      </c>
      <c r="K947" t="s">
        <v>125</v>
      </c>
    </row>
    <row r="948" spans="1:11" x14ac:dyDescent="0.35">
      <c r="A948" t="s">
        <v>256</v>
      </c>
      <c r="B948" t="s">
        <v>892</v>
      </c>
      <c r="C948" t="s">
        <v>262</v>
      </c>
      <c r="D948">
        <v>0.221</v>
      </c>
      <c r="E948" t="s">
        <v>828</v>
      </c>
      <c r="F948">
        <v>2023</v>
      </c>
      <c r="G948" t="str">
        <f>TRIM(RIGHT(Table156[[#This Row],[Item-Codigo]], LEN(Table156[[#This Row],[Item-Codigo]]) - FIND("|", CONCATENATE(B948), FIND("|", CONCATENATE(B948)) + 1)))</f>
        <v>UND</v>
      </c>
      <c r="H94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0986-ME</v>
      </c>
      <c r="I948" s="40" t="s">
        <v>487</v>
      </c>
      <c r="J94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0.221</v>
      </c>
      <c r="K948" t="s">
        <v>120</v>
      </c>
    </row>
    <row r="949" spans="1:11" x14ac:dyDescent="0.35">
      <c r="A949" t="s">
        <v>256</v>
      </c>
      <c r="B949" t="s">
        <v>296</v>
      </c>
      <c r="C949" t="s">
        <v>263</v>
      </c>
      <c r="D949">
        <v>0.22509983059999999</v>
      </c>
      <c r="E949" t="s">
        <v>828</v>
      </c>
      <c r="F949">
        <v>2023</v>
      </c>
      <c r="G949" t="str">
        <f>TRIM(RIGHT(Table156[[#This Row],[Item-Codigo]], LEN(Table156[[#This Row],[Item-Codigo]]) - FIND("|", CONCATENATE(B949), FIND("|", CONCATENATE(B949)) + 1)))</f>
        <v>UND</v>
      </c>
      <c r="H94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1018-ME</v>
      </c>
      <c r="I949" s="40" t="s">
        <v>496</v>
      </c>
      <c r="J94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0.22509983059999999</v>
      </c>
      <c r="K949" t="s">
        <v>109</v>
      </c>
    </row>
    <row r="950" spans="1:11" x14ac:dyDescent="0.35">
      <c r="A950" t="s">
        <v>256</v>
      </c>
      <c r="B950" t="s">
        <v>300</v>
      </c>
      <c r="C950" t="s">
        <v>262</v>
      </c>
      <c r="D950">
        <v>0.22100105819999999</v>
      </c>
      <c r="E950" t="s">
        <v>828</v>
      </c>
      <c r="F950">
        <v>2023</v>
      </c>
      <c r="G950" t="str">
        <f>TRIM(RIGHT(Table156[[#This Row],[Item-Codigo]], LEN(Table156[[#This Row],[Item-Codigo]]) - FIND("|", CONCATENATE(B950), FIND("|", CONCATENATE(B950)) + 1)))</f>
        <v>UND</v>
      </c>
      <c r="H95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0751-ME</v>
      </c>
      <c r="I950" s="40" t="s">
        <v>480</v>
      </c>
      <c r="J95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0.22100105819999999</v>
      </c>
      <c r="K950" t="s">
        <v>110</v>
      </c>
    </row>
    <row r="951" spans="1:11" x14ac:dyDescent="0.35">
      <c r="A951" t="s">
        <v>256</v>
      </c>
      <c r="B951" t="s">
        <v>301</v>
      </c>
      <c r="C951" t="s">
        <v>267</v>
      </c>
      <c r="D951">
        <v>0.22600000000000001</v>
      </c>
      <c r="E951" t="s">
        <v>828</v>
      </c>
      <c r="F951">
        <v>2023</v>
      </c>
      <c r="G951" t="str">
        <f>TRIM(RIGHT(Table156[[#This Row],[Item-Codigo]], LEN(Table156[[#This Row],[Item-Codigo]]) - FIND("|", CONCATENATE(B951), FIND("|", CONCATENATE(B951)) + 1)))</f>
        <v>UND</v>
      </c>
      <c r="H95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0171-ME</v>
      </c>
      <c r="I951" s="40" t="s">
        <v>476</v>
      </c>
      <c r="J95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0.22600000000000001</v>
      </c>
      <c r="K951" t="s">
        <v>107</v>
      </c>
    </row>
    <row r="952" spans="1:11" x14ac:dyDescent="0.35">
      <c r="A952" t="s">
        <v>302</v>
      </c>
      <c r="B952" t="s">
        <v>303</v>
      </c>
      <c r="C952" t="s">
        <v>304</v>
      </c>
      <c r="D952">
        <v>2.4500000000000002</v>
      </c>
      <c r="E952" t="s">
        <v>828</v>
      </c>
      <c r="F952">
        <v>2023</v>
      </c>
      <c r="G952" t="str">
        <f>TRIM(RIGHT(Table156[[#This Row],[Item-Codigo]], LEN(Table156[[#This Row],[Item-Codigo]]) - FIND("|", CONCATENATE(B952), FIND("|", CONCATENATE(B952)) + 1)))</f>
        <v>KG</v>
      </c>
      <c r="H95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511.2</v>
      </c>
      <c r="I952" s="40" t="s">
        <v>545</v>
      </c>
      <c r="J95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2450</v>
      </c>
      <c r="K952" t="s">
        <v>130</v>
      </c>
    </row>
    <row r="953" spans="1:11" x14ac:dyDescent="0.35">
      <c r="A953" t="s">
        <v>302</v>
      </c>
      <c r="B953" t="s">
        <v>303</v>
      </c>
      <c r="C953" t="s">
        <v>215</v>
      </c>
      <c r="D953">
        <v>2.1549999999999998</v>
      </c>
      <c r="E953" t="s">
        <v>828</v>
      </c>
      <c r="F953">
        <v>2023</v>
      </c>
      <c r="G953" t="str">
        <f>TRIM(RIGHT(Table156[[#This Row],[Item-Codigo]], LEN(Table156[[#This Row],[Item-Codigo]]) - FIND("|", CONCATENATE(B953), FIND("|", CONCATENATE(B953)) + 1)))</f>
        <v>KG</v>
      </c>
      <c r="H95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511.2</v>
      </c>
      <c r="I953" s="40" t="s">
        <v>545</v>
      </c>
      <c r="J95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2155</v>
      </c>
      <c r="K953" t="s">
        <v>130</v>
      </c>
    </row>
    <row r="954" spans="1:11" x14ac:dyDescent="0.35">
      <c r="A954" t="s">
        <v>305</v>
      </c>
      <c r="B954" t="s">
        <v>306</v>
      </c>
      <c r="C954" t="s">
        <v>307</v>
      </c>
      <c r="D954">
        <v>5.6</v>
      </c>
      <c r="E954" t="s">
        <v>828</v>
      </c>
      <c r="F954">
        <v>2023</v>
      </c>
      <c r="G954" t="str">
        <f>TRIM(RIGHT(Table156[[#This Row],[Item-Codigo]], LEN(Table156[[#This Row],[Item-Codigo]]) - FIND("|", CONCATENATE(B954), FIND("|", CONCATENATE(B954)) + 1)))</f>
        <v>KG</v>
      </c>
      <c r="H95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732</v>
      </c>
      <c r="I954" s="40">
        <v>732</v>
      </c>
      <c r="J95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954" t="s">
        <v>1227</v>
      </c>
    </row>
    <row r="955" spans="1:11" x14ac:dyDescent="0.35">
      <c r="A955" t="s">
        <v>305</v>
      </c>
      <c r="B955" t="s">
        <v>312</v>
      </c>
      <c r="C955" t="s">
        <v>377</v>
      </c>
      <c r="D955">
        <v>7.95</v>
      </c>
      <c r="E955" t="s">
        <v>828</v>
      </c>
      <c r="F955">
        <v>2023</v>
      </c>
      <c r="G955" t="str">
        <f>TRIM(RIGHT(Table156[[#This Row],[Item-Codigo]], LEN(Table156[[#This Row],[Item-Codigo]]) - FIND("|", CONCATENATE(B955), FIND("|", CONCATENATE(B955)) + 1)))</f>
        <v>KG</v>
      </c>
      <c r="H95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317</v>
      </c>
      <c r="I955" s="40">
        <v>317</v>
      </c>
      <c r="J95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7950</v>
      </c>
      <c r="K955" t="s">
        <v>69</v>
      </c>
    </row>
    <row r="956" spans="1:11" x14ac:dyDescent="0.35">
      <c r="A956" t="s">
        <v>305</v>
      </c>
      <c r="B956" t="s">
        <v>316</v>
      </c>
      <c r="C956" t="s">
        <v>317</v>
      </c>
      <c r="D956">
        <v>65</v>
      </c>
      <c r="E956" t="s">
        <v>828</v>
      </c>
      <c r="F956">
        <v>2023</v>
      </c>
      <c r="G956" t="str">
        <f>TRIM(RIGHT(Table156[[#This Row],[Item-Codigo]], LEN(Table156[[#This Row],[Item-Codigo]]) - FIND("|", CONCATENATE(B956), FIND("|", CONCATENATE(B956)) + 1)))</f>
        <v>KG</v>
      </c>
      <c r="H95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929</v>
      </c>
      <c r="I956" s="40">
        <v>929</v>
      </c>
      <c r="J95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65000</v>
      </c>
      <c r="K956" t="s">
        <v>71</v>
      </c>
    </row>
    <row r="957" spans="1:11" x14ac:dyDescent="0.35">
      <c r="A957" t="s">
        <v>305</v>
      </c>
      <c r="B957" t="s">
        <v>318</v>
      </c>
      <c r="C957" t="s">
        <v>319</v>
      </c>
      <c r="D957">
        <v>6</v>
      </c>
      <c r="E957" t="s">
        <v>828</v>
      </c>
      <c r="F957">
        <v>2023</v>
      </c>
      <c r="G957" t="str">
        <f>TRIM(RIGHT(Table156[[#This Row],[Item-Codigo]], LEN(Table156[[#This Row],[Item-Codigo]]) - FIND("|", CONCATENATE(B957), FIND("|", CONCATENATE(B957)) + 1)))</f>
        <v>KG</v>
      </c>
      <c r="H95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900</v>
      </c>
      <c r="I957" s="40">
        <v>900</v>
      </c>
      <c r="J95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957" t="s">
        <v>72</v>
      </c>
    </row>
    <row r="958" spans="1:11" x14ac:dyDescent="0.35">
      <c r="A958" t="s">
        <v>305</v>
      </c>
      <c r="B958" t="s">
        <v>320</v>
      </c>
      <c r="C958" t="s">
        <v>321</v>
      </c>
      <c r="D958">
        <v>8.75</v>
      </c>
      <c r="E958" t="s">
        <v>828</v>
      </c>
      <c r="F958">
        <v>2023</v>
      </c>
      <c r="G958" t="str">
        <f>TRIM(RIGHT(Table156[[#This Row],[Item-Codigo]], LEN(Table156[[#This Row],[Item-Codigo]]) - FIND("|", CONCATENATE(B958), FIND("|", CONCATENATE(B958)) + 1)))</f>
        <v>KG</v>
      </c>
      <c r="H95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1009</v>
      </c>
      <c r="I958" s="40">
        <v>1009</v>
      </c>
      <c r="J95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8750</v>
      </c>
      <c r="K958" t="s">
        <v>73</v>
      </c>
    </row>
    <row r="959" spans="1:11" x14ac:dyDescent="0.35">
      <c r="A959" t="s">
        <v>305</v>
      </c>
      <c r="B959" t="s">
        <v>325</v>
      </c>
      <c r="C959" t="s">
        <v>319</v>
      </c>
      <c r="D959">
        <v>5.6</v>
      </c>
      <c r="E959" t="s">
        <v>828</v>
      </c>
      <c r="F959">
        <v>2023</v>
      </c>
      <c r="G959" t="str">
        <f>TRIM(RIGHT(Table156[[#This Row],[Item-Codigo]], LEN(Table156[[#This Row],[Item-Codigo]]) - FIND("|", CONCATENATE(B959), FIND("|", CONCATENATE(B959)) + 1)))</f>
        <v>KG</v>
      </c>
      <c r="H95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1045</v>
      </c>
      <c r="I959" s="40">
        <v>1045</v>
      </c>
      <c r="J95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959" t="s">
        <v>76</v>
      </c>
    </row>
    <row r="960" spans="1:11" x14ac:dyDescent="0.35">
      <c r="A960" t="s">
        <v>305</v>
      </c>
      <c r="B960" t="s">
        <v>326</v>
      </c>
      <c r="C960" t="s">
        <v>327</v>
      </c>
      <c r="D960">
        <v>5.85</v>
      </c>
      <c r="E960" t="s">
        <v>828</v>
      </c>
      <c r="F960">
        <v>2023</v>
      </c>
      <c r="G960" t="str">
        <f>TRIM(RIGHT(Table156[[#This Row],[Item-Codigo]], LEN(Table156[[#This Row],[Item-Codigo]]) - FIND("|", CONCATENATE(B960), FIND("|", CONCATENATE(B960)) + 1)))</f>
        <v>KG</v>
      </c>
      <c r="H96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470.5</v>
      </c>
      <c r="I960" s="40" t="s">
        <v>536</v>
      </c>
      <c r="J96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5850</v>
      </c>
      <c r="K960" t="s">
        <v>77</v>
      </c>
    </row>
    <row r="961" spans="1:11" x14ac:dyDescent="0.35">
      <c r="A961" t="s">
        <v>305</v>
      </c>
      <c r="B961" t="s">
        <v>328</v>
      </c>
      <c r="C961" t="s">
        <v>329</v>
      </c>
      <c r="D961">
        <v>1.53</v>
      </c>
      <c r="E961" t="s">
        <v>828</v>
      </c>
      <c r="F961">
        <v>2023</v>
      </c>
      <c r="G961" t="str">
        <f>TRIM(RIGHT(Table156[[#This Row],[Item-Codigo]], LEN(Table156[[#This Row],[Item-Codigo]]) - FIND("|", CONCATENATE(B961), FIND("|", CONCATENATE(B961)) + 1)))</f>
        <v>KG</v>
      </c>
      <c r="H96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495</v>
      </c>
      <c r="I961" s="40">
        <v>495</v>
      </c>
      <c r="J96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1530</v>
      </c>
      <c r="K961" t="s">
        <v>78</v>
      </c>
    </row>
    <row r="962" spans="1:11" x14ac:dyDescent="0.35">
      <c r="A962" t="s">
        <v>305</v>
      </c>
      <c r="B962" t="s">
        <v>335</v>
      </c>
      <c r="C962" t="s">
        <v>309</v>
      </c>
      <c r="D962">
        <v>1.45</v>
      </c>
      <c r="E962" t="s">
        <v>828</v>
      </c>
      <c r="F962">
        <v>2023</v>
      </c>
      <c r="G962" t="str">
        <f>TRIM(RIGHT(Table156[[#This Row],[Item-Codigo]], LEN(Table156[[#This Row],[Item-Codigo]]) - FIND("|", CONCATENATE(B962), FIND("|", CONCATENATE(B962)) + 1)))</f>
        <v>KG</v>
      </c>
      <c r="H96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131.3</v>
      </c>
      <c r="I962" s="40" t="s">
        <v>523</v>
      </c>
      <c r="J96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1450</v>
      </c>
      <c r="K962" t="s">
        <v>83</v>
      </c>
    </row>
    <row r="963" spans="1:11" x14ac:dyDescent="0.35">
      <c r="A963" t="s">
        <v>305</v>
      </c>
      <c r="B963" t="s">
        <v>336</v>
      </c>
      <c r="C963" t="s">
        <v>327</v>
      </c>
      <c r="D963">
        <v>5</v>
      </c>
      <c r="E963" t="s">
        <v>828</v>
      </c>
      <c r="F963">
        <v>2023</v>
      </c>
      <c r="G963" t="str">
        <f>TRIM(RIGHT(Table156[[#This Row],[Item-Codigo]], LEN(Table156[[#This Row],[Item-Codigo]]) - FIND("|", CONCATENATE(B963), FIND("|", CONCATENATE(B963)) + 1)))</f>
        <v>KG</v>
      </c>
      <c r="H96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340.1</v>
      </c>
      <c r="I963" s="40" t="s">
        <v>529</v>
      </c>
      <c r="J96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5000</v>
      </c>
      <c r="K963" t="s">
        <v>84</v>
      </c>
    </row>
    <row r="964" spans="1:11" x14ac:dyDescent="0.35">
      <c r="A964" t="s">
        <v>305</v>
      </c>
      <c r="B964" t="s">
        <v>337</v>
      </c>
      <c r="C964" t="s">
        <v>307</v>
      </c>
      <c r="D964">
        <v>12.95</v>
      </c>
      <c r="E964" t="s">
        <v>828</v>
      </c>
      <c r="F964">
        <v>2023</v>
      </c>
      <c r="G964" t="str">
        <f>TRIM(RIGHT(Table156[[#This Row],[Item-Codigo]], LEN(Table156[[#This Row],[Item-Codigo]]) - FIND("|", CONCATENATE(B964), FIND("|", CONCATENATE(B964)) + 1)))</f>
        <v>KG</v>
      </c>
      <c r="H96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936</v>
      </c>
      <c r="I964" s="40">
        <v>936</v>
      </c>
      <c r="J96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12950</v>
      </c>
      <c r="K964" t="s">
        <v>85</v>
      </c>
    </row>
    <row r="965" spans="1:11" x14ac:dyDescent="0.35">
      <c r="A965" t="s">
        <v>305</v>
      </c>
      <c r="B965" t="s">
        <v>338</v>
      </c>
      <c r="C965" t="s">
        <v>307</v>
      </c>
      <c r="D965">
        <v>11</v>
      </c>
      <c r="E965" t="s">
        <v>828</v>
      </c>
      <c r="F965">
        <v>2023</v>
      </c>
      <c r="G965" t="str">
        <f>TRIM(RIGHT(Table156[[#This Row],[Item-Codigo]], LEN(Table156[[#This Row],[Item-Codigo]]) - FIND("|", CONCATENATE(B965), FIND("|", CONCATENATE(B965)) + 1)))</f>
        <v>KG</v>
      </c>
      <c r="H96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937</v>
      </c>
      <c r="I965" s="40">
        <v>937</v>
      </c>
      <c r="J96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11000</v>
      </c>
      <c r="K965" t="s">
        <v>86</v>
      </c>
    </row>
    <row r="966" spans="1:11" x14ac:dyDescent="0.35">
      <c r="A966" t="s">
        <v>305</v>
      </c>
      <c r="B966" t="s">
        <v>344</v>
      </c>
      <c r="C966" t="s">
        <v>345</v>
      </c>
      <c r="D966">
        <v>95</v>
      </c>
      <c r="E966" t="s">
        <v>828</v>
      </c>
      <c r="F966">
        <v>2023</v>
      </c>
      <c r="G966" t="str">
        <f>TRIM(RIGHT(Table156[[#This Row],[Item-Codigo]], LEN(Table156[[#This Row],[Item-Codigo]]) - FIND("|", CONCATENATE(B966), FIND("|", CONCATENATE(B966)) + 1)))</f>
        <v>KG</v>
      </c>
      <c r="H96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912.5</v>
      </c>
      <c r="I966" s="40" t="s">
        <v>555</v>
      </c>
      <c r="J96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95000</v>
      </c>
      <c r="K966" t="s">
        <v>90</v>
      </c>
    </row>
    <row r="967" spans="1:11" x14ac:dyDescent="0.35">
      <c r="A967" t="s">
        <v>305</v>
      </c>
      <c r="B967" t="s">
        <v>347</v>
      </c>
      <c r="C967" t="s">
        <v>348</v>
      </c>
      <c r="D967">
        <v>18</v>
      </c>
      <c r="E967" t="s">
        <v>828</v>
      </c>
      <c r="F967">
        <v>2023</v>
      </c>
      <c r="G967" t="str">
        <f>TRIM(RIGHT(Table156[[#This Row],[Item-Codigo]], LEN(Table156[[#This Row],[Item-Codigo]]) - FIND("|", CONCATENATE(B967), FIND("|", CONCATENATE(B967)) + 1)))</f>
        <v>KG</v>
      </c>
      <c r="H96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550</v>
      </c>
      <c r="I967" s="40">
        <v>550</v>
      </c>
      <c r="J96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18000</v>
      </c>
      <c r="K967" t="s">
        <v>92</v>
      </c>
    </row>
    <row r="968" spans="1:11" x14ac:dyDescent="0.35">
      <c r="A968" t="s">
        <v>305</v>
      </c>
      <c r="B968" t="s">
        <v>349</v>
      </c>
      <c r="C968" t="s">
        <v>235</v>
      </c>
      <c r="D968">
        <v>2.9</v>
      </c>
      <c r="E968" t="s">
        <v>828</v>
      </c>
      <c r="F968">
        <v>2023</v>
      </c>
      <c r="G968" t="str">
        <f>TRIM(RIGHT(Table156[[#This Row],[Item-Codigo]], LEN(Table156[[#This Row],[Item-Codigo]]) - FIND("|", CONCATENATE(B968), FIND("|", CONCATENATE(B968)) + 1)))</f>
        <v>KG</v>
      </c>
      <c r="H96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160</v>
      </c>
      <c r="I968" s="40">
        <v>160</v>
      </c>
      <c r="J96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2900</v>
      </c>
      <c r="K968" t="s">
        <v>175</v>
      </c>
    </row>
    <row r="969" spans="1:11" x14ac:dyDescent="0.35">
      <c r="A969" t="s">
        <v>305</v>
      </c>
      <c r="B969" t="s">
        <v>350</v>
      </c>
      <c r="C969" t="s">
        <v>239</v>
      </c>
      <c r="D969">
        <v>1.86</v>
      </c>
      <c r="E969" t="s">
        <v>828</v>
      </c>
      <c r="F969">
        <v>2023</v>
      </c>
      <c r="G969" t="str">
        <f>TRIM(RIGHT(Table156[[#This Row],[Item-Codigo]], LEN(Table156[[#This Row],[Item-Codigo]]) - FIND("|", CONCATENATE(B969), FIND("|", CONCATENATE(B969)) + 1)))</f>
        <v>KG</v>
      </c>
      <c r="H96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173</v>
      </c>
      <c r="I969" s="40">
        <v>173</v>
      </c>
      <c r="J96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1860</v>
      </c>
      <c r="K969" t="s">
        <v>138</v>
      </c>
    </row>
    <row r="970" spans="1:11" x14ac:dyDescent="0.35">
      <c r="A970" t="s">
        <v>305</v>
      </c>
      <c r="B970" t="s">
        <v>352</v>
      </c>
      <c r="C970" t="s">
        <v>353</v>
      </c>
      <c r="D970">
        <v>9.35</v>
      </c>
      <c r="E970" t="s">
        <v>828</v>
      </c>
      <c r="F970">
        <v>2023</v>
      </c>
      <c r="G970" t="str">
        <f>TRIM(RIGHT(Table156[[#This Row],[Item-Codigo]], LEN(Table156[[#This Row],[Item-Codigo]]) - FIND("|", CONCATENATE(B970), FIND("|", CONCATENATE(B970)) + 1)))</f>
        <v>KG</v>
      </c>
      <c r="H97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742</v>
      </c>
      <c r="I970" s="40">
        <v>742</v>
      </c>
      <c r="J97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9350</v>
      </c>
      <c r="K970" t="s">
        <v>147</v>
      </c>
    </row>
    <row r="971" spans="1:11" x14ac:dyDescent="0.35">
      <c r="A971" t="s">
        <v>305</v>
      </c>
      <c r="B971" t="s">
        <v>354</v>
      </c>
      <c r="C971" t="s">
        <v>353</v>
      </c>
      <c r="D971">
        <v>9.24</v>
      </c>
      <c r="E971" t="s">
        <v>828</v>
      </c>
      <c r="F971">
        <v>2023</v>
      </c>
      <c r="G971" t="str">
        <f>TRIM(RIGHT(Table156[[#This Row],[Item-Codigo]], LEN(Table156[[#This Row],[Item-Codigo]]) - FIND("|", CONCATENATE(B971), FIND("|", CONCATENATE(B971)) + 1)))</f>
        <v>KG</v>
      </c>
      <c r="H97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741</v>
      </c>
      <c r="I971" s="40">
        <v>741</v>
      </c>
      <c r="J97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9240</v>
      </c>
      <c r="K971" t="s">
        <v>146</v>
      </c>
    </row>
    <row r="972" spans="1:11" x14ac:dyDescent="0.35">
      <c r="A972" t="s">
        <v>305</v>
      </c>
      <c r="B972" t="s">
        <v>355</v>
      </c>
      <c r="C972" t="s">
        <v>353</v>
      </c>
      <c r="D972">
        <v>8.85</v>
      </c>
      <c r="E972" t="s">
        <v>828</v>
      </c>
      <c r="F972">
        <v>2023</v>
      </c>
      <c r="G972" t="str">
        <f>TRIM(RIGHT(Table156[[#This Row],[Item-Codigo]], LEN(Table156[[#This Row],[Item-Codigo]]) - FIND("|", CONCATENATE(B972), FIND("|", CONCATENATE(B972)) + 1)))</f>
        <v>KG</v>
      </c>
      <c r="H97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740</v>
      </c>
      <c r="I972" s="40">
        <v>740</v>
      </c>
      <c r="J97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8850</v>
      </c>
      <c r="K972" t="s">
        <v>143</v>
      </c>
    </row>
    <row r="973" spans="1:11" x14ac:dyDescent="0.35">
      <c r="A973" t="s">
        <v>305</v>
      </c>
      <c r="B973" t="s">
        <v>359</v>
      </c>
      <c r="C973" t="s">
        <v>404</v>
      </c>
      <c r="D973">
        <v>1.38</v>
      </c>
      <c r="E973" t="s">
        <v>828</v>
      </c>
      <c r="F973">
        <v>2023</v>
      </c>
      <c r="G973" t="str">
        <f>TRIM(RIGHT(Table156[[#This Row],[Item-Codigo]], LEN(Table156[[#This Row],[Item-Codigo]]) - FIND("|", CONCATENATE(B973), FIND("|", CONCATENATE(B973)) + 1)))</f>
        <v>KG</v>
      </c>
      <c r="H97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</v>
      </c>
      <c r="I973" s="40">
        <v>45</v>
      </c>
      <c r="J97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1380</v>
      </c>
      <c r="K973" t="s">
        <v>131</v>
      </c>
    </row>
    <row r="974" spans="1:11" x14ac:dyDescent="0.35">
      <c r="A974" t="s">
        <v>305</v>
      </c>
      <c r="B974" t="s">
        <v>362</v>
      </c>
      <c r="C974" t="s">
        <v>363</v>
      </c>
      <c r="D974">
        <v>1.3148</v>
      </c>
      <c r="E974" t="s">
        <v>828</v>
      </c>
      <c r="F974">
        <v>2023</v>
      </c>
      <c r="G974" t="str">
        <f>TRIM(RIGHT(Table156[[#This Row],[Item-Codigo]], LEN(Table156[[#This Row],[Item-Codigo]]) - FIND("|", CONCATENATE(B974), FIND("|", CONCATENATE(B974)) + 1)))</f>
        <v>KG</v>
      </c>
      <c r="H97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439</v>
      </c>
      <c r="I974" s="40">
        <v>439</v>
      </c>
      <c r="J97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1314.8</v>
      </c>
      <c r="K974" t="s">
        <v>137</v>
      </c>
    </row>
    <row r="975" spans="1:11" x14ac:dyDescent="0.35">
      <c r="A975" t="s">
        <v>305</v>
      </c>
      <c r="B975" t="s">
        <v>364</v>
      </c>
      <c r="C975" t="s">
        <v>365</v>
      </c>
      <c r="D975">
        <v>1.43</v>
      </c>
      <c r="E975" t="s">
        <v>828</v>
      </c>
      <c r="F975">
        <v>2023</v>
      </c>
      <c r="G975" t="str">
        <f>TRIM(RIGHT(Table156[[#This Row],[Item-Codigo]], LEN(Table156[[#This Row],[Item-Codigo]]) - FIND("|", CONCATENATE(B975), FIND("|", CONCATENATE(B975)) + 1)))</f>
        <v>KG</v>
      </c>
      <c r="H97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488.1</v>
      </c>
      <c r="I975" s="40" t="s">
        <v>538</v>
      </c>
      <c r="J97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1430</v>
      </c>
      <c r="K975" t="s">
        <v>149</v>
      </c>
    </row>
    <row r="976" spans="1:11" x14ac:dyDescent="0.35">
      <c r="A976" t="s">
        <v>305</v>
      </c>
      <c r="B976" t="s">
        <v>913</v>
      </c>
      <c r="C976" t="s">
        <v>365</v>
      </c>
      <c r="D976">
        <v>3.57</v>
      </c>
      <c r="E976" t="s">
        <v>828</v>
      </c>
      <c r="F976">
        <v>2023</v>
      </c>
      <c r="G976" t="str">
        <f>TRIM(RIGHT(Table156[[#This Row],[Item-Codigo]], LEN(Table156[[#This Row],[Item-Codigo]]) - FIND("|", CONCATENATE(B976), FIND("|", CONCATENATE(B976)) + 1)))</f>
        <v>KG</v>
      </c>
      <c r="H97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499.12</v>
      </c>
      <c r="I976" s="40" t="s">
        <v>544</v>
      </c>
      <c r="J97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3570</v>
      </c>
      <c r="K976" t="s">
        <v>972</v>
      </c>
    </row>
    <row r="977" spans="1:11" x14ac:dyDescent="0.35">
      <c r="A977" t="s">
        <v>305</v>
      </c>
      <c r="B977" t="s">
        <v>367</v>
      </c>
      <c r="C977" t="s">
        <v>321</v>
      </c>
      <c r="D977">
        <v>2.15</v>
      </c>
      <c r="E977" t="s">
        <v>828</v>
      </c>
      <c r="F977">
        <v>2023</v>
      </c>
      <c r="G977" t="str">
        <f>TRIM(RIGHT(Table156[[#This Row],[Item-Codigo]], LEN(Table156[[#This Row],[Item-Codigo]]) - FIND("|", CONCATENATE(B977), FIND("|", CONCATENATE(B977)) + 1)))</f>
        <v>KG</v>
      </c>
      <c r="H97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910</v>
      </c>
      <c r="I977" s="40">
        <v>910</v>
      </c>
      <c r="J97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2150</v>
      </c>
      <c r="K977" t="s">
        <v>136</v>
      </c>
    </row>
    <row r="978" spans="1:11" x14ac:dyDescent="0.35">
      <c r="A978" t="s">
        <v>305</v>
      </c>
      <c r="B978" t="s">
        <v>368</v>
      </c>
      <c r="C978" t="s">
        <v>348</v>
      </c>
      <c r="D978">
        <v>4.5</v>
      </c>
      <c r="E978" t="s">
        <v>828</v>
      </c>
      <c r="F978">
        <v>2023</v>
      </c>
      <c r="G978" t="str">
        <f>TRIM(RIGHT(Table156[[#This Row],[Item-Codigo]], LEN(Table156[[#This Row],[Item-Codigo]]) - FIND("|", CONCATENATE(B978), FIND("|", CONCATENATE(B978)) + 1)))</f>
        <v>KG</v>
      </c>
      <c r="H97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381</v>
      </c>
      <c r="I978" s="40">
        <v>381</v>
      </c>
      <c r="J97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4500</v>
      </c>
      <c r="K978" t="s">
        <v>74</v>
      </c>
    </row>
    <row r="979" spans="1:11" x14ac:dyDescent="0.35">
      <c r="A979" t="s">
        <v>305</v>
      </c>
      <c r="B979" t="s">
        <v>372</v>
      </c>
      <c r="C979" t="s">
        <v>373</v>
      </c>
      <c r="D979">
        <v>1.2</v>
      </c>
      <c r="E979" t="s">
        <v>828</v>
      </c>
      <c r="F979">
        <v>2023</v>
      </c>
      <c r="G979" t="str">
        <f>TRIM(RIGHT(Table156[[#This Row],[Item-Codigo]], LEN(Table156[[#This Row],[Item-Codigo]]) - FIND("|", CONCATENATE(B979), FIND("|", CONCATENATE(B979)) + 1)))</f>
        <v>KG</v>
      </c>
      <c r="H97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701.2</v>
      </c>
      <c r="I979" s="40" t="s">
        <v>553</v>
      </c>
      <c r="J97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1200</v>
      </c>
      <c r="K979" t="s">
        <v>140</v>
      </c>
    </row>
    <row r="980" spans="1:11" x14ac:dyDescent="0.35">
      <c r="A980" t="s">
        <v>305</v>
      </c>
      <c r="B980" t="s">
        <v>374</v>
      </c>
      <c r="C980" t="s">
        <v>317</v>
      </c>
      <c r="D980">
        <v>15.9</v>
      </c>
      <c r="E980" t="s">
        <v>828</v>
      </c>
      <c r="F980">
        <v>2023</v>
      </c>
      <c r="G980" t="str">
        <f>TRIM(RIGHT(Table156[[#This Row],[Item-Codigo]], LEN(Table156[[#This Row],[Item-Codigo]]) - FIND("|", CONCATENATE(B980), FIND("|", CONCATENATE(B980)) + 1)))</f>
        <v>KG</v>
      </c>
      <c r="H98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1051</v>
      </c>
      <c r="I980" s="40">
        <v>1051</v>
      </c>
      <c r="J98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15900</v>
      </c>
      <c r="K980" t="s">
        <v>173</v>
      </c>
    </row>
    <row r="981" spans="1:11" x14ac:dyDescent="0.35">
      <c r="A981" t="s">
        <v>305</v>
      </c>
      <c r="B981" t="s">
        <v>382</v>
      </c>
      <c r="C981" t="s">
        <v>327</v>
      </c>
      <c r="D981">
        <v>8</v>
      </c>
      <c r="E981" t="s">
        <v>828</v>
      </c>
      <c r="F981">
        <v>2023</v>
      </c>
      <c r="G981" t="str">
        <f>TRIM(RIGHT(Table156[[#This Row],[Item-Codigo]], LEN(Table156[[#This Row],[Item-Codigo]]) - FIND("|", CONCATENATE(B981), FIND("|", CONCATENATE(B981)) + 1)))</f>
        <v>KG</v>
      </c>
      <c r="H98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68</v>
      </c>
      <c r="I981" s="40">
        <v>68</v>
      </c>
      <c r="J98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8000</v>
      </c>
      <c r="K981" t="s">
        <v>160</v>
      </c>
    </row>
    <row r="982" spans="1:11" x14ac:dyDescent="0.35">
      <c r="A982" t="s">
        <v>305</v>
      </c>
      <c r="B982" t="s">
        <v>384</v>
      </c>
      <c r="C982" t="s">
        <v>385</v>
      </c>
      <c r="D982">
        <v>40</v>
      </c>
      <c r="E982" t="s">
        <v>828</v>
      </c>
      <c r="F982">
        <v>2023</v>
      </c>
      <c r="G982" t="str">
        <f>TRIM(RIGHT(Table156[[#This Row],[Item-Codigo]], LEN(Table156[[#This Row],[Item-Codigo]]) - FIND("|", CONCATENATE(B982), FIND("|", CONCATENATE(B982)) + 1)))</f>
        <v>KG</v>
      </c>
      <c r="H98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527.1</v>
      </c>
      <c r="I982" s="40" t="s">
        <v>547</v>
      </c>
      <c r="J98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40000</v>
      </c>
      <c r="K982" t="s">
        <v>1078</v>
      </c>
    </row>
    <row r="983" spans="1:11" x14ac:dyDescent="0.35">
      <c r="A983" t="s">
        <v>305</v>
      </c>
      <c r="B983" t="s">
        <v>386</v>
      </c>
      <c r="C983" t="s">
        <v>917</v>
      </c>
      <c r="D983">
        <v>6.4</v>
      </c>
      <c r="E983" t="s">
        <v>828</v>
      </c>
      <c r="F983">
        <v>2023</v>
      </c>
      <c r="G983" t="str">
        <f>TRIM(RIGHT(Table156[[#This Row],[Item-Codigo]], LEN(Table156[[#This Row],[Item-Codigo]]) - FIND("|", CONCATENATE(B983), FIND("|", CONCATENATE(B983)) + 1)))</f>
        <v>KG</v>
      </c>
      <c r="H98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110.2</v>
      </c>
      <c r="I983" s="40" t="s">
        <v>522</v>
      </c>
      <c r="J98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6400</v>
      </c>
      <c r="K983" t="s">
        <v>170</v>
      </c>
    </row>
    <row r="984" spans="1:11" x14ac:dyDescent="0.35">
      <c r="A984" t="s">
        <v>305</v>
      </c>
      <c r="B984" t="s">
        <v>388</v>
      </c>
      <c r="C984" t="s">
        <v>321</v>
      </c>
      <c r="D984">
        <v>7.4</v>
      </c>
      <c r="E984" t="s">
        <v>828</v>
      </c>
      <c r="F984">
        <v>2023</v>
      </c>
      <c r="G984" t="str">
        <f>TRIM(RIGHT(Table156[[#This Row],[Item-Codigo]], LEN(Table156[[#This Row],[Item-Codigo]]) - FIND("|", CONCATENATE(B984), FIND("|", CONCATENATE(B984)) + 1)))</f>
        <v>KG</v>
      </c>
      <c r="H98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1068</v>
      </c>
      <c r="I984" s="40">
        <v>1068</v>
      </c>
      <c r="J98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7400</v>
      </c>
      <c r="K984" t="s">
        <v>145</v>
      </c>
    </row>
    <row r="985" spans="1:11" x14ac:dyDescent="0.35">
      <c r="A985" t="s">
        <v>305</v>
      </c>
      <c r="B985" t="s">
        <v>394</v>
      </c>
      <c r="C985" t="s">
        <v>395</v>
      </c>
      <c r="D985">
        <v>19.75</v>
      </c>
      <c r="E985" t="s">
        <v>828</v>
      </c>
      <c r="F985">
        <v>2023</v>
      </c>
      <c r="G985" t="str">
        <f>TRIM(RIGHT(Table156[[#This Row],[Item-Codigo]], LEN(Table156[[#This Row],[Item-Codigo]]) - FIND("|", CONCATENATE(B985), FIND("|", CONCATENATE(B985)) + 1)))</f>
        <v>KG</v>
      </c>
      <c r="H98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</v>
      </c>
      <c r="I985" s="40">
        <v>70</v>
      </c>
      <c r="J98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19750</v>
      </c>
      <c r="K985" t="s">
        <v>159</v>
      </c>
    </row>
    <row r="986" spans="1:11" x14ac:dyDescent="0.35">
      <c r="A986" t="s">
        <v>305</v>
      </c>
      <c r="B986" t="s">
        <v>396</v>
      </c>
      <c r="C986" t="s">
        <v>345</v>
      </c>
      <c r="D986">
        <v>13.4</v>
      </c>
      <c r="E986" t="s">
        <v>828</v>
      </c>
      <c r="F986">
        <v>2023</v>
      </c>
      <c r="G986" t="str">
        <f>TRIM(RIGHT(Table156[[#This Row],[Item-Codigo]], LEN(Table156[[#This Row],[Item-Codigo]]) - FIND("|", CONCATENATE(B986), FIND("|", CONCATENATE(B986)) + 1)))</f>
        <v>KG</v>
      </c>
      <c r="H98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58</v>
      </c>
      <c r="I986" s="40">
        <v>58</v>
      </c>
      <c r="J98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13400</v>
      </c>
      <c r="K986" t="s">
        <v>172</v>
      </c>
    </row>
    <row r="987" spans="1:11" x14ac:dyDescent="0.35">
      <c r="A987" t="s">
        <v>305</v>
      </c>
      <c r="B987" t="s">
        <v>397</v>
      </c>
      <c r="C987" t="s">
        <v>327</v>
      </c>
      <c r="D987">
        <v>9</v>
      </c>
      <c r="E987" t="s">
        <v>828</v>
      </c>
      <c r="F987">
        <v>2023</v>
      </c>
      <c r="G987" t="str">
        <f>TRIM(RIGHT(Table156[[#This Row],[Item-Codigo]], LEN(Table156[[#This Row],[Item-Codigo]]) - FIND("|", CONCATENATE(B987), FIND("|", CONCATENATE(B987)) + 1)))</f>
        <v>KG</v>
      </c>
      <c r="H98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933</v>
      </c>
      <c r="I987" s="40">
        <v>933</v>
      </c>
      <c r="J98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987" t="s">
        <v>163</v>
      </c>
    </row>
    <row r="988" spans="1:11" x14ac:dyDescent="0.35">
      <c r="A988" t="s">
        <v>305</v>
      </c>
      <c r="B988" t="s">
        <v>919</v>
      </c>
      <c r="C988" t="s">
        <v>399</v>
      </c>
      <c r="D988">
        <v>4.0635532016999996</v>
      </c>
      <c r="E988" t="s">
        <v>828</v>
      </c>
      <c r="F988">
        <v>2023</v>
      </c>
      <c r="G988" t="str">
        <f>TRIM(RIGHT(Table156[[#This Row],[Item-Codigo]], LEN(Table156[[#This Row],[Item-Codigo]]) - FIND("|", CONCATENATE(B988), FIND("|", CONCATENATE(B988)) + 1)))</f>
        <v>S 25KG</v>
      </c>
      <c r="H98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704</v>
      </c>
      <c r="I988" s="40">
        <v>704</v>
      </c>
      <c r="J98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4063.5532016999996</v>
      </c>
      <c r="K988" t="s">
        <v>132</v>
      </c>
    </row>
    <row r="989" spans="1:11" x14ac:dyDescent="0.35">
      <c r="A989" t="s">
        <v>305</v>
      </c>
      <c r="B989" t="s">
        <v>400</v>
      </c>
      <c r="C989" t="s">
        <v>319</v>
      </c>
      <c r="D989">
        <v>14.5</v>
      </c>
      <c r="E989" t="s">
        <v>828</v>
      </c>
      <c r="F989">
        <v>2023</v>
      </c>
      <c r="G989" t="str">
        <f>TRIM(RIGHT(Table156[[#This Row],[Item-Codigo]], LEN(Table156[[#This Row],[Item-Codigo]]) - FIND("|", CONCATENATE(B989), FIND("|", CONCATENATE(B989)) + 1)))</f>
        <v>KG</v>
      </c>
      <c r="H98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907</v>
      </c>
      <c r="I989" s="40">
        <v>907</v>
      </c>
      <c r="J98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14500</v>
      </c>
      <c r="K989" t="s">
        <v>155</v>
      </c>
    </row>
    <row r="990" spans="1:11" x14ac:dyDescent="0.35">
      <c r="A990" t="s">
        <v>305</v>
      </c>
      <c r="B990" t="s">
        <v>401</v>
      </c>
      <c r="C990" t="s">
        <v>345</v>
      </c>
      <c r="D990">
        <v>33.85</v>
      </c>
      <c r="E990" t="s">
        <v>828</v>
      </c>
      <c r="F990">
        <v>2023</v>
      </c>
      <c r="G990" t="str">
        <f>TRIM(RIGHT(Table156[[#This Row],[Item-Codigo]], LEN(Table156[[#This Row],[Item-Codigo]]) - FIND("|", CONCATENATE(B990), FIND("|", CONCATENATE(B990)) + 1)))</f>
        <v>KG</v>
      </c>
      <c r="H99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1049</v>
      </c>
      <c r="I990" s="40">
        <v>1049</v>
      </c>
      <c r="J99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33850</v>
      </c>
      <c r="K990" t="s">
        <v>973</v>
      </c>
    </row>
    <row r="991" spans="1:11" x14ac:dyDescent="0.35">
      <c r="A991" t="s">
        <v>305</v>
      </c>
      <c r="B991" t="s">
        <v>402</v>
      </c>
      <c r="C991" t="s">
        <v>404</v>
      </c>
      <c r="D991">
        <v>3.1</v>
      </c>
      <c r="E991" t="s">
        <v>828</v>
      </c>
      <c r="F991">
        <v>2023</v>
      </c>
      <c r="G991" t="str">
        <f>TRIM(RIGHT(Table156[[#This Row],[Item-Codigo]], LEN(Table156[[#This Row],[Item-Codigo]]) - FIND("|", CONCATENATE(B991), FIND("|", CONCATENATE(B991)) + 1)))</f>
        <v>KG</v>
      </c>
      <c r="H99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716</v>
      </c>
      <c r="I991" s="40">
        <v>716</v>
      </c>
      <c r="J99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3100</v>
      </c>
      <c r="K991" t="s">
        <v>162</v>
      </c>
    </row>
    <row r="992" spans="1:11" x14ac:dyDescent="0.35">
      <c r="A992" t="s">
        <v>305</v>
      </c>
      <c r="B992" t="s">
        <v>413</v>
      </c>
      <c r="C992" t="s">
        <v>365</v>
      </c>
      <c r="D992">
        <v>1.9</v>
      </c>
      <c r="E992" t="s">
        <v>828</v>
      </c>
      <c r="F992">
        <v>2023</v>
      </c>
      <c r="G992" t="str">
        <f>TRIM(RIGHT(Table156[[#This Row],[Item-Codigo]], LEN(Table156[[#This Row],[Item-Codigo]]) - FIND("|", CONCATENATE(B992), FIND("|", CONCATENATE(B992)) + 1)))</f>
        <v>KG</v>
      </c>
      <c r="H99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456.12</v>
      </c>
      <c r="I992" s="40" t="s">
        <v>533</v>
      </c>
      <c r="J99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1900</v>
      </c>
      <c r="K992" t="s">
        <v>153</v>
      </c>
    </row>
    <row r="993" spans="1:11" x14ac:dyDescent="0.35">
      <c r="A993" t="s">
        <v>305</v>
      </c>
      <c r="B993" t="s">
        <v>931</v>
      </c>
      <c r="C993" t="s">
        <v>415</v>
      </c>
      <c r="D993">
        <v>3.82</v>
      </c>
      <c r="E993" t="s">
        <v>828</v>
      </c>
      <c r="F993">
        <v>2023</v>
      </c>
      <c r="G993" t="str">
        <f>TRIM(RIGHT(Table156[[#This Row],[Item-Codigo]], LEN(Table156[[#This Row],[Item-Codigo]]) - FIND("|", CONCATENATE(B993), FIND("|", CONCATENATE(B993)) + 1)))</f>
        <v>KG</v>
      </c>
      <c r="H99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456.9</v>
      </c>
      <c r="I993" s="40" t="s">
        <v>534</v>
      </c>
      <c r="J99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3820</v>
      </c>
      <c r="K993" t="s">
        <v>158</v>
      </c>
    </row>
    <row r="994" spans="1:11" x14ac:dyDescent="0.35">
      <c r="A994" t="s">
        <v>305</v>
      </c>
      <c r="B994" t="s">
        <v>414</v>
      </c>
      <c r="C994" t="s">
        <v>415</v>
      </c>
      <c r="D994">
        <v>6.96</v>
      </c>
      <c r="E994" t="s">
        <v>828</v>
      </c>
      <c r="F994">
        <v>2023</v>
      </c>
      <c r="G994" t="str">
        <f>TRIM(RIGHT(Table156[[#This Row],[Item-Codigo]], LEN(Table156[[#This Row],[Item-Codigo]]) - FIND("|", CONCATENATE(B994), FIND("|", CONCATENATE(B994)) + 1)))</f>
        <v>KG</v>
      </c>
      <c r="H99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455.3</v>
      </c>
      <c r="I994" s="40" t="s">
        <v>532</v>
      </c>
      <c r="J99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6960</v>
      </c>
      <c r="K994" t="s">
        <v>150</v>
      </c>
    </row>
    <row r="995" spans="1:11" x14ac:dyDescent="0.35">
      <c r="A995" t="s">
        <v>305</v>
      </c>
      <c r="B995" t="s">
        <v>416</v>
      </c>
      <c r="C995" t="s">
        <v>327</v>
      </c>
      <c r="D995">
        <v>2.3199999999999998</v>
      </c>
      <c r="E995" t="s">
        <v>828</v>
      </c>
      <c r="F995">
        <v>2023</v>
      </c>
      <c r="G995" t="str">
        <f>TRIM(RIGHT(Table156[[#This Row],[Item-Codigo]], LEN(Table156[[#This Row],[Item-Codigo]]) - FIND("|", CONCATENATE(B995), FIND("|", CONCATENATE(B995)) + 1)))</f>
        <v>KG</v>
      </c>
      <c r="H99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1007.5</v>
      </c>
      <c r="I995" s="40" t="s">
        <v>495</v>
      </c>
      <c r="J99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2320</v>
      </c>
      <c r="K995" t="s">
        <v>141</v>
      </c>
    </row>
    <row r="996" spans="1:11" x14ac:dyDescent="0.35">
      <c r="A996" t="s">
        <v>196</v>
      </c>
      <c r="B996" t="s">
        <v>814</v>
      </c>
      <c r="C996" t="s">
        <v>815</v>
      </c>
      <c r="D996">
        <v>0.31829283850000001</v>
      </c>
      <c r="E996" t="s">
        <v>816</v>
      </c>
      <c r="F996">
        <v>2023</v>
      </c>
      <c r="G996" t="str">
        <f>TRIM(RIGHT(Table156[[#This Row],[Item-Codigo]], LEN(Table156[[#This Row],[Item-Codigo]]) - FIND("|", CONCATENATE(B996), FIND("|", CONCATENATE(B996)) + 1)))</f>
        <v>KG</v>
      </c>
      <c r="H99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223</v>
      </c>
      <c r="I996" s="40">
        <v>223</v>
      </c>
      <c r="J99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318.29283850000002</v>
      </c>
      <c r="K996" t="s">
        <v>93</v>
      </c>
    </row>
    <row r="997" spans="1:11" x14ac:dyDescent="0.35">
      <c r="A997" t="s">
        <v>196</v>
      </c>
      <c r="B997" t="s">
        <v>814</v>
      </c>
      <c r="C997" t="s">
        <v>817</v>
      </c>
      <c r="D997">
        <v>0.39500000000000002</v>
      </c>
      <c r="E997" t="s">
        <v>816</v>
      </c>
      <c r="F997">
        <v>2023</v>
      </c>
      <c r="G997" t="str">
        <f>TRIM(RIGHT(Table156[[#This Row],[Item-Codigo]], LEN(Table156[[#This Row],[Item-Codigo]]) - FIND("|", CONCATENATE(B997), FIND("|", CONCATENATE(B997)) + 1)))</f>
        <v>KG</v>
      </c>
      <c r="H99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223</v>
      </c>
      <c r="I997" s="40">
        <v>223</v>
      </c>
      <c r="J99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395</v>
      </c>
      <c r="K997" t="s">
        <v>93</v>
      </c>
    </row>
    <row r="998" spans="1:11" x14ac:dyDescent="0.35">
      <c r="A998" t="s">
        <v>196</v>
      </c>
      <c r="B998" t="s">
        <v>214</v>
      </c>
      <c r="C998" t="s">
        <v>817</v>
      </c>
      <c r="D998">
        <v>395</v>
      </c>
      <c r="E998" t="s">
        <v>816</v>
      </c>
      <c r="F998">
        <v>2023</v>
      </c>
      <c r="G998" t="str">
        <f>TRIM(RIGHT(Table156[[#This Row],[Item-Codigo]], LEN(Table156[[#This Row],[Item-Codigo]]) - FIND("|", CONCATENATE(B998), FIND("|", CONCATENATE(B998)) + 1)))</f>
        <v>TM</v>
      </c>
      <c r="H99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223</v>
      </c>
      <c r="I998" s="40">
        <v>223</v>
      </c>
      <c r="J99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395</v>
      </c>
      <c r="K998" t="s">
        <v>93</v>
      </c>
    </row>
    <row r="999" spans="1:11" x14ac:dyDescent="0.35">
      <c r="A999" t="s">
        <v>196</v>
      </c>
      <c r="B999" t="s">
        <v>216</v>
      </c>
      <c r="C999" t="s">
        <v>215</v>
      </c>
      <c r="D999">
        <v>564.65308454219996</v>
      </c>
      <c r="E999" t="s">
        <v>816</v>
      </c>
      <c r="F999">
        <v>2023</v>
      </c>
      <c r="G999" t="str">
        <f>TRIM(RIGHT(Table156[[#This Row],[Item-Codigo]], LEN(Table156[[#This Row],[Item-Codigo]]) - FIND("|", CONCATENATE(B999), FIND("|", CONCATENATE(B999)) + 1)))</f>
        <v>TM</v>
      </c>
      <c r="H99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122</v>
      </c>
      <c r="I999" s="40">
        <v>122</v>
      </c>
      <c r="J99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564.65308454219996</v>
      </c>
      <c r="K999" t="s">
        <v>180</v>
      </c>
    </row>
    <row r="1000" spans="1:11" x14ac:dyDescent="0.35">
      <c r="A1000" t="s">
        <v>198</v>
      </c>
      <c r="B1000" t="s">
        <v>219</v>
      </c>
      <c r="C1000" t="s">
        <v>220</v>
      </c>
      <c r="D1000">
        <v>980</v>
      </c>
      <c r="E1000" t="s">
        <v>816</v>
      </c>
      <c r="F1000">
        <v>2023</v>
      </c>
      <c r="G1000" t="str">
        <f>TRIM(RIGHT(Table156[[#This Row],[Item-Codigo]], LEN(Table156[[#This Row],[Item-Codigo]]) - FIND("|", CONCATENATE(B1000), FIND("|", CONCATENATE(B1000)) + 1)))</f>
        <v>TM</v>
      </c>
      <c r="H100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000" s="40">
        <v>42</v>
      </c>
      <c r="J100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980</v>
      </c>
      <c r="K1000" t="s">
        <v>94</v>
      </c>
    </row>
    <row r="1001" spans="1:11" x14ac:dyDescent="0.35">
      <c r="A1001" t="s">
        <v>198</v>
      </c>
      <c r="B1001" t="s">
        <v>219</v>
      </c>
      <c r="C1001" t="s">
        <v>222</v>
      </c>
      <c r="D1001">
        <v>998</v>
      </c>
      <c r="E1001" t="s">
        <v>816</v>
      </c>
      <c r="F1001">
        <v>2023</v>
      </c>
      <c r="G1001" t="str">
        <f>TRIM(RIGHT(Table156[[#This Row],[Item-Codigo]], LEN(Table156[[#This Row],[Item-Codigo]]) - FIND("|", CONCATENATE(B1001), FIND("|", CONCATENATE(B1001)) + 1)))</f>
        <v>TM</v>
      </c>
      <c r="H100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001" s="40">
        <v>42</v>
      </c>
      <c r="J100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998</v>
      </c>
      <c r="K1001" t="s">
        <v>94</v>
      </c>
    </row>
    <row r="1002" spans="1:11" x14ac:dyDescent="0.35">
      <c r="A1002" t="s">
        <v>198</v>
      </c>
      <c r="B1002" t="s">
        <v>224</v>
      </c>
      <c r="C1002" t="s">
        <v>831</v>
      </c>
      <c r="D1002">
        <v>1750</v>
      </c>
      <c r="E1002" t="s">
        <v>816</v>
      </c>
      <c r="F1002">
        <v>2023</v>
      </c>
      <c r="G1002" t="str">
        <f>TRIM(RIGHT(Table156[[#This Row],[Item-Codigo]], LEN(Table156[[#This Row],[Item-Codigo]]) - FIND("|", CONCATENATE(B1002), FIND("|", CONCATENATE(B1002)) + 1)))</f>
        <v>TM</v>
      </c>
      <c r="H100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40</v>
      </c>
      <c r="I1002" s="40">
        <v>40</v>
      </c>
      <c r="J100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1750</v>
      </c>
      <c r="K1002" t="s">
        <v>95</v>
      </c>
    </row>
    <row r="1003" spans="1:11" x14ac:dyDescent="0.35">
      <c r="A1003" t="s">
        <v>198</v>
      </c>
      <c r="B1003" t="s">
        <v>225</v>
      </c>
      <c r="C1003" t="s">
        <v>226</v>
      </c>
      <c r="D1003">
        <v>387.00035784599999</v>
      </c>
      <c r="E1003" t="s">
        <v>816</v>
      </c>
      <c r="F1003">
        <v>2023</v>
      </c>
      <c r="G1003" t="str">
        <f>TRIM(RIGHT(Table156[[#This Row],[Item-Codigo]], LEN(Table156[[#This Row],[Item-Codigo]]) - FIND("|", CONCATENATE(B1003), FIND("|", CONCATENATE(B1003)) + 1)))</f>
        <v>TM</v>
      </c>
      <c r="H100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301</v>
      </c>
      <c r="I1003" s="40">
        <v>301</v>
      </c>
      <c r="J100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387.00035784599999</v>
      </c>
      <c r="K1003" t="s">
        <v>96</v>
      </c>
    </row>
    <row r="1004" spans="1:11" x14ac:dyDescent="0.35">
      <c r="A1004" t="s">
        <v>198</v>
      </c>
      <c r="B1004" t="s">
        <v>227</v>
      </c>
      <c r="C1004" t="s">
        <v>218</v>
      </c>
      <c r="D1004">
        <v>0.31954238280000002</v>
      </c>
      <c r="E1004" t="s">
        <v>816</v>
      </c>
      <c r="F1004">
        <v>2023</v>
      </c>
      <c r="G1004" t="str">
        <f>TRIM(RIGHT(Table156[[#This Row],[Item-Codigo]], LEN(Table156[[#This Row],[Item-Codigo]]) - FIND("|", CONCATENATE(B1004), FIND("|", CONCATENATE(B1004)) + 1)))</f>
        <v>KG</v>
      </c>
      <c r="H100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1004" s="40">
        <v>200</v>
      </c>
      <c r="J100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319.54238280000004</v>
      </c>
      <c r="K1004" t="s">
        <v>97</v>
      </c>
    </row>
    <row r="1005" spans="1:11" x14ac:dyDescent="0.35">
      <c r="A1005" t="s">
        <v>198</v>
      </c>
      <c r="B1005" t="s">
        <v>228</v>
      </c>
      <c r="C1005" t="s">
        <v>833</v>
      </c>
      <c r="D1005">
        <v>320</v>
      </c>
      <c r="E1005" t="s">
        <v>816</v>
      </c>
      <c r="F1005">
        <v>2023</v>
      </c>
      <c r="G1005" t="str">
        <f>TRIM(RIGHT(Table156[[#This Row],[Item-Codigo]], LEN(Table156[[#This Row],[Item-Codigo]]) - FIND("|", CONCATENATE(B1005), FIND("|", CONCATENATE(B1005)) + 1)))</f>
        <v>TM</v>
      </c>
      <c r="H100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1005" s="40">
        <v>200</v>
      </c>
      <c r="J100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320</v>
      </c>
      <c r="K1005" t="s">
        <v>97</v>
      </c>
    </row>
    <row r="1006" spans="1:11" x14ac:dyDescent="0.35">
      <c r="A1006" t="s">
        <v>198</v>
      </c>
      <c r="B1006" t="s">
        <v>230</v>
      </c>
      <c r="C1006" t="s">
        <v>231</v>
      </c>
      <c r="D1006">
        <v>4.5999999999999999E-2</v>
      </c>
      <c r="E1006" t="s">
        <v>816</v>
      </c>
      <c r="F1006">
        <v>2023</v>
      </c>
      <c r="G1006" t="str">
        <f>TRIM(RIGHT(Table156[[#This Row],[Item-Codigo]], LEN(Table156[[#This Row],[Item-Codigo]]) - FIND("|", CONCATENATE(B1006), FIND("|", CONCATENATE(B1006)) + 1)))</f>
        <v>KG</v>
      </c>
      <c r="H100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1006" s="40">
        <v>701</v>
      </c>
      <c r="J100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46</v>
      </c>
      <c r="K1006" t="s">
        <v>98</v>
      </c>
    </row>
    <row r="1007" spans="1:11" x14ac:dyDescent="0.35">
      <c r="A1007" t="s">
        <v>198</v>
      </c>
      <c r="B1007" t="s">
        <v>233</v>
      </c>
      <c r="C1007" t="s">
        <v>235</v>
      </c>
      <c r="D1007">
        <v>1950</v>
      </c>
      <c r="E1007" t="s">
        <v>816</v>
      </c>
      <c r="F1007">
        <v>2023</v>
      </c>
      <c r="G1007" t="str">
        <f>TRIM(RIGHT(Table156[[#This Row],[Item-Codigo]], LEN(Table156[[#This Row],[Item-Codigo]]) - FIND("|", CONCATENATE(B1007), FIND("|", CONCATENATE(B1007)) + 1)))</f>
        <v>TM</v>
      </c>
      <c r="H100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156.4</v>
      </c>
      <c r="I1007" s="40" t="s">
        <v>524</v>
      </c>
      <c r="J100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1950</v>
      </c>
      <c r="K1007" t="s">
        <v>977</v>
      </c>
    </row>
    <row r="1008" spans="1:11" x14ac:dyDescent="0.35">
      <c r="A1008" t="s">
        <v>198</v>
      </c>
      <c r="B1008" t="s">
        <v>233</v>
      </c>
      <c r="C1008" t="s">
        <v>236</v>
      </c>
      <c r="D1008">
        <v>1950</v>
      </c>
      <c r="E1008" t="s">
        <v>816</v>
      </c>
      <c r="F1008">
        <v>2023</v>
      </c>
      <c r="G1008" t="str">
        <f>TRIM(RIGHT(Table156[[#This Row],[Item-Codigo]], LEN(Table156[[#This Row],[Item-Codigo]]) - FIND("|", CONCATENATE(B1008), FIND("|", CONCATENATE(B1008)) + 1)))</f>
        <v>TM</v>
      </c>
      <c r="H100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156.4</v>
      </c>
      <c r="I1008" s="40" t="s">
        <v>524</v>
      </c>
      <c r="J100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1950</v>
      </c>
      <c r="K1008" t="s">
        <v>977</v>
      </c>
    </row>
    <row r="1009" spans="1:11" x14ac:dyDescent="0.35">
      <c r="A1009" t="s">
        <v>198</v>
      </c>
      <c r="B1009" t="s">
        <v>237</v>
      </c>
      <c r="C1009" t="s">
        <v>239</v>
      </c>
      <c r="D1009">
        <v>1269.1157618793</v>
      </c>
      <c r="E1009" t="s">
        <v>816</v>
      </c>
      <c r="F1009">
        <v>2023</v>
      </c>
      <c r="G1009" t="str">
        <f>TRIM(RIGHT(Table156[[#This Row],[Item-Codigo]], LEN(Table156[[#This Row],[Item-Codigo]]) - FIND("|", CONCATENATE(B1009), FIND("|", CONCATENATE(B1009)) + 1)))</f>
        <v>TM</v>
      </c>
      <c r="H100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1009" s="40">
        <v>116</v>
      </c>
      <c r="J100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1269.1157618793</v>
      </c>
      <c r="K1009" t="s">
        <v>99</v>
      </c>
    </row>
    <row r="1010" spans="1:11" x14ac:dyDescent="0.35">
      <c r="A1010" t="s">
        <v>198</v>
      </c>
      <c r="B1010" t="s">
        <v>838</v>
      </c>
      <c r="C1010" t="s">
        <v>238</v>
      </c>
      <c r="D1010">
        <v>935</v>
      </c>
      <c r="E1010" t="s">
        <v>816</v>
      </c>
      <c r="F1010">
        <v>2023</v>
      </c>
      <c r="G1010" t="str">
        <f>TRIM(RIGHT(Table156[[#This Row],[Item-Codigo]], LEN(Table156[[#This Row],[Item-Codigo]]) - FIND("|", CONCATENATE(B1010), FIND("|", CONCATENATE(B1010)) + 1)))</f>
        <v>TM</v>
      </c>
      <c r="H101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111.5</v>
      </c>
      <c r="I1010" s="40" t="s">
        <v>933</v>
      </c>
      <c r="J101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935</v>
      </c>
      <c r="K1010" t="s">
        <v>184</v>
      </c>
    </row>
    <row r="1011" spans="1:11" x14ac:dyDescent="0.35">
      <c r="A1011" t="s">
        <v>198</v>
      </c>
      <c r="B1011" t="s">
        <v>838</v>
      </c>
      <c r="C1011" t="s">
        <v>239</v>
      </c>
      <c r="D1011">
        <v>944.97438191280003</v>
      </c>
      <c r="E1011" t="s">
        <v>816</v>
      </c>
      <c r="F1011">
        <v>2023</v>
      </c>
      <c r="G1011" t="str">
        <f>TRIM(RIGHT(Table156[[#This Row],[Item-Codigo]], LEN(Table156[[#This Row],[Item-Codigo]]) - FIND("|", CONCATENATE(B1011), FIND("|", CONCATENATE(B1011)) + 1)))</f>
        <v>TM</v>
      </c>
      <c r="H101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111.5</v>
      </c>
      <c r="I1011" s="40" t="s">
        <v>933</v>
      </c>
      <c r="J101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944.97438191280003</v>
      </c>
      <c r="K1011" t="s">
        <v>184</v>
      </c>
    </row>
    <row r="1012" spans="1:11" x14ac:dyDescent="0.35">
      <c r="A1012" t="s">
        <v>198</v>
      </c>
      <c r="B1012" t="s">
        <v>843</v>
      </c>
      <c r="C1012" t="s">
        <v>241</v>
      </c>
      <c r="D1012">
        <v>0.76</v>
      </c>
      <c r="E1012" t="s">
        <v>816</v>
      </c>
      <c r="F1012">
        <v>2023</v>
      </c>
      <c r="G1012" t="str">
        <f>TRIM(RIGHT(Table156[[#This Row],[Item-Codigo]], LEN(Table156[[#This Row],[Item-Codigo]]) - FIND("|", CONCATENATE(B1012), FIND("|", CONCATENATE(B1012)) + 1)))</f>
        <v>KG</v>
      </c>
      <c r="H101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159.9</v>
      </c>
      <c r="I1012" s="40" t="s">
        <v>525</v>
      </c>
      <c r="J101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760</v>
      </c>
      <c r="K1012" t="s">
        <v>191</v>
      </c>
    </row>
    <row r="1013" spans="1:11" x14ac:dyDescent="0.35">
      <c r="A1013" t="s">
        <v>198</v>
      </c>
      <c r="B1013" t="s">
        <v>242</v>
      </c>
      <c r="C1013" t="s">
        <v>837</v>
      </c>
      <c r="D1013">
        <v>763.9363651507</v>
      </c>
      <c r="E1013" t="s">
        <v>816</v>
      </c>
      <c r="F1013">
        <v>2023</v>
      </c>
      <c r="G1013" t="str">
        <f>TRIM(RIGHT(Table156[[#This Row],[Item-Codigo]], LEN(Table156[[#This Row],[Item-Codigo]]) - FIND("|", CONCATENATE(B1013), FIND("|", CONCATENATE(B1013)) + 1)))</f>
        <v>TM</v>
      </c>
      <c r="H101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159.9</v>
      </c>
      <c r="I1013" s="40" t="s">
        <v>525</v>
      </c>
      <c r="J101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763.9363651507</v>
      </c>
      <c r="K1013" t="s">
        <v>191</v>
      </c>
    </row>
    <row r="1014" spans="1:11" x14ac:dyDescent="0.35">
      <c r="A1014" t="s">
        <v>198</v>
      </c>
      <c r="B1014" t="s">
        <v>245</v>
      </c>
      <c r="C1014" t="s">
        <v>246</v>
      </c>
      <c r="D1014">
        <v>260</v>
      </c>
      <c r="E1014" t="s">
        <v>816</v>
      </c>
      <c r="F1014">
        <v>2023</v>
      </c>
      <c r="G1014" t="str">
        <f>TRIM(RIGHT(Table156[[#This Row],[Item-Codigo]], LEN(Table156[[#This Row],[Item-Codigo]]) - FIND("|", CONCATENATE(B1014), FIND("|", CONCATENATE(B1014)) + 1)))</f>
        <v>TM</v>
      </c>
      <c r="H101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14</v>
      </c>
      <c r="I1014" s="40">
        <v>14</v>
      </c>
      <c r="J101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260</v>
      </c>
      <c r="K1014" t="s">
        <v>187</v>
      </c>
    </row>
    <row r="1015" spans="1:11" x14ac:dyDescent="0.35">
      <c r="A1015" t="s">
        <v>198</v>
      </c>
      <c r="B1015" t="s">
        <v>247</v>
      </c>
      <c r="C1015" t="s">
        <v>248</v>
      </c>
      <c r="D1015">
        <v>0.28650376910000003</v>
      </c>
      <c r="E1015" t="s">
        <v>816</v>
      </c>
      <c r="F1015">
        <v>2023</v>
      </c>
      <c r="G1015" t="str">
        <f>TRIM(RIGHT(Table156[[#This Row],[Item-Codigo]], LEN(Table156[[#This Row],[Item-Codigo]]) - FIND("|", CONCATENATE(B1015), FIND("|", CONCATENATE(B1015)) + 1)))</f>
        <v>KG</v>
      </c>
      <c r="H101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214</v>
      </c>
      <c r="I1015" s="40">
        <v>214</v>
      </c>
      <c r="J101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286.5037691</v>
      </c>
      <c r="K1015" t="s">
        <v>186</v>
      </c>
    </row>
    <row r="1016" spans="1:11" x14ac:dyDescent="0.35">
      <c r="A1016" t="s">
        <v>198</v>
      </c>
      <c r="B1016" t="s">
        <v>207</v>
      </c>
      <c r="C1016" t="s">
        <v>201</v>
      </c>
      <c r="D1016">
        <v>14.0000466709444</v>
      </c>
      <c r="E1016" t="s">
        <v>816</v>
      </c>
      <c r="F1016">
        <v>2023</v>
      </c>
      <c r="G1016" t="str">
        <f>TRIM(RIGHT(Table156[[#This Row],[Item-Codigo]], LEN(Table156[[#This Row],[Item-Codigo]]) - FIND("|", CONCATENATE(B1016), FIND("|", CONCATENATE(B1016)) + 1)))</f>
        <v>QQ</v>
      </c>
      <c r="H101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016" s="40">
        <v>410</v>
      </c>
      <c r="J1016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308.00102676077677</v>
      </c>
      <c r="K1016" t="s">
        <v>183</v>
      </c>
    </row>
    <row r="1017" spans="1:11" x14ac:dyDescent="0.35">
      <c r="A1017" t="s">
        <v>198</v>
      </c>
      <c r="B1017" t="s">
        <v>207</v>
      </c>
      <c r="C1017" t="s">
        <v>209</v>
      </c>
      <c r="D1017">
        <v>14.000046744466699</v>
      </c>
      <c r="E1017" t="s">
        <v>816</v>
      </c>
      <c r="F1017">
        <v>2023</v>
      </c>
      <c r="G1017" t="str">
        <f>TRIM(RIGHT(Table156[[#This Row],[Item-Codigo]], LEN(Table156[[#This Row],[Item-Codigo]]) - FIND("|", CONCATENATE(B1017), FIND("|", CONCATENATE(B1017)) + 1)))</f>
        <v>QQ</v>
      </c>
      <c r="H101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017" s="40">
        <v>410</v>
      </c>
      <c r="J1017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308.00102837826739</v>
      </c>
      <c r="K1017" t="s">
        <v>183</v>
      </c>
    </row>
    <row r="1018" spans="1:11" x14ac:dyDescent="0.35">
      <c r="A1018" t="s">
        <v>198</v>
      </c>
      <c r="B1018" t="s">
        <v>207</v>
      </c>
      <c r="C1018" t="s">
        <v>862</v>
      </c>
      <c r="D1018">
        <v>13.9533519864</v>
      </c>
      <c r="E1018" t="s">
        <v>816</v>
      </c>
      <c r="F1018">
        <v>2023</v>
      </c>
      <c r="G1018" t="str">
        <f>TRIM(RIGHT(Table156[[#This Row],[Item-Codigo]], LEN(Table156[[#This Row],[Item-Codigo]]) - FIND("|", CONCATENATE(B1018), FIND("|", CONCATENATE(B1018)) + 1)))</f>
        <v>QQ</v>
      </c>
      <c r="H101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018" s="40">
        <v>410</v>
      </c>
      <c r="J1018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306.97374370080001</v>
      </c>
      <c r="K1018" t="s">
        <v>183</v>
      </c>
    </row>
    <row r="1019" spans="1:11" x14ac:dyDescent="0.35">
      <c r="A1019" t="s">
        <v>198</v>
      </c>
      <c r="B1019" t="s">
        <v>207</v>
      </c>
      <c r="C1019" t="s">
        <v>210</v>
      </c>
      <c r="D1019">
        <v>13.9999831859111</v>
      </c>
      <c r="E1019" t="s">
        <v>816</v>
      </c>
      <c r="F1019">
        <v>2023</v>
      </c>
      <c r="G1019" t="str">
        <f>TRIM(RIGHT(Table156[[#This Row],[Item-Codigo]], LEN(Table156[[#This Row],[Item-Codigo]]) - FIND("|", CONCATENATE(B1019), FIND("|", CONCATENATE(B1019)) + 1)))</f>
        <v>QQ</v>
      </c>
      <c r="H101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019" s="40">
        <v>410</v>
      </c>
      <c r="J1019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307.99963009004421</v>
      </c>
      <c r="K1019" t="s">
        <v>183</v>
      </c>
    </row>
    <row r="1020" spans="1:11" x14ac:dyDescent="0.35">
      <c r="A1020" t="s">
        <v>198</v>
      </c>
      <c r="B1020" t="s">
        <v>207</v>
      </c>
      <c r="C1020" t="s">
        <v>211</v>
      </c>
      <c r="D1020">
        <v>14.1818142208</v>
      </c>
      <c r="E1020" t="s">
        <v>816</v>
      </c>
      <c r="F1020">
        <v>2023</v>
      </c>
      <c r="G1020" t="str">
        <f>TRIM(RIGHT(Table156[[#This Row],[Item-Codigo]], LEN(Table156[[#This Row],[Item-Codigo]]) - FIND("|", CONCATENATE(B1020), FIND("|", CONCATENATE(B1020)) + 1)))</f>
        <v>QQ</v>
      </c>
      <c r="H102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020" s="40">
        <v>410</v>
      </c>
      <c r="J1020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311.99991285760001</v>
      </c>
      <c r="K1020" t="s">
        <v>183</v>
      </c>
    </row>
    <row r="1021" spans="1:11" x14ac:dyDescent="0.35">
      <c r="A1021" t="s">
        <v>198</v>
      </c>
      <c r="B1021" t="s">
        <v>207</v>
      </c>
      <c r="C1021" t="s">
        <v>212</v>
      </c>
      <c r="D1021">
        <v>13.9799696464286</v>
      </c>
      <c r="E1021" t="s">
        <v>816</v>
      </c>
      <c r="F1021">
        <v>2023</v>
      </c>
      <c r="G1021" t="str">
        <f>TRIM(RIGHT(Table156[[#This Row],[Item-Codigo]], LEN(Table156[[#This Row],[Item-Codigo]]) - FIND("|", CONCATENATE(B1021), FIND("|", CONCATENATE(B1021)) + 1)))</f>
        <v>QQ</v>
      </c>
      <c r="H102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021" s="40">
        <v>410</v>
      </c>
      <c r="J1021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307.5593322214292</v>
      </c>
      <c r="K1021" t="s">
        <v>183</v>
      </c>
    </row>
    <row r="1022" spans="1:11" x14ac:dyDescent="0.35">
      <c r="A1022" t="s">
        <v>198</v>
      </c>
      <c r="B1022" t="s">
        <v>207</v>
      </c>
      <c r="C1022" t="s">
        <v>213</v>
      </c>
      <c r="D1022">
        <v>13.4733572792583</v>
      </c>
      <c r="E1022" t="s">
        <v>816</v>
      </c>
      <c r="F1022">
        <v>2023</v>
      </c>
      <c r="G1022" t="str">
        <f>TRIM(RIGHT(Table156[[#This Row],[Item-Codigo]], LEN(Table156[[#This Row],[Item-Codigo]]) - FIND("|", CONCATENATE(B1022), FIND("|", CONCATENATE(B1022)) + 1)))</f>
        <v>QQ</v>
      </c>
      <c r="H102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022" s="40">
        <v>410</v>
      </c>
      <c r="J1022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296.4138601436826</v>
      </c>
      <c r="K1022" t="s">
        <v>183</v>
      </c>
    </row>
    <row r="1023" spans="1:11" x14ac:dyDescent="0.35">
      <c r="A1023" t="s">
        <v>198</v>
      </c>
      <c r="B1023" t="s">
        <v>207</v>
      </c>
      <c r="C1023" t="s">
        <v>867</v>
      </c>
      <c r="D1023">
        <v>13.9912207401625</v>
      </c>
      <c r="E1023" t="s">
        <v>816</v>
      </c>
      <c r="F1023">
        <v>2023</v>
      </c>
      <c r="G1023" t="str">
        <f>TRIM(RIGHT(Table156[[#This Row],[Item-Codigo]], LEN(Table156[[#This Row],[Item-Codigo]]) - FIND("|", CONCATENATE(B1023), FIND("|", CONCATENATE(B1023)) + 1)))</f>
        <v>QQ</v>
      </c>
      <c r="H102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023" s="40">
        <v>410</v>
      </c>
      <c r="J1023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307.80685628357503</v>
      </c>
      <c r="K1023" t="s">
        <v>183</v>
      </c>
    </row>
    <row r="1024" spans="1:11" x14ac:dyDescent="0.35">
      <c r="A1024" t="s">
        <v>256</v>
      </c>
      <c r="B1024" t="s">
        <v>261</v>
      </c>
      <c r="C1024" t="s">
        <v>263</v>
      </c>
      <c r="D1024">
        <v>0.14879989869999999</v>
      </c>
      <c r="E1024" t="s">
        <v>816</v>
      </c>
      <c r="F1024">
        <v>2023</v>
      </c>
      <c r="G1024" t="str">
        <f>TRIM(RIGHT(Table156[[#This Row],[Item-Codigo]], LEN(Table156[[#This Row],[Item-Codigo]]) - FIND("|", CONCATENATE(B1024), FIND("|", CONCATENATE(B1024)) + 1)))</f>
        <v>UND</v>
      </c>
      <c r="H102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1024" s="40" t="s">
        <v>500</v>
      </c>
      <c r="J102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0.14879989869999999</v>
      </c>
      <c r="K1024" t="s">
        <v>43</v>
      </c>
    </row>
    <row r="1025" spans="1:11" x14ac:dyDescent="0.35">
      <c r="A1025" t="s">
        <v>256</v>
      </c>
      <c r="B1025" t="s">
        <v>268</v>
      </c>
      <c r="C1025" t="s">
        <v>262</v>
      </c>
      <c r="D1025">
        <v>0.17</v>
      </c>
      <c r="E1025" t="s">
        <v>816</v>
      </c>
      <c r="F1025">
        <v>2023</v>
      </c>
      <c r="G1025" t="str">
        <f>TRIM(RIGHT(Table156[[#This Row],[Item-Codigo]], LEN(Table156[[#This Row],[Item-Codigo]]) - FIND("|", CONCATENATE(B1025), FIND("|", CONCATENATE(B1025)) + 1)))</f>
        <v>UND</v>
      </c>
      <c r="H102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1028-ME</v>
      </c>
      <c r="I1025" s="40" t="s">
        <v>505</v>
      </c>
      <c r="J102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</v>
      </c>
      <c r="K1025" t="s">
        <v>48</v>
      </c>
    </row>
    <row r="1026" spans="1:11" x14ac:dyDescent="0.35">
      <c r="A1026" t="s">
        <v>256</v>
      </c>
      <c r="B1026" t="s">
        <v>273</v>
      </c>
      <c r="C1026" t="s">
        <v>263</v>
      </c>
      <c r="D1026">
        <v>0.14880026900000001</v>
      </c>
      <c r="E1026" t="s">
        <v>816</v>
      </c>
      <c r="F1026">
        <v>2023</v>
      </c>
      <c r="G1026" t="str">
        <f>TRIM(RIGHT(Table156[[#This Row],[Item-Codigo]], LEN(Table156[[#This Row],[Item-Codigo]]) - FIND("|", CONCATENATE(B1026), FIND("|", CONCATENATE(B1026)) + 1)))</f>
        <v>UND</v>
      </c>
      <c r="H102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1030-ME</v>
      </c>
      <c r="I1026" s="40" t="s">
        <v>507</v>
      </c>
      <c r="J102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0.14880026900000001</v>
      </c>
      <c r="K1026" t="s">
        <v>52</v>
      </c>
    </row>
    <row r="1027" spans="1:11" x14ac:dyDescent="0.35">
      <c r="A1027" t="s">
        <v>256</v>
      </c>
      <c r="B1027" t="s">
        <v>281</v>
      </c>
      <c r="C1027" t="s">
        <v>282</v>
      </c>
      <c r="D1027">
        <v>0.17150000000000001</v>
      </c>
      <c r="E1027" t="s">
        <v>816</v>
      </c>
      <c r="F1027">
        <v>2023</v>
      </c>
      <c r="G1027" t="str">
        <f>TRIM(RIGHT(Table156[[#This Row],[Item-Codigo]], LEN(Table156[[#This Row],[Item-Codigo]]) - FIND("|", CONCATENATE(B1027), FIND("|", CONCATENATE(B1027)) + 1)))</f>
        <v>UND</v>
      </c>
      <c r="H102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0077-ME</v>
      </c>
      <c r="I1027" s="40" t="s">
        <v>469</v>
      </c>
      <c r="J102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0.17150000000000001</v>
      </c>
      <c r="K1027" t="s">
        <v>63</v>
      </c>
    </row>
    <row r="1028" spans="1:11" x14ac:dyDescent="0.35">
      <c r="A1028" t="s">
        <v>256</v>
      </c>
      <c r="B1028" t="s">
        <v>284</v>
      </c>
      <c r="C1028" t="s">
        <v>285</v>
      </c>
      <c r="D1028">
        <v>4.5</v>
      </c>
      <c r="E1028" t="s">
        <v>816</v>
      </c>
      <c r="F1028">
        <v>2023</v>
      </c>
      <c r="G1028" t="str">
        <f>TRIM(RIGHT(Table156[[#This Row],[Item-Codigo]], LEN(Table156[[#This Row],[Item-Codigo]]) - FIND("|", CONCATENATE(B1028), FIND("|", CONCATENATE(B1028)) + 1)))</f>
        <v>UND</v>
      </c>
      <c r="H102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PIOLA (UNID)</v>
      </c>
      <c r="I1028" s="40" t="s">
        <v>558</v>
      </c>
      <c r="J102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4.5</v>
      </c>
      <c r="K1028" t="s">
        <v>127</v>
      </c>
    </row>
    <row r="1029" spans="1:11" x14ac:dyDescent="0.35">
      <c r="A1029" t="s">
        <v>256</v>
      </c>
      <c r="B1029" t="s">
        <v>288</v>
      </c>
      <c r="C1029" t="s">
        <v>262</v>
      </c>
      <c r="D1029">
        <v>0.22100058280000001</v>
      </c>
      <c r="E1029" t="s">
        <v>816</v>
      </c>
      <c r="F1029">
        <v>2023</v>
      </c>
      <c r="G1029" t="str">
        <f>TRIM(RIGHT(Table156[[#This Row],[Item-Codigo]], LEN(Table156[[#This Row],[Item-Codigo]]) - FIND("|", CONCATENATE(B1029), FIND("|", CONCATENATE(B1029)) + 1)))</f>
        <v>UND</v>
      </c>
      <c r="H102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0993-ME</v>
      </c>
      <c r="I1029" s="40" t="s">
        <v>490</v>
      </c>
      <c r="J102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0.22100058280000001</v>
      </c>
      <c r="K1029" t="s">
        <v>106</v>
      </c>
    </row>
    <row r="1030" spans="1:11" x14ac:dyDescent="0.35">
      <c r="A1030" t="s">
        <v>256</v>
      </c>
      <c r="B1030" t="s">
        <v>291</v>
      </c>
      <c r="C1030" t="s">
        <v>262</v>
      </c>
      <c r="D1030">
        <v>0.221</v>
      </c>
      <c r="E1030" t="s">
        <v>816</v>
      </c>
      <c r="F1030">
        <v>2023</v>
      </c>
      <c r="G1030" t="str">
        <f>TRIM(RIGHT(Table156[[#This Row],[Item-Codigo]], LEN(Table156[[#This Row],[Item-Codigo]]) - FIND("|", CONCATENATE(B1030), FIND("|", CONCATENATE(B1030)) + 1)))</f>
        <v>UND</v>
      </c>
      <c r="H103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0988-ME</v>
      </c>
      <c r="I1030" s="40" t="s">
        <v>489</v>
      </c>
      <c r="J103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0.221</v>
      </c>
      <c r="K1030" t="s">
        <v>119</v>
      </c>
    </row>
    <row r="1031" spans="1:11" x14ac:dyDescent="0.35">
      <c r="A1031" t="s">
        <v>256</v>
      </c>
      <c r="B1031" t="s">
        <v>293</v>
      </c>
      <c r="C1031" t="s">
        <v>263</v>
      </c>
      <c r="D1031">
        <v>0.21</v>
      </c>
      <c r="E1031" t="s">
        <v>816</v>
      </c>
      <c r="F1031">
        <v>2023</v>
      </c>
      <c r="G1031" t="str">
        <f>TRIM(RIGHT(Table156[[#This Row],[Item-Codigo]], LEN(Table156[[#This Row],[Item-Codigo]]) - FIND("|", CONCATENATE(B1031), FIND("|", CONCATENATE(B1031)) + 1)))</f>
        <v>UND</v>
      </c>
      <c r="H103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0201-ME</v>
      </c>
      <c r="I1031" s="40" t="s">
        <v>478</v>
      </c>
      <c r="J103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</v>
      </c>
      <c r="K1031" t="s">
        <v>105</v>
      </c>
    </row>
    <row r="1032" spans="1:11" x14ac:dyDescent="0.35">
      <c r="A1032" t="s">
        <v>256</v>
      </c>
      <c r="B1032" t="s">
        <v>294</v>
      </c>
      <c r="C1032" t="s">
        <v>263</v>
      </c>
      <c r="D1032">
        <v>0.19889989350000001</v>
      </c>
      <c r="E1032" t="s">
        <v>816</v>
      </c>
      <c r="F1032">
        <v>2023</v>
      </c>
      <c r="G1032" t="str">
        <f>TRIM(RIGHT(Table156[[#This Row],[Item-Codigo]], LEN(Table156[[#This Row],[Item-Codigo]]) - FIND("|", CONCATENATE(B1032), FIND("|", CONCATENATE(B1032)) + 1)))</f>
        <v>UND</v>
      </c>
      <c r="H103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0111-ME</v>
      </c>
      <c r="I1032" s="40" t="s">
        <v>472</v>
      </c>
      <c r="J103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0.19889989350000001</v>
      </c>
      <c r="K1032" t="s">
        <v>125</v>
      </c>
    </row>
    <row r="1033" spans="1:11" x14ac:dyDescent="0.35">
      <c r="A1033" t="s">
        <v>256</v>
      </c>
      <c r="B1033" t="s">
        <v>301</v>
      </c>
      <c r="C1033" t="s">
        <v>262</v>
      </c>
      <c r="D1033">
        <v>0.2296998985</v>
      </c>
      <c r="E1033" t="s">
        <v>816</v>
      </c>
      <c r="F1033">
        <v>2023</v>
      </c>
      <c r="G1033" t="str">
        <f>TRIM(RIGHT(Table156[[#This Row],[Item-Codigo]], LEN(Table156[[#This Row],[Item-Codigo]]) - FIND("|", CONCATENATE(B1033), FIND("|", CONCATENATE(B1033)) + 1)))</f>
        <v>UND</v>
      </c>
      <c r="H103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0171-ME</v>
      </c>
      <c r="I1033" s="40" t="s">
        <v>476</v>
      </c>
      <c r="J103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0.2296998985</v>
      </c>
      <c r="K1033" t="s">
        <v>107</v>
      </c>
    </row>
    <row r="1034" spans="1:11" x14ac:dyDescent="0.35">
      <c r="A1034" t="s">
        <v>305</v>
      </c>
      <c r="B1034" t="s">
        <v>306</v>
      </c>
      <c r="C1034" t="s">
        <v>307</v>
      </c>
      <c r="D1034">
        <v>5.6</v>
      </c>
      <c r="E1034" t="s">
        <v>816</v>
      </c>
      <c r="F1034">
        <v>2023</v>
      </c>
      <c r="G1034" t="str">
        <f>TRIM(RIGHT(Table156[[#This Row],[Item-Codigo]], LEN(Table156[[#This Row],[Item-Codigo]]) - FIND("|", CONCATENATE(B1034), FIND("|", CONCATENATE(B1034)) + 1)))</f>
        <v>KG</v>
      </c>
      <c r="H103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732</v>
      </c>
      <c r="I1034" s="40">
        <v>732</v>
      </c>
      <c r="J103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1034" t="s">
        <v>1227</v>
      </c>
    </row>
    <row r="1035" spans="1:11" x14ac:dyDescent="0.35">
      <c r="A1035" t="s">
        <v>305</v>
      </c>
      <c r="B1035" t="s">
        <v>310</v>
      </c>
      <c r="C1035" t="s">
        <v>311</v>
      </c>
      <c r="D1035">
        <v>1.92</v>
      </c>
      <c r="E1035" t="s">
        <v>816</v>
      </c>
      <c r="F1035">
        <v>2023</v>
      </c>
      <c r="G1035" t="str">
        <f>TRIM(RIGHT(Table156[[#This Row],[Item-Codigo]], LEN(Table156[[#This Row],[Item-Codigo]]) - FIND("|", CONCATENATE(B1035), FIND("|", CONCATENATE(B1035)) + 1)))</f>
        <v>KG</v>
      </c>
      <c r="H103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1010</v>
      </c>
      <c r="I1035" s="40">
        <v>1010</v>
      </c>
      <c r="J103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1920</v>
      </c>
      <c r="K1035" t="s">
        <v>68</v>
      </c>
    </row>
    <row r="1036" spans="1:11" x14ac:dyDescent="0.35">
      <c r="A1036" t="s">
        <v>305</v>
      </c>
      <c r="B1036" t="s">
        <v>312</v>
      </c>
      <c r="C1036" t="s">
        <v>377</v>
      </c>
      <c r="D1036">
        <v>7.95</v>
      </c>
      <c r="E1036" t="s">
        <v>816</v>
      </c>
      <c r="F1036">
        <v>2023</v>
      </c>
      <c r="G1036" t="str">
        <f>TRIM(RIGHT(Table156[[#This Row],[Item-Codigo]], LEN(Table156[[#This Row],[Item-Codigo]]) - FIND("|", CONCATENATE(B1036), FIND("|", CONCATENATE(B1036)) + 1)))</f>
        <v>KG</v>
      </c>
      <c r="H103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317</v>
      </c>
      <c r="I1036" s="40">
        <v>317</v>
      </c>
      <c r="J103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7950</v>
      </c>
      <c r="K1036" t="s">
        <v>69</v>
      </c>
    </row>
    <row r="1037" spans="1:11" x14ac:dyDescent="0.35">
      <c r="A1037" t="s">
        <v>305</v>
      </c>
      <c r="B1037" t="s">
        <v>320</v>
      </c>
      <c r="C1037" t="s">
        <v>321</v>
      </c>
      <c r="D1037">
        <v>8.75</v>
      </c>
      <c r="E1037" t="s">
        <v>816</v>
      </c>
      <c r="F1037">
        <v>2023</v>
      </c>
      <c r="G1037" t="str">
        <f>TRIM(RIGHT(Table156[[#This Row],[Item-Codigo]], LEN(Table156[[#This Row],[Item-Codigo]]) - FIND("|", CONCATENATE(B1037), FIND("|", CONCATENATE(B1037)) + 1)))</f>
        <v>KG</v>
      </c>
      <c r="H103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1009</v>
      </c>
      <c r="I1037" s="40">
        <v>1009</v>
      </c>
      <c r="J103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8750</v>
      </c>
      <c r="K1037" t="s">
        <v>73</v>
      </c>
    </row>
    <row r="1038" spans="1:11" x14ac:dyDescent="0.35">
      <c r="A1038" t="s">
        <v>305</v>
      </c>
      <c r="B1038" t="s">
        <v>324</v>
      </c>
      <c r="C1038" t="s">
        <v>323</v>
      </c>
      <c r="D1038">
        <v>4</v>
      </c>
      <c r="E1038" t="s">
        <v>816</v>
      </c>
      <c r="F1038">
        <v>2023</v>
      </c>
      <c r="G1038" t="str">
        <f>TRIM(RIGHT(Table156[[#This Row],[Item-Codigo]], LEN(Table156[[#This Row],[Item-Codigo]]) - FIND("|", CONCATENATE(B1038), FIND("|", CONCATENATE(B1038)) + 1)))</f>
        <v>KG</v>
      </c>
      <c r="H103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1070</v>
      </c>
      <c r="I1038" s="40">
        <v>1070</v>
      </c>
      <c r="J103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</v>
      </c>
      <c r="K1038" t="s">
        <v>75</v>
      </c>
    </row>
    <row r="1039" spans="1:11" x14ac:dyDescent="0.35">
      <c r="A1039" t="s">
        <v>305</v>
      </c>
      <c r="B1039" t="s">
        <v>325</v>
      </c>
      <c r="C1039" t="s">
        <v>319</v>
      </c>
      <c r="D1039">
        <v>5.6</v>
      </c>
      <c r="E1039" t="s">
        <v>816</v>
      </c>
      <c r="F1039">
        <v>2023</v>
      </c>
      <c r="G1039" t="str">
        <f>TRIM(RIGHT(Table156[[#This Row],[Item-Codigo]], LEN(Table156[[#This Row],[Item-Codigo]]) - FIND("|", CONCATENATE(B1039), FIND("|", CONCATENATE(B1039)) + 1)))</f>
        <v>KG</v>
      </c>
      <c r="H103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1045</v>
      </c>
      <c r="I1039" s="40">
        <v>1045</v>
      </c>
      <c r="J103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1039" t="s">
        <v>76</v>
      </c>
    </row>
    <row r="1040" spans="1:11" x14ac:dyDescent="0.35">
      <c r="A1040" t="s">
        <v>305</v>
      </c>
      <c r="B1040" t="s">
        <v>330</v>
      </c>
      <c r="C1040" t="s">
        <v>331</v>
      </c>
      <c r="D1040">
        <v>1.3</v>
      </c>
      <c r="E1040" t="s">
        <v>816</v>
      </c>
      <c r="F1040">
        <v>2023</v>
      </c>
      <c r="G1040" t="str">
        <f>TRIM(RIGHT(Table156[[#This Row],[Item-Codigo]], LEN(Table156[[#This Row],[Item-Codigo]]) - FIND("|", CONCATENATE(B1040), FIND("|", CONCATENATE(B1040)) + 1)))</f>
        <v>KG</v>
      </c>
      <c r="H104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744</v>
      </c>
      <c r="I1040" s="40">
        <v>744</v>
      </c>
      <c r="J104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1300</v>
      </c>
      <c r="K1040" t="s">
        <v>80</v>
      </c>
    </row>
    <row r="1041" spans="1:11" x14ac:dyDescent="0.35">
      <c r="A1041" t="s">
        <v>305</v>
      </c>
      <c r="B1041" t="s">
        <v>332</v>
      </c>
      <c r="C1041" t="s">
        <v>333</v>
      </c>
      <c r="D1041">
        <v>1.69</v>
      </c>
      <c r="E1041" t="s">
        <v>816</v>
      </c>
      <c r="F1041">
        <v>2023</v>
      </c>
      <c r="G1041" t="str">
        <f>TRIM(RIGHT(Table156[[#This Row],[Item-Codigo]], LEN(Table156[[#This Row],[Item-Codigo]]) - FIND("|", CONCATENATE(B1041), FIND("|", CONCATENATE(B1041)) + 1)))</f>
        <v>KG</v>
      </c>
      <c r="H104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1073</v>
      </c>
      <c r="I1041" s="40">
        <v>1073</v>
      </c>
      <c r="J104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1690</v>
      </c>
      <c r="K1041" t="s">
        <v>81</v>
      </c>
    </row>
    <row r="1042" spans="1:11" x14ac:dyDescent="0.35">
      <c r="A1042" t="s">
        <v>305</v>
      </c>
      <c r="B1042" t="s">
        <v>335</v>
      </c>
      <c r="C1042" t="s">
        <v>309</v>
      </c>
      <c r="D1042">
        <v>1.45</v>
      </c>
      <c r="E1042" t="s">
        <v>816</v>
      </c>
      <c r="F1042">
        <v>2023</v>
      </c>
      <c r="G1042" t="str">
        <f>TRIM(RIGHT(Table156[[#This Row],[Item-Codigo]], LEN(Table156[[#This Row],[Item-Codigo]]) - FIND("|", CONCATENATE(B1042), FIND("|", CONCATENATE(B1042)) + 1)))</f>
        <v>KG</v>
      </c>
      <c r="H104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131.3</v>
      </c>
      <c r="I1042" s="40" t="s">
        <v>523</v>
      </c>
      <c r="J104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1450</v>
      </c>
      <c r="K1042" t="s">
        <v>83</v>
      </c>
    </row>
    <row r="1043" spans="1:11" x14ac:dyDescent="0.35">
      <c r="A1043" t="s">
        <v>305</v>
      </c>
      <c r="B1043" t="s">
        <v>336</v>
      </c>
      <c r="C1043" t="s">
        <v>327</v>
      </c>
      <c r="D1043">
        <v>5</v>
      </c>
      <c r="E1043" t="s">
        <v>816</v>
      </c>
      <c r="F1043">
        <v>2023</v>
      </c>
      <c r="G1043" t="str">
        <f>TRIM(RIGHT(Table156[[#This Row],[Item-Codigo]], LEN(Table156[[#This Row],[Item-Codigo]]) - FIND("|", CONCATENATE(B1043), FIND("|", CONCATENATE(B1043)) + 1)))</f>
        <v>KG</v>
      </c>
      <c r="H104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340.1</v>
      </c>
      <c r="I1043" s="40" t="s">
        <v>529</v>
      </c>
      <c r="J104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5000</v>
      </c>
      <c r="K1043" t="s">
        <v>84</v>
      </c>
    </row>
    <row r="1044" spans="1:11" x14ac:dyDescent="0.35">
      <c r="A1044" t="s">
        <v>305</v>
      </c>
      <c r="B1044" t="s">
        <v>337</v>
      </c>
      <c r="C1044" t="s">
        <v>307</v>
      </c>
      <c r="D1044">
        <v>13.225</v>
      </c>
      <c r="E1044" t="s">
        <v>816</v>
      </c>
      <c r="F1044">
        <v>2023</v>
      </c>
      <c r="G1044" t="str">
        <f>TRIM(RIGHT(Table156[[#This Row],[Item-Codigo]], LEN(Table156[[#This Row],[Item-Codigo]]) - FIND("|", CONCATENATE(B1044), FIND("|", CONCATENATE(B1044)) + 1)))</f>
        <v>KG</v>
      </c>
      <c r="H104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936</v>
      </c>
      <c r="I1044" s="40">
        <v>936</v>
      </c>
      <c r="J104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13225</v>
      </c>
      <c r="K1044" t="s">
        <v>85</v>
      </c>
    </row>
    <row r="1045" spans="1:11" x14ac:dyDescent="0.35">
      <c r="A1045" t="s">
        <v>305</v>
      </c>
      <c r="B1045" t="s">
        <v>344</v>
      </c>
      <c r="C1045" t="s">
        <v>345</v>
      </c>
      <c r="D1045">
        <v>95</v>
      </c>
      <c r="E1045" t="s">
        <v>816</v>
      </c>
      <c r="F1045">
        <v>2023</v>
      </c>
      <c r="G1045" t="str">
        <f>TRIM(RIGHT(Table156[[#This Row],[Item-Codigo]], LEN(Table156[[#This Row],[Item-Codigo]]) - FIND("|", CONCATENATE(B1045), FIND("|", CONCATENATE(B1045)) + 1)))</f>
        <v>KG</v>
      </c>
      <c r="H104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912.5</v>
      </c>
      <c r="I1045" s="40" t="s">
        <v>555</v>
      </c>
      <c r="J104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95000</v>
      </c>
      <c r="K1045" t="s">
        <v>90</v>
      </c>
    </row>
    <row r="1046" spans="1:11" x14ac:dyDescent="0.35">
      <c r="A1046" t="s">
        <v>305</v>
      </c>
      <c r="B1046" t="s">
        <v>346</v>
      </c>
      <c r="C1046" t="s">
        <v>327</v>
      </c>
      <c r="D1046">
        <v>9</v>
      </c>
      <c r="E1046" t="s">
        <v>816</v>
      </c>
      <c r="F1046">
        <v>2023</v>
      </c>
      <c r="G1046" t="str">
        <f>TRIM(RIGHT(Table156[[#This Row],[Item-Codigo]], LEN(Table156[[#This Row],[Item-Codigo]]) - FIND("|", CONCATENATE(B1046), FIND("|", CONCATENATE(B1046)) + 1)))</f>
        <v>KG</v>
      </c>
      <c r="H104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492.12</v>
      </c>
      <c r="I1046" s="40" t="s">
        <v>539</v>
      </c>
      <c r="J104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1046" t="s">
        <v>91</v>
      </c>
    </row>
    <row r="1047" spans="1:11" x14ac:dyDescent="0.35">
      <c r="A1047" t="s">
        <v>305</v>
      </c>
      <c r="B1047" t="s">
        <v>347</v>
      </c>
      <c r="C1047" t="s">
        <v>348</v>
      </c>
      <c r="D1047">
        <v>18</v>
      </c>
      <c r="E1047" t="s">
        <v>816</v>
      </c>
      <c r="F1047">
        <v>2023</v>
      </c>
      <c r="G1047" t="str">
        <f>TRIM(RIGHT(Table156[[#This Row],[Item-Codigo]], LEN(Table156[[#This Row],[Item-Codigo]]) - FIND("|", CONCATENATE(B1047), FIND("|", CONCATENATE(B1047)) + 1)))</f>
        <v>KG</v>
      </c>
      <c r="H104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550</v>
      </c>
      <c r="I1047" s="40">
        <v>550</v>
      </c>
      <c r="J104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18000</v>
      </c>
      <c r="K1047" t="s">
        <v>92</v>
      </c>
    </row>
    <row r="1048" spans="1:11" x14ac:dyDescent="0.35">
      <c r="A1048" t="s">
        <v>305</v>
      </c>
      <c r="B1048" t="s">
        <v>350</v>
      </c>
      <c r="C1048" t="s">
        <v>239</v>
      </c>
      <c r="D1048">
        <v>1.861</v>
      </c>
      <c r="E1048" t="s">
        <v>816</v>
      </c>
      <c r="F1048">
        <v>2023</v>
      </c>
      <c r="G1048" t="str">
        <f>TRIM(RIGHT(Table156[[#This Row],[Item-Codigo]], LEN(Table156[[#This Row],[Item-Codigo]]) - FIND("|", CONCATENATE(B1048), FIND("|", CONCATENATE(B1048)) + 1)))</f>
        <v>KG</v>
      </c>
      <c r="H104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173</v>
      </c>
      <c r="I1048" s="40">
        <v>173</v>
      </c>
      <c r="J104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1861</v>
      </c>
      <c r="K1048" t="s">
        <v>138</v>
      </c>
    </row>
    <row r="1049" spans="1:11" x14ac:dyDescent="0.35">
      <c r="A1049" t="s">
        <v>305</v>
      </c>
      <c r="B1049" t="s">
        <v>352</v>
      </c>
      <c r="C1049" t="s">
        <v>353</v>
      </c>
      <c r="D1049">
        <v>9.35</v>
      </c>
      <c r="E1049" t="s">
        <v>816</v>
      </c>
      <c r="F1049">
        <v>2023</v>
      </c>
      <c r="G1049" t="str">
        <f>TRIM(RIGHT(Table156[[#This Row],[Item-Codigo]], LEN(Table156[[#This Row],[Item-Codigo]]) - FIND("|", CONCATENATE(B1049), FIND("|", CONCATENATE(B1049)) + 1)))</f>
        <v>KG</v>
      </c>
      <c r="H104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742</v>
      </c>
      <c r="I1049" s="40">
        <v>742</v>
      </c>
      <c r="J104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9350</v>
      </c>
      <c r="K1049" t="s">
        <v>147</v>
      </c>
    </row>
    <row r="1050" spans="1:11" x14ac:dyDescent="0.35">
      <c r="A1050" t="s">
        <v>305</v>
      </c>
      <c r="B1050" t="s">
        <v>355</v>
      </c>
      <c r="C1050" t="s">
        <v>353</v>
      </c>
      <c r="D1050">
        <v>8.85</v>
      </c>
      <c r="E1050" t="s">
        <v>816</v>
      </c>
      <c r="F1050">
        <v>2023</v>
      </c>
      <c r="G1050" t="str">
        <f>TRIM(RIGHT(Table156[[#This Row],[Item-Codigo]], LEN(Table156[[#This Row],[Item-Codigo]]) - FIND("|", CONCATENATE(B1050), FIND("|", CONCATENATE(B1050)) + 1)))</f>
        <v>KG</v>
      </c>
      <c r="H105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740</v>
      </c>
      <c r="I1050" s="40">
        <v>740</v>
      </c>
      <c r="J105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8850</v>
      </c>
      <c r="K1050" t="s">
        <v>143</v>
      </c>
    </row>
    <row r="1051" spans="1:11" x14ac:dyDescent="0.35">
      <c r="A1051" t="s">
        <v>305</v>
      </c>
      <c r="B1051" t="s">
        <v>356</v>
      </c>
      <c r="C1051" t="s">
        <v>357</v>
      </c>
      <c r="D1051">
        <v>6.6</v>
      </c>
      <c r="E1051" t="s">
        <v>816</v>
      </c>
      <c r="F1051">
        <v>2023</v>
      </c>
      <c r="G1051" t="str">
        <f>TRIM(RIGHT(Table156[[#This Row],[Item-Codigo]], LEN(Table156[[#This Row],[Item-Codigo]]) - FIND("|", CONCATENATE(B1051), FIND("|", CONCATENATE(B1051)) + 1)))</f>
        <v>KG</v>
      </c>
      <c r="H105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1016</v>
      </c>
      <c r="I1051" s="40">
        <v>1016</v>
      </c>
      <c r="J105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6600</v>
      </c>
      <c r="K1051" t="s">
        <v>177</v>
      </c>
    </row>
    <row r="1052" spans="1:11" x14ac:dyDescent="0.35">
      <c r="A1052" t="s">
        <v>305</v>
      </c>
      <c r="B1052" t="s">
        <v>360</v>
      </c>
      <c r="C1052" t="s">
        <v>215</v>
      </c>
      <c r="D1052">
        <v>963.26229162269999</v>
      </c>
      <c r="E1052" t="s">
        <v>816</v>
      </c>
      <c r="F1052">
        <v>2023</v>
      </c>
      <c r="G1052" t="str">
        <f>TRIM(RIGHT(Table156[[#This Row],[Item-Codigo]], LEN(Table156[[#This Row],[Item-Codigo]]) - FIND("|", CONCATENATE(B1052), FIND("|", CONCATENATE(B1052)) + 1)))</f>
        <v>TM</v>
      </c>
      <c r="H105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</v>
      </c>
      <c r="I1052" s="40">
        <v>45</v>
      </c>
      <c r="J105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963.26229162269999</v>
      </c>
      <c r="K1052" t="s">
        <v>131</v>
      </c>
    </row>
    <row r="1053" spans="1:11" x14ac:dyDescent="0.35">
      <c r="A1053" t="s">
        <v>305</v>
      </c>
      <c r="B1053" t="s">
        <v>362</v>
      </c>
      <c r="C1053" t="s">
        <v>363</v>
      </c>
      <c r="D1053">
        <v>1.3148</v>
      </c>
      <c r="E1053" t="s">
        <v>816</v>
      </c>
      <c r="F1053">
        <v>2023</v>
      </c>
      <c r="G1053" t="str">
        <f>TRIM(RIGHT(Table156[[#This Row],[Item-Codigo]], LEN(Table156[[#This Row],[Item-Codigo]]) - FIND("|", CONCATENATE(B1053), FIND("|", CONCATENATE(B1053)) + 1)))</f>
        <v>KG</v>
      </c>
      <c r="H105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439</v>
      </c>
      <c r="I1053" s="40">
        <v>439</v>
      </c>
      <c r="J105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1314.8</v>
      </c>
      <c r="K1053" t="s">
        <v>137</v>
      </c>
    </row>
    <row r="1054" spans="1:11" x14ac:dyDescent="0.35">
      <c r="A1054" t="s">
        <v>305</v>
      </c>
      <c r="B1054" t="s">
        <v>364</v>
      </c>
      <c r="C1054" t="s">
        <v>365</v>
      </c>
      <c r="D1054">
        <v>1.43</v>
      </c>
      <c r="E1054" t="s">
        <v>816</v>
      </c>
      <c r="F1054">
        <v>2023</v>
      </c>
      <c r="G1054" t="str">
        <f>TRIM(RIGHT(Table156[[#This Row],[Item-Codigo]], LEN(Table156[[#This Row],[Item-Codigo]]) - FIND("|", CONCATENATE(B1054), FIND("|", CONCATENATE(B1054)) + 1)))</f>
        <v>KG</v>
      </c>
      <c r="H105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488.1</v>
      </c>
      <c r="I1054" s="40" t="s">
        <v>538</v>
      </c>
      <c r="J105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1430</v>
      </c>
      <c r="K1054" t="s">
        <v>149</v>
      </c>
    </row>
    <row r="1055" spans="1:11" x14ac:dyDescent="0.35">
      <c r="A1055" t="s">
        <v>305</v>
      </c>
      <c r="B1055" t="s">
        <v>367</v>
      </c>
      <c r="C1055" t="s">
        <v>321</v>
      </c>
      <c r="D1055">
        <v>2.15</v>
      </c>
      <c r="E1055" t="s">
        <v>816</v>
      </c>
      <c r="F1055">
        <v>2023</v>
      </c>
      <c r="G1055" t="str">
        <f>TRIM(RIGHT(Table156[[#This Row],[Item-Codigo]], LEN(Table156[[#This Row],[Item-Codigo]]) - FIND("|", CONCATENATE(B1055), FIND("|", CONCATENATE(B1055)) + 1)))</f>
        <v>KG</v>
      </c>
      <c r="H105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910</v>
      </c>
      <c r="I1055" s="40">
        <v>910</v>
      </c>
      <c r="J105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2150</v>
      </c>
      <c r="K1055" t="s">
        <v>136</v>
      </c>
    </row>
    <row r="1056" spans="1:11" x14ac:dyDescent="0.35">
      <c r="A1056" t="s">
        <v>305</v>
      </c>
      <c r="B1056" t="s">
        <v>368</v>
      </c>
      <c r="C1056" t="s">
        <v>348</v>
      </c>
      <c r="D1056">
        <v>4.5</v>
      </c>
      <c r="E1056" t="s">
        <v>816</v>
      </c>
      <c r="F1056">
        <v>2023</v>
      </c>
      <c r="G1056" t="str">
        <f>TRIM(RIGHT(Table156[[#This Row],[Item-Codigo]], LEN(Table156[[#This Row],[Item-Codigo]]) - FIND("|", CONCATENATE(B1056), FIND("|", CONCATENATE(B1056)) + 1)))</f>
        <v>KG</v>
      </c>
      <c r="H105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381</v>
      </c>
      <c r="I1056" s="40">
        <v>381</v>
      </c>
      <c r="J105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4500</v>
      </c>
      <c r="K1056" t="s">
        <v>74</v>
      </c>
    </row>
    <row r="1057" spans="1:11" x14ac:dyDescent="0.35">
      <c r="A1057" t="s">
        <v>305</v>
      </c>
      <c r="B1057" t="s">
        <v>372</v>
      </c>
      <c r="C1057" t="s">
        <v>373</v>
      </c>
      <c r="D1057">
        <v>1.2</v>
      </c>
      <c r="E1057" t="s">
        <v>816</v>
      </c>
      <c r="F1057">
        <v>2023</v>
      </c>
      <c r="G1057" t="str">
        <f>TRIM(RIGHT(Table156[[#This Row],[Item-Codigo]], LEN(Table156[[#This Row],[Item-Codigo]]) - FIND("|", CONCATENATE(B1057), FIND("|", CONCATENATE(B1057)) + 1)))</f>
        <v>KG</v>
      </c>
      <c r="H105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701.2</v>
      </c>
      <c r="I1057" s="40" t="s">
        <v>553</v>
      </c>
      <c r="J105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1200</v>
      </c>
      <c r="K1057" t="s">
        <v>140</v>
      </c>
    </row>
    <row r="1058" spans="1:11" x14ac:dyDescent="0.35">
      <c r="A1058" t="s">
        <v>305</v>
      </c>
      <c r="B1058" t="s">
        <v>374</v>
      </c>
      <c r="C1058" t="s">
        <v>317</v>
      </c>
      <c r="D1058">
        <v>15.9</v>
      </c>
      <c r="E1058" t="s">
        <v>816</v>
      </c>
      <c r="F1058">
        <v>2023</v>
      </c>
      <c r="G1058" t="str">
        <f>TRIM(RIGHT(Table156[[#This Row],[Item-Codigo]], LEN(Table156[[#This Row],[Item-Codigo]]) - FIND("|", CONCATENATE(B1058), FIND("|", CONCATENATE(B1058)) + 1)))</f>
        <v>KG</v>
      </c>
      <c r="H105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1051</v>
      </c>
      <c r="I1058" s="40">
        <v>1051</v>
      </c>
      <c r="J105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15900</v>
      </c>
      <c r="K1058" t="s">
        <v>173</v>
      </c>
    </row>
    <row r="1059" spans="1:11" x14ac:dyDescent="0.35">
      <c r="A1059" t="s">
        <v>305</v>
      </c>
      <c r="B1059" t="s">
        <v>380</v>
      </c>
      <c r="C1059" t="s">
        <v>381</v>
      </c>
      <c r="D1059">
        <v>4</v>
      </c>
      <c r="E1059" t="s">
        <v>816</v>
      </c>
      <c r="F1059">
        <v>2023</v>
      </c>
      <c r="G1059" t="str">
        <f>TRIM(RIGHT(Table156[[#This Row],[Item-Codigo]], LEN(Table156[[#This Row],[Item-Codigo]]) - FIND("|", CONCATENATE(B1059), FIND("|", CONCATENATE(B1059)) + 1)))</f>
        <v>KG</v>
      </c>
      <c r="H105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706</v>
      </c>
      <c r="I1059" s="40">
        <v>706</v>
      </c>
      <c r="J105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</v>
      </c>
      <c r="K1059" t="s">
        <v>156</v>
      </c>
    </row>
    <row r="1060" spans="1:11" x14ac:dyDescent="0.35">
      <c r="A1060" t="s">
        <v>305</v>
      </c>
      <c r="B1060" t="s">
        <v>382</v>
      </c>
      <c r="C1060" t="s">
        <v>327</v>
      </c>
      <c r="D1060">
        <v>8</v>
      </c>
      <c r="E1060" t="s">
        <v>816</v>
      </c>
      <c r="F1060">
        <v>2023</v>
      </c>
      <c r="G1060" t="str">
        <f>TRIM(RIGHT(Table156[[#This Row],[Item-Codigo]], LEN(Table156[[#This Row],[Item-Codigo]]) - FIND("|", CONCATENATE(B1060), FIND("|", CONCATENATE(B1060)) + 1)))</f>
        <v>KG</v>
      </c>
      <c r="H106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68</v>
      </c>
      <c r="I1060" s="40">
        <v>68</v>
      </c>
      <c r="J106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8000</v>
      </c>
      <c r="K1060" t="s">
        <v>160</v>
      </c>
    </row>
    <row r="1061" spans="1:11" x14ac:dyDescent="0.35">
      <c r="A1061" t="s">
        <v>305</v>
      </c>
      <c r="B1061" t="s">
        <v>383</v>
      </c>
      <c r="C1061" t="s">
        <v>317</v>
      </c>
      <c r="D1061">
        <v>7.8</v>
      </c>
      <c r="E1061" t="s">
        <v>816</v>
      </c>
      <c r="F1061">
        <v>2023</v>
      </c>
      <c r="G1061" t="str">
        <f>TRIM(RIGHT(Table156[[#This Row],[Item-Codigo]], LEN(Table156[[#This Row],[Item-Codigo]]) - FIND("|", CONCATENATE(B1061), FIND("|", CONCATENATE(B1061)) + 1)))</f>
        <v>KG</v>
      </c>
      <c r="H106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1059</v>
      </c>
      <c r="I1061" s="40">
        <v>1059</v>
      </c>
      <c r="J106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7800</v>
      </c>
      <c r="K1061" t="s">
        <v>151</v>
      </c>
    </row>
    <row r="1062" spans="1:11" x14ac:dyDescent="0.35">
      <c r="A1062" t="s">
        <v>305</v>
      </c>
      <c r="B1062" t="s">
        <v>384</v>
      </c>
      <c r="C1062" t="s">
        <v>385</v>
      </c>
      <c r="D1062">
        <v>40</v>
      </c>
      <c r="E1062" t="s">
        <v>816</v>
      </c>
      <c r="F1062">
        <v>2023</v>
      </c>
      <c r="G1062" t="str">
        <f>TRIM(RIGHT(Table156[[#This Row],[Item-Codigo]], LEN(Table156[[#This Row],[Item-Codigo]]) - FIND("|", CONCATENATE(B1062), FIND("|", CONCATENATE(B1062)) + 1)))</f>
        <v>KG</v>
      </c>
      <c r="H106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527.1</v>
      </c>
      <c r="I1062" s="40" t="s">
        <v>547</v>
      </c>
      <c r="J106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40000</v>
      </c>
      <c r="K1062" t="s">
        <v>1078</v>
      </c>
    </row>
    <row r="1063" spans="1:11" x14ac:dyDescent="0.35">
      <c r="A1063" t="s">
        <v>305</v>
      </c>
      <c r="B1063" t="s">
        <v>386</v>
      </c>
      <c r="C1063" t="s">
        <v>351</v>
      </c>
      <c r="D1063">
        <v>5.75</v>
      </c>
      <c r="E1063" t="s">
        <v>816</v>
      </c>
      <c r="F1063">
        <v>2023</v>
      </c>
      <c r="G1063" t="str">
        <f>TRIM(RIGHT(Table156[[#This Row],[Item-Codigo]], LEN(Table156[[#This Row],[Item-Codigo]]) - FIND("|", CONCATENATE(B1063), FIND("|", CONCATENATE(B1063)) + 1)))</f>
        <v>KG</v>
      </c>
      <c r="H106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110.2</v>
      </c>
      <c r="I1063" s="40" t="s">
        <v>522</v>
      </c>
      <c r="J106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5750</v>
      </c>
      <c r="K1063" t="s">
        <v>170</v>
      </c>
    </row>
    <row r="1064" spans="1:11" x14ac:dyDescent="0.35">
      <c r="A1064" t="s">
        <v>305</v>
      </c>
      <c r="B1064" t="s">
        <v>388</v>
      </c>
      <c r="C1064" t="s">
        <v>321</v>
      </c>
      <c r="D1064">
        <v>7.4</v>
      </c>
      <c r="E1064" t="s">
        <v>816</v>
      </c>
      <c r="F1064">
        <v>2023</v>
      </c>
      <c r="G1064" t="str">
        <f>TRIM(RIGHT(Table156[[#This Row],[Item-Codigo]], LEN(Table156[[#This Row],[Item-Codigo]]) - FIND("|", CONCATENATE(B1064), FIND("|", CONCATENATE(B1064)) + 1)))</f>
        <v>KG</v>
      </c>
      <c r="H106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1068</v>
      </c>
      <c r="I1064" s="40">
        <v>1068</v>
      </c>
      <c r="J106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7400</v>
      </c>
      <c r="K1064" t="s">
        <v>145</v>
      </c>
    </row>
    <row r="1065" spans="1:11" x14ac:dyDescent="0.35">
      <c r="A1065" t="s">
        <v>305</v>
      </c>
      <c r="B1065" t="s">
        <v>389</v>
      </c>
      <c r="C1065" t="s">
        <v>390</v>
      </c>
      <c r="D1065">
        <v>1.05</v>
      </c>
      <c r="E1065" t="s">
        <v>816</v>
      </c>
      <c r="F1065">
        <v>2023</v>
      </c>
      <c r="G1065" t="str">
        <f>TRIM(RIGHT(Table156[[#This Row],[Item-Codigo]], LEN(Table156[[#This Row],[Item-Codigo]]) - FIND("|", CONCATENATE(B1065), FIND("|", CONCATENATE(B1065)) + 1)))</f>
        <v>KG</v>
      </c>
      <c r="H106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806</v>
      </c>
      <c r="I1065" s="40">
        <v>806</v>
      </c>
      <c r="J106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1050</v>
      </c>
      <c r="K1065" t="s">
        <v>134</v>
      </c>
    </row>
    <row r="1066" spans="1:11" x14ac:dyDescent="0.35">
      <c r="A1066" t="s">
        <v>305</v>
      </c>
      <c r="B1066" t="s">
        <v>391</v>
      </c>
      <c r="C1066" t="s">
        <v>390</v>
      </c>
      <c r="D1066">
        <v>2</v>
      </c>
      <c r="E1066" t="s">
        <v>816</v>
      </c>
      <c r="F1066">
        <v>2023</v>
      </c>
      <c r="G1066" t="str">
        <f>TRIM(RIGHT(Table156[[#This Row],[Item-Codigo]], LEN(Table156[[#This Row],[Item-Codigo]]) - FIND("|", CONCATENATE(B1066), FIND("|", CONCATENATE(B1066)) + 1)))</f>
        <v>KG</v>
      </c>
      <c r="H106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810</v>
      </c>
      <c r="I1066" s="40">
        <v>810</v>
      </c>
      <c r="J106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2000</v>
      </c>
      <c r="K1066" t="s">
        <v>144</v>
      </c>
    </row>
    <row r="1067" spans="1:11" x14ac:dyDescent="0.35">
      <c r="A1067" t="s">
        <v>305</v>
      </c>
      <c r="B1067" t="s">
        <v>392</v>
      </c>
      <c r="C1067" t="s">
        <v>393</v>
      </c>
      <c r="D1067">
        <v>2.8</v>
      </c>
      <c r="E1067" t="s">
        <v>816</v>
      </c>
      <c r="F1067">
        <v>2023</v>
      </c>
      <c r="G1067" t="str">
        <f>TRIM(RIGHT(Table156[[#This Row],[Item-Codigo]], LEN(Table156[[#This Row],[Item-Codigo]]) - FIND("|", CONCATENATE(B1067), FIND("|", CONCATENATE(B1067)) + 1)))</f>
        <v>KG</v>
      </c>
      <c r="H106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170</v>
      </c>
      <c r="I1067" s="40">
        <v>170</v>
      </c>
      <c r="J106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2800</v>
      </c>
      <c r="K1067" t="s">
        <v>174</v>
      </c>
    </row>
    <row r="1068" spans="1:11" x14ac:dyDescent="0.35">
      <c r="A1068" t="s">
        <v>305</v>
      </c>
      <c r="B1068" t="s">
        <v>397</v>
      </c>
      <c r="C1068" t="s">
        <v>327</v>
      </c>
      <c r="D1068">
        <v>9</v>
      </c>
      <c r="E1068" t="s">
        <v>816</v>
      </c>
      <c r="F1068">
        <v>2023</v>
      </c>
      <c r="G1068" t="str">
        <f>TRIM(RIGHT(Table156[[#This Row],[Item-Codigo]], LEN(Table156[[#This Row],[Item-Codigo]]) - FIND("|", CONCATENATE(B1068), FIND("|", CONCATENATE(B1068)) + 1)))</f>
        <v>KG</v>
      </c>
      <c r="H106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933</v>
      </c>
      <c r="I1068" s="40">
        <v>933</v>
      </c>
      <c r="J106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1068" t="s">
        <v>163</v>
      </c>
    </row>
    <row r="1069" spans="1:11" x14ac:dyDescent="0.35">
      <c r="A1069" t="s">
        <v>305</v>
      </c>
      <c r="B1069" t="s">
        <v>919</v>
      </c>
      <c r="C1069" t="s">
        <v>399</v>
      </c>
      <c r="D1069">
        <v>4.1130604287999999</v>
      </c>
      <c r="E1069" t="s">
        <v>816</v>
      </c>
      <c r="F1069">
        <v>2023</v>
      </c>
      <c r="G1069" t="str">
        <f>TRIM(RIGHT(Table156[[#This Row],[Item-Codigo]], LEN(Table156[[#This Row],[Item-Codigo]]) - FIND("|", CONCATENATE(B1069), FIND("|", CONCATENATE(B1069)) + 1)))</f>
        <v>S 25KG</v>
      </c>
      <c r="H106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704</v>
      </c>
      <c r="I1069" s="40">
        <v>704</v>
      </c>
      <c r="J106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4113.0604287999995</v>
      </c>
      <c r="K1069" t="s">
        <v>132</v>
      </c>
    </row>
    <row r="1070" spans="1:11" x14ac:dyDescent="0.35">
      <c r="A1070" t="s">
        <v>305</v>
      </c>
      <c r="B1070" t="s">
        <v>921</v>
      </c>
      <c r="C1070" t="s">
        <v>348</v>
      </c>
      <c r="D1070">
        <v>4</v>
      </c>
      <c r="E1070" t="s">
        <v>816</v>
      </c>
      <c r="F1070">
        <v>2023</v>
      </c>
      <c r="G1070" t="str">
        <f>TRIM(RIGHT(Table156[[#This Row],[Item-Codigo]], LEN(Table156[[#This Row],[Item-Codigo]]) - FIND("|", CONCATENATE(B1070), FIND("|", CONCATENATE(B1070)) + 1)))</f>
        <v>KG</v>
      </c>
      <c r="H107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475.1</v>
      </c>
      <c r="I1070" s="40" t="s">
        <v>537</v>
      </c>
      <c r="J107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</v>
      </c>
      <c r="K1070" t="s">
        <v>82</v>
      </c>
    </row>
    <row r="1071" spans="1:11" x14ac:dyDescent="0.35">
      <c r="A1071" t="s">
        <v>305</v>
      </c>
      <c r="B1071" t="s">
        <v>401</v>
      </c>
      <c r="C1071" t="s">
        <v>345</v>
      </c>
      <c r="D1071">
        <v>33.85</v>
      </c>
      <c r="E1071" t="s">
        <v>816</v>
      </c>
      <c r="F1071">
        <v>2023</v>
      </c>
      <c r="G1071" t="str">
        <f>TRIM(RIGHT(Table156[[#This Row],[Item-Codigo]], LEN(Table156[[#This Row],[Item-Codigo]]) - FIND("|", CONCATENATE(B1071), FIND("|", CONCATENATE(B1071)) + 1)))</f>
        <v>KG</v>
      </c>
      <c r="H107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1049</v>
      </c>
      <c r="I1071" s="40">
        <v>1049</v>
      </c>
      <c r="J107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33850</v>
      </c>
      <c r="K1071" t="s">
        <v>973</v>
      </c>
    </row>
    <row r="1072" spans="1:11" x14ac:dyDescent="0.35">
      <c r="A1072" t="s">
        <v>305</v>
      </c>
      <c r="B1072" t="s">
        <v>402</v>
      </c>
      <c r="C1072" t="s">
        <v>404</v>
      </c>
      <c r="D1072">
        <v>3.1</v>
      </c>
      <c r="E1072" t="s">
        <v>816</v>
      </c>
      <c r="F1072">
        <v>2023</v>
      </c>
      <c r="G1072" t="str">
        <f>TRIM(RIGHT(Table156[[#This Row],[Item-Codigo]], LEN(Table156[[#This Row],[Item-Codigo]]) - FIND("|", CONCATENATE(B1072), FIND("|", CONCATENATE(B1072)) + 1)))</f>
        <v>KG</v>
      </c>
      <c r="H107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716</v>
      </c>
      <c r="I1072" s="40">
        <v>716</v>
      </c>
      <c r="J107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3100</v>
      </c>
      <c r="K1072" t="s">
        <v>162</v>
      </c>
    </row>
    <row r="1073" spans="1:11" x14ac:dyDescent="0.35">
      <c r="A1073" t="s">
        <v>305</v>
      </c>
      <c r="B1073" t="s">
        <v>405</v>
      </c>
      <c r="C1073" t="s">
        <v>215</v>
      </c>
      <c r="D1073">
        <v>830</v>
      </c>
      <c r="E1073" t="s">
        <v>816</v>
      </c>
      <c r="F1073">
        <v>2023</v>
      </c>
      <c r="G1073" t="str">
        <f>TRIM(RIGHT(Table156[[#This Row],[Item-Codigo]], LEN(Table156[[#This Row],[Item-Codigo]]) - FIND("|", CONCATENATE(B1073), FIND("|", CONCATENATE(B1073)) + 1)))</f>
        <v>TM</v>
      </c>
      <c r="H107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497.5</v>
      </c>
      <c r="I1073" s="40" t="s">
        <v>540</v>
      </c>
      <c r="J107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830</v>
      </c>
      <c r="K1073" t="s">
        <v>133</v>
      </c>
    </row>
    <row r="1074" spans="1:11" x14ac:dyDescent="0.35">
      <c r="A1074" t="s">
        <v>305</v>
      </c>
      <c r="B1074" t="s">
        <v>407</v>
      </c>
      <c r="C1074" t="s">
        <v>390</v>
      </c>
      <c r="D1074">
        <v>1.18</v>
      </c>
      <c r="E1074" t="s">
        <v>816</v>
      </c>
      <c r="F1074">
        <v>2023</v>
      </c>
      <c r="G1074" t="str">
        <f>TRIM(RIGHT(Table156[[#This Row],[Item-Codigo]], LEN(Table156[[#This Row],[Item-Codigo]]) - FIND("|", CONCATENATE(B1074), FIND("|", CONCATENATE(B1074)) + 1)))</f>
        <v>KG</v>
      </c>
      <c r="H107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46.5</v>
      </c>
      <c r="I1074" s="40" t="s">
        <v>535</v>
      </c>
      <c r="J107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1180</v>
      </c>
      <c r="K1074" t="s">
        <v>161</v>
      </c>
    </row>
    <row r="1075" spans="1:11" x14ac:dyDescent="0.35">
      <c r="A1075" t="s">
        <v>305</v>
      </c>
      <c r="B1075" t="s">
        <v>408</v>
      </c>
      <c r="C1075" t="s">
        <v>329</v>
      </c>
      <c r="D1075">
        <v>1.89</v>
      </c>
      <c r="E1075" t="s">
        <v>816</v>
      </c>
      <c r="F1075">
        <v>2023</v>
      </c>
      <c r="G1075" t="str">
        <f>TRIM(RIGHT(Table156[[#This Row],[Item-Codigo]], LEN(Table156[[#This Row],[Item-Codigo]]) - FIND("|", CONCATENATE(B1075), FIND("|", CONCATENATE(B1075)) + 1)))</f>
        <v>KG</v>
      </c>
      <c r="H107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379</v>
      </c>
      <c r="I1075" s="40">
        <v>379</v>
      </c>
      <c r="J107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1890</v>
      </c>
      <c r="K1075" t="s">
        <v>139</v>
      </c>
    </row>
    <row r="1076" spans="1:11" x14ac:dyDescent="0.35">
      <c r="A1076" t="s">
        <v>305</v>
      </c>
      <c r="B1076" t="s">
        <v>412</v>
      </c>
      <c r="C1076" t="s">
        <v>348</v>
      </c>
      <c r="D1076">
        <v>29</v>
      </c>
      <c r="E1076" t="s">
        <v>816</v>
      </c>
      <c r="F1076">
        <v>2023</v>
      </c>
      <c r="G1076" t="str">
        <f>TRIM(RIGHT(Table156[[#This Row],[Item-Codigo]], LEN(Table156[[#This Row],[Item-Codigo]]) - FIND("|", CONCATENATE(B1076), FIND("|", CONCATENATE(B1076)) + 1)))</f>
        <v>KG</v>
      </c>
      <c r="H107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981.2</v>
      </c>
      <c r="I1076" s="40" t="s">
        <v>556</v>
      </c>
      <c r="J107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29000</v>
      </c>
      <c r="K1076" t="s">
        <v>171</v>
      </c>
    </row>
    <row r="1077" spans="1:11" x14ac:dyDescent="0.35">
      <c r="A1077" t="s">
        <v>305</v>
      </c>
      <c r="B1077" t="s">
        <v>413</v>
      </c>
      <c r="C1077" t="s">
        <v>365</v>
      </c>
      <c r="D1077">
        <v>1.9</v>
      </c>
      <c r="E1077" t="s">
        <v>816</v>
      </c>
      <c r="F1077">
        <v>2023</v>
      </c>
      <c r="G1077" t="str">
        <f>TRIM(RIGHT(Table156[[#This Row],[Item-Codigo]], LEN(Table156[[#This Row],[Item-Codigo]]) - FIND("|", CONCATENATE(B1077), FIND("|", CONCATENATE(B1077)) + 1)))</f>
        <v>KG</v>
      </c>
      <c r="H107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456.12</v>
      </c>
      <c r="I1077" s="40" t="s">
        <v>533</v>
      </c>
      <c r="J107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1900</v>
      </c>
      <c r="K1077" t="s">
        <v>153</v>
      </c>
    </row>
    <row r="1078" spans="1:11" x14ac:dyDescent="0.35">
      <c r="A1078" t="s">
        <v>305</v>
      </c>
      <c r="B1078" t="s">
        <v>414</v>
      </c>
      <c r="C1078" t="s">
        <v>415</v>
      </c>
      <c r="D1078">
        <v>6.96</v>
      </c>
      <c r="E1078" t="s">
        <v>816</v>
      </c>
      <c r="F1078">
        <v>2023</v>
      </c>
      <c r="G1078" t="str">
        <f>TRIM(RIGHT(Table156[[#This Row],[Item-Codigo]], LEN(Table156[[#This Row],[Item-Codigo]]) - FIND("|", CONCATENATE(B1078), FIND("|", CONCATENATE(B1078)) + 1)))</f>
        <v>KG</v>
      </c>
      <c r="H107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455.3</v>
      </c>
      <c r="I1078" s="40" t="s">
        <v>532</v>
      </c>
      <c r="J107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6960</v>
      </c>
      <c r="K1078" t="s">
        <v>150</v>
      </c>
    </row>
    <row r="1079" spans="1:11" x14ac:dyDescent="0.35">
      <c r="A1079" t="s">
        <v>196</v>
      </c>
      <c r="B1079" t="s">
        <v>814</v>
      </c>
      <c r="C1079" t="s">
        <v>817</v>
      </c>
      <c r="D1079">
        <v>0.39498451749090902</v>
      </c>
      <c r="E1079" t="s">
        <v>819</v>
      </c>
      <c r="F1079">
        <v>2023</v>
      </c>
      <c r="G1079" t="str">
        <f>TRIM(RIGHT(Table156[[#This Row],[Item-Codigo]], LEN(Table156[[#This Row],[Item-Codigo]]) - FIND("|", CONCATENATE(B1079), FIND("|", CONCATENATE(B1079)) + 1)))</f>
        <v>KG</v>
      </c>
      <c r="H107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223</v>
      </c>
      <c r="I1079" s="40">
        <v>223</v>
      </c>
      <c r="J107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394.98451749090901</v>
      </c>
      <c r="K1079" t="s">
        <v>93</v>
      </c>
    </row>
    <row r="1080" spans="1:11" x14ac:dyDescent="0.35">
      <c r="A1080" t="s">
        <v>196</v>
      </c>
      <c r="B1080" t="s">
        <v>214</v>
      </c>
      <c r="C1080" t="s">
        <v>817</v>
      </c>
      <c r="D1080">
        <v>394.93492229116703</v>
      </c>
      <c r="E1080" t="s">
        <v>819</v>
      </c>
      <c r="F1080">
        <v>2023</v>
      </c>
      <c r="G1080" t="str">
        <f>TRIM(RIGHT(Table156[[#This Row],[Item-Codigo]], LEN(Table156[[#This Row],[Item-Codigo]]) - FIND("|", CONCATENATE(B1080), FIND("|", CONCATENATE(B1080)) + 1)))</f>
        <v>TM</v>
      </c>
      <c r="H108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223</v>
      </c>
      <c r="I1080" s="40">
        <v>223</v>
      </c>
      <c r="J108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394.93492229116703</v>
      </c>
      <c r="K1080" t="s">
        <v>93</v>
      </c>
    </row>
    <row r="1081" spans="1:11" x14ac:dyDescent="0.35">
      <c r="A1081" t="s">
        <v>196</v>
      </c>
      <c r="B1081" t="s">
        <v>217</v>
      </c>
      <c r="C1081" t="s">
        <v>215</v>
      </c>
      <c r="D1081">
        <v>332.19709030540002</v>
      </c>
      <c r="E1081" t="s">
        <v>819</v>
      </c>
      <c r="F1081">
        <v>2023</v>
      </c>
      <c r="G1081" t="str">
        <f>TRIM(RIGHT(Table156[[#This Row],[Item-Codigo]], LEN(Table156[[#This Row],[Item-Codigo]]) - FIND("|", CONCATENATE(B1081), FIND("|", CONCATENATE(B1081)) + 1)))</f>
        <v>TM</v>
      </c>
      <c r="H108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871</v>
      </c>
      <c r="I1081" s="40">
        <v>871</v>
      </c>
      <c r="J108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332.19709030540002</v>
      </c>
      <c r="K1081" t="s">
        <v>181</v>
      </c>
    </row>
    <row r="1082" spans="1:11" x14ac:dyDescent="0.35">
      <c r="A1082" t="s">
        <v>198</v>
      </c>
      <c r="B1082" t="s">
        <v>219</v>
      </c>
      <c r="C1082" t="s">
        <v>221</v>
      </c>
      <c r="D1082">
        <v>1100</v>
      </c>
      <c r="E1082" t="s">
        <v>819</v>
      </c>
      <c r="F1082">
        <v>2023</v>
      </c>
      <c r="G1082" t="str">
        <f>TRIM(RIGHT(Table156[[#This Row],[Item-Codigo]], LEN(Table156[[#This Row],[Item-Codigo]]) - FIND("|", CONCATENATE(B1082), FIND("|", CONCATENATE(B1082)) + 1)))</f>
        <v>TM</v>
      </c>
      <c r="H108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082" s="40">
        <v>42</v>
      </c>
      <c r="J108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1100</v>
      </c>
      <c r="K1082" t="s">
        <v>94</v>
      </c>
    </row>
    <row r="1083" spans="1:11" x14ac:dyDescent="0.35">
      <c r="A1083" t="s">
        <v>198</v>
      </c>
      <c r="B1083" t="s">
        <v>219</v>
      </c>
      <c r="C1083" t="s">
        <v>222</v>
      </c>
      <c r="D1083">
        <v>1075</v>
      </c>
      <c r="E1083" t="s">
        <v>819</v>
      </c>
      <c r="F1083">
        <v>2023</v>
      </c>
      <c r="G1083" t="str">
        <f>TRIM(RIGHT(Table156[[#This Row],[Item-Codigo]], LEN(Table156[[#This Row],[Item-Codigo]]) - FIND("|", CONCATENATE(B1083), FIND("|", CONCATENATE(B1083)) + 1)))</f>
        <v>TM</v>
      </c>
      <c r="H108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083" s="40">
        <v>42</v>
      </c>
      <c r="J108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1075</v>
      </c>
      <c r="K1083" t="s">
        <v>94</v>
      </c>
    </row>
    <row r="1084" spans="1:11" x14ac:dyDescent="0.35">
      <c r="A1084" t="s">
        <v>198</v>
      </c>
      <c r="B1084" t="s">
        <v>224</v>
      </c>
      <c r="C1084" t="s">
        <v>223</v>
      </c>
      <c r="D1084">
        <v>1780</v>
      </c>
      <c r="E1084" t="s">
        <v>819</v>
      </c>
      <c r="F1084">
        <v>2023</v>
      </c>
      <c r="G1084" t="str">
        <f>TRIM(RIGHT(Table156[[#This Row],[Item-Codigo]], LEN(Table156[[#This Row],[Item-Codigo]]) - FIND("|", CONCATENATE(B1084), FIND("|", CONCATENATE(B1084)) + 1)))</f>
        <v>TM</v>
      </c>
      <c r="H108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40</v>
      </c>
      <c r="I1084" s="40">
        <v>40</v>
      </c>
      <c r="J108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1780</v>
      </c>
      <c r="K1084" t="s">
        <v>95</v>
      </c>
    </row>
    <row r="1085" spans="1:11" x14ac:dyDescent="0.35">
      <c r="A1085" t="s">
        <v>198</v>
      </c>
      <c r="B1085" t="s">
        <v>225</v>
      </c>
      <c r="C1085" t="s">
        <v>226</v>
      </c>
      <c r="D1085">
        <v>387.00035784685002</v>
      </c>
      <c r="E1085" t="s">
        <v>819</v>
      </c>
      <c r="F1085">
        <v>2023</v>
      </c>
      <c r="G1085" t="str">
        <f>TRIM(RIGHT(Table156[[#This Row],[Item-Codigo]], LEN(Table156[[#This Row],[Item-Codigo]]) - FIND("|", CONCATENATE(B1085), FIND("|", CONCATENATE(B1085)) + 1)))</f>
        <v>TM</v>
      </c>
      <c r="H108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301</v>
      </c>
      <c r="I1085" s="40">
        <v>301</v>
      </c>
      <c r="J108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387.00035784685002</v>
      </c>
      <c r="K1085" t="s">
        <v>96</v>
      </c>
    </row>
    <row r="1086" spans="1:11" x14ac:dyDescent="0.35">
      <c r="A1086" t="s">
        <v>198</v>
      </c>
      <c r="B1086" t="s">
        <v>227</v>
      </c>
      <c r="C1086" t="s">
        <v>218</v>
      </c>
      <c r="D1086">
        <v>0.32003800391111098</v>
      </c>
      <c r="E1086" t="s">
        <v>819</v>
      </c>
      <c r="F1086">
        <v>2023</v>
      </c>
      <c r="G1086" t="str">
        <f>TRIM(RIGHT(Table156[[#This Row],[Item-Codigo]], LEN(Table156[[#This Row],[Item-Codigo]]) - FIND("|", CONCATENATE(B1086), FIND("|", CONCATENATE(B1086)) + 1)))</f>
        <v>KG</v>
      </c>
      <c r="H108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1086" s="40">
        <v>200</v>
      </c>
      <c r="J108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320.03800391111099</v>
      </c>
      <c r="K1086" t="s">
        <v>97</v>
      </c>
    </row>
    <row r="1087" spans="1:11" x14ac:dyDescent="0.35">
      <c r="A1087" t="s">
        <v>198</v>
      </c>
      <c r="B1087" t="s">
        <v>228</v>
      </c>
      <c r="C1087" t="s">
        <v>833</v>
      </c>
      <c r="D1087">
        <v>320.011815528733</v>
      </c>
      <c r="E1087" t="s">
        <v>819</v>
      </c>
      <c r="F1087">
        <v>2023</v>
      </c>
      <c r="G1087" t="str">
        <f>TRIM(RIGHT(Table156[[#This Row],[Item-Codigo]], LEN(Table156[[#This Row],[Item-Codigo]]) - FIND("|", CONCATENATE(B1087), FIND("|", CONCATENATE(B1087)) + 1)))</f>
        <v>TM</v>
      </c>
      <c r="H108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1087" s="40">
        <v>200</v>
      </c>
      <c r="J108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320.011815528733</v>
      </c>
      <c r="K1087" t="s">
        <v>97</v>
      </c>
    </row>
    <row r="1088" spans="1:11" x14ac:dyDescent="0.35">
      <c r="A1088" t="s">
        <v>198</v>
      </c>
      <c r="B1088" t="s">
        <v>228</v>
      </c>
      <c r="C1088" t="s">
        <v>229</v>
      </c>
      <c r="D1088">
        <v>347.19969873792502</v>
      </c>
      <c r="E1088" t="s">
        <v>819</v>
      </c>
      <c r="F1088">
        <v>2023</v>
      </c>
      <c r="G1088" t="str">
        <f>TRIM(RIGHT(Table156[[#This Row],[Item-Codigo]], LEN(Table156[[#This Row],[Item-Codigo]]) - FIND("|", CONCATENATE(B1088), FIND("|", CONCATENATE(B1088)) + 1)))</f>
        <v>TM</v>
      </c>
      <c r="H108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1088" s="40">
        <v>200</v>
      </c>
      <c r="J108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347.19969873792502</v>
      </c>
      <c r="K1088" t="s">
        <v>97</v>
      </c>
    </row>
    <row r="1089" spans="1:11" x14ac:dyDescent="0.35">
      <c r="A1089" t="s">
        <v>198</v>
      </c>
      <c r="B1089" t="s">
        <v>230</v>
      </c>
      <c r="C1089" t="s">
        <v>231</v>
      </c>
      <c r="D1089">
        <v>4.5999999999999999E-2</v>
      </c>
      <c r="E1089" t="s">
        <v>819</v>
      </c>
      <c r="F1089">
        <v>2023</v>
      </c>
      <c r="G1089" t="str">
        <f>TRIM(RIGHT(Table156[[#This Row],[Item-Codigo]], LEN(Table156[[#This Row],[Item-Codigo]]) - FIND("|", CONCATENATE(B1089), FIND("|", CONCATENATE(B1089)) + 1)))</f>
        <v>KG</v>
      </c>
      <c r="H108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1089" s="40">
        <v>701</v>
      </c>
      <c r="J108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46</v>
      </c>
      <c r="K1089" t="s">
        <v>98</v>
      </c>
    </row>
    <row r="1090" spans="1:11" x14ac:dyDescent="0.35">
      <c r="A1090" t="s">
        <v>198</v>
      </c>
      <c r="B1090" t="s">
        <v>237</v>
      </c>
      <c r="C1090" t="s">
        <v>239</v>
      </c>
      <c r="D1090">
        <v>1269</v>
      </c>
      <c r="E1090" t="s">
        <v>819</v>
      </c>
      <c r="F1090">
        <v>2023</v>
      </c>
      <c r="G1090" t="str">
        <f>TRIM(RIGHT(Table156[[#This Row],[Item-Codigo]], LEN(Table156[[#This Row],[Item-Codigo]]) - FIND("|", CONCATENATE(B1090), FIND("|", CONCATENATE(B1090)) + 1)))</f>
        <v>TM</v>
      </c>
      <c r="H109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1090" s="40">
        <v>116</v>
      </c>
      <c r="J109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1269</v>
      </c>
      <c r="K1090" t="s">
        <v>99</v>
      </c>
    </row>
    <row r="1091" spans="1:11" x14ac:dyDescent="0.35">
      <c r="A1091" t="s">
        <v>198</v>
      </c>
      <c r="B1091" t="s">
        <v>838</v>
      </c>
      <c r="C1091" t="s">
        <v>239</v>
      </c>
      <c r="D1091">
        <v>945</v>
      </c>
      <c r="E1091" t="s">
        <v>819</v>
      </c>
      <c r="F1091">
        <v>2023</v>
      </c>
      <c r="G1091" t="str">
        <f>TRIM(RIGHT(Table156[[#This Row],[Item-Codigo]], LEN(Table156[[#This Row],[Item-Codigo]]) - FIND("|", CONCATENATE(B1091), FIND("|", CONCATENATE(B1091)) + 1)))</f>
        <v>TM</v>
      </c>
      <c r="H109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111.5</v>
      </c>
      <c r="I1091" s="40" t="s">
        <v>933</v>
      </c>
      <c r="J109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945</v>
      </c>
      <c r="K1091" t="s">
        <v>184</v>
      </c>
    </row>
    <row r="1092" spans="1:11" x14ac:dyDescent="0.35">
      <c r="A1092" t="s">
        <v>198</v>
      </c>
      <c r="B1092" t="s">
        <v>839</v>
      </c>
      <c r="C1092" t="s">
        <v>235</v>
      </c>
      <c r="D1092">
        <v>2.0099999999999998</v>
      </c>
      <c r="E1092" t="s">
        <v>819</v>
      </c>
      <c r="F1092">
        <v>2023</v>
      </c>
      <c r="G1092" t="str">
        <f>TRIM(RIGHT(Table156[[#This Row],[Item-Codigo]], LEN(Table156[[#This Row],[Item-Codigo]]) - FIND("|", CONCATENATE(B1092), FIND("|", CONCATENATE(B1092)) + 1)))</f>
        <v>KG</v>
      </c>
      <c r="H109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156</v>
      </c>
      <c r="I1092" s="40">
        <v>156</v>
      </c>
      <c r="J109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2009.9999999999998</v>
      </c>
      <c r="K1092" t="s">
        <v>977</v>
      </c>
    </row>
    <row r="1093" spans="1:11" x14ac:dyDescent="0.35">
      <c r="A1093" t="s">
        <v>198</v>
      </c>
      <c r="B1093" t="s">
        <v>242</v>
      </c>
      <c r="C1093" t="s">
        <v>837</v>
      </c>
      <c r="D1093">
        <v>764.03145270970003</v>
      </c>
      <c r="E1093" t="s">
        <v>819</v>
      </c>
      <c r="F1093">
        <v>2023</v>
      </c>
      <c r="G1093" t="str">
        <f>TRIM(RIGHT(Table156[[#This Row],[Item-Codigo]], LEN(Table156[[#This Row],[Item-Codigo]]) - FIND("|", CONCATENATE(B1093), FIND("|", CONCATENATE(B1093)) + 1)))</f>
        <v>TM</v>
      </c>
      <c r="H109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159.9</v>
      </c>
      <c r="I1093" s="40" t="s">
        <v>525</v>
      </c>
      <c r="J109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764.03145270970003</v>
      </c>
      <c r="K1093" t="s">
        <v>191</v>
      </c>
    </row>
    <row r="1094" spans="1:11" x14ac:dyDescent="0.35">
      <c r="A1094" t="s">
        <v>198</v>
      </c>
      <c r="B1094" t="s">
        <v>242</v>
      </c>
      <c r="C1094" t="s">
        <v>241</v>
      </c>
      <c r="D1094">
        <v>760.09513080479996</v>
      </c>
      <c r="E1094" t="s">
        <v>819</v>
      </c>
      <c r="F1094">
        <v>2023</v>
      </c>
      <c r="G1094" t="str">
        <f>TRIM(RIGHT(Table156[[#This Row],[Item-Codigo]], LEN(Table156[[#This Row],[Item-Codigo]]) - FIND("|", CONCATENATE(B1094), FIND("|", CONCATENATE(B1094)) + 1)))</f>
        <v>TM</v>
      </c>
      <c r="H109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159.9</v>
      </c>
      <c r="I1094" s="40" t="s">
        <v>525</v>
      </c>
      <c r="J109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760.09513080479996</v>
      </c>
      <c r="K1094" t="s">
        <v>191</v>
      </c>
    </row>
    <row r="1095" spans="1:11" x14ac:dyDescent="0.35">
      <c r="A1095" t="s">
        <v>198</v>
      </c>
      <c r="B1095" t="s">
        <v>199</v>
      </c>
      <c r="C1095" t="s">
        <v>200</v>
      </c>
      <c r="D1095">
        <v>16.799999672028601</v>
      </c>
      <c r="E1095" t="s">
        <v>819</v>
      </c>
      <c r="F1095">
        <v>2023</v>
      </c>
      <c r="G1095" t="str">
        <f>TRIM(RIGHT(Table156[[#This Row],[Item-Codigo]], LEN(Table156[[#This Row],[Item-Codigo]]) - FIND("|", CONCATENATE(B1095), FIND("|", CONCATENATE(B1095)) + 1)))</f>
        <v>QQ</v>
      </c>
      <c r="H109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1095" s="40">
        <v>1</v>
      </c>
      <c r="J1095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369.59999278462925</v>
      </c>
      <c r="K1095" t="s">
        <v>182</v>
      </c>
    </row>
    <row r="1096" spans="1:11" x14ac:dyDescent="0.35">
      <c r="A1096" t="s">
        <v>198</v>
      </c>
      <c r="B1096" t="s">
        <v>245</v>
      </c>
      <c r="C1096" t="s">
        <v>246</v>
      </c>
      <c r="D1096">
        <v>270</v>
      </c>
      <c r="E1096" t="s">
        <v>819</v>
      </c>
      <c r="F1096">
        <v>2023</v>
      </c>
      <c r="G1096" t="str">
        <f>TRIM(RIGHT(Table156[[#This Row],[Item-Codigo]], LEN(Table156[[#This Row],[Item-Codigo]]) - FIND("|", CONCATENATE(B1096), FIND("|", CONCATENATE(B1096)) + 1)))</f>
        <v>TM</v>
      </c>
      <c r="H109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14</v>
      </c>
      <c r="I1096" s="40">
        <v>14</v>
      </c>
      <c r="J109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270</v>
      </c>
      <c r="K1096" t="s">
        <v>187</v>
      </c>
    </row>
    <row r="1097" spans="1:11" x14ac:dyDescent="0.35">
      <c r="A1097" t="s">
        <v>198</v>
      </c>
      <c r="B1097" t="s">
        <v>247</v>
      </c>
      <c r="C1097" t="s">
        <v>248</v>
      </c>
      <c r="D1097">
        <v>0.28736936219999998</v>
      </c>
      <c r="E1097" t="s">
        <v>819</v>
      </c>
      <c r="F1097">
        <v>2023</v>
      </c>
      <c r="G1097" t="str">
        <f>TRIM(RIGHT(Table156[[#This Row],[Item-Codigo]], LEN(Table156[[#This Row],[Item-Codigo]]) - FIND("|", CONCATENATE(B1097), FIND("|", CONCATENATE(B1097)) + 1)))</f>
        <v>KG</v>
      </c>
      <c r="H109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214</v>
      </c>
      <c r="I1097" s="40">
        <v>214</v>
      </c>
      <c r="J109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287.36936219999996</v>
      </c>
      <c r="K1097" t="s">
        <v>186</v>
      </c>
    </row>
    <row r="1098" spans="1:11" x14ac:dyDescent="0.35">
      <c r="A1098" t="s">
        <v>198</v>
      </c>
      <c r="B1098" t="s">
        <v>207</v>
      </c>
      <c r="C1098" t="s">
        <v>857</v>
      </c>
      <c r="D1098">
        <v>15.000109823266699</v>
      </c>
      <c r="E1098" t="s">
        <v>819</v>
      </c>
      <c r="F1098">
        <v>2023</v>
      </c>
      <c r="G1098" t="str">
        <f>TRIM(RIGHT(Table156[[#This Row],[Item-Codigo]], LEN(Table156[[#This Row],[Item-Codigo]]) - FIND("|", CONCATENATE(B1098), FIND("|", CONCATENATE(B1098)) + 1)))</f>
        <v>QQ</v>
      </c>
      <c r="H109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098" s="40">
        <v>410</v>
      </c>
      <c r="J1098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330.00241611186738</v>
      </c>
      <c r="K1098" t="s">
        <v>183</v>
      </c>
    </row>
    <row r="1099" spans="1:11" x14ac:dyDescent="0.35">
      <c r="A1099" t="s">
        <v>198</v>
      </c>
      <c r="B1099" t="s">
        <v>207</v>
      </c>
      <c r="C1099" t="s">
        <v>858</v>
      </c>
      <c r="D1099">
        <v>14.725079922875</v>
      </c>
      <c r="E1099" t="s">
        <v>819</v>
      </c>
      <c r="F1099">
        <v>2023</v>
      </c>
      <c r="G1099" t="str">
        <f>TRIM(RIGHT(Table156[[#This Row],[Item-Codigo]], LEN(Table156[[#This Row],[Item-Codigo]]) - FIND("|", CONCATENATE(B1099), FIND("|", CONCATENATE(B1099)) + 1)))</f>
        <v>QQ</v>
      </c>
      <c r="H109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099" s="40">
        <v>410</v>
      </c>
      <c r="J1099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323.95175830325002</v>
      </c>
      <c r="K1099" t="s">
        <v>183</v>
      </c>
    </row>
    <row r="1100" spans="1:11" x14ac:dyDescent="0.35">
      <c r="A1100" t="s">
        <v>198</v>
      </c>
      <c r="B1100" t="s">
        <v>207</v>
      </c>
      <c r="C1100" t="s">
        <v>201</v>
      </c>
      <c r="D1100">
        <v>13.860042696466699</v>
      </c>
      <c r="E1100" t="s">
        <v>819</v>
      </c>
      <c r="F1100">
        <v>2023</v>
      </c>
      <c r="G1100" t="str">
        <f>TRIM(RIGHT(Table156[[#This Row],[Item-Codigo]], LEN(Table156[[#This Row],[Item-Codigo]]) - FIND("|", CONCATENATE(B1100), FIND("|", CONCATENATE(B1100)) + 1)))</f>
        <v>QQ</v>
      </c>
      <c r="H110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100" s="40">
        <v>410</v>
      </c>
      <c r="J1100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304.92093932226737</v>
      </c>
      <c r="K1100" t="s">
        <v>183</v>
      </c>
    </row>
    <row r="1101" spans="1:11" x14ac:dyDescent="0.35">
      <c r="A1101" t="s">
        <v>198</v>
      </c>
      <c r="B1101" t="s">
        <v>207</v>
      </c>
      <c r="C1101" t="s">
        <v>209</v>
      </c>
      <c r="D1101">
        <v>14.4687012553571</v>
      </c>
      <c r="E1101" t="s">
        <v>819</v>
      </c>
      <c r="F1101">
        <v>2023</v>
      </c>
      <c r="G1101" t="str">
        <f>TRIM(RIGHT(Table156[[#This Row],[Item-Codigo]], LEN(Table156[[#This Row],[Item-Codigo]]) - FIND("|", CONCATENATE(B1101), FIND("|", CONCATENATE(B1101)) + 1)))</f>
        <v>QQ</v>
      </c>
      <c r="H110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101" s="40">
        <v>410</v>
      </c>
      <c r="J1101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318.31142761785622</v>
      </c>
      <c r="K1101" t="s">
        <v>183</v>
      </c>
    </row>
    <row r="1102" spans="1:11" x14ac:dyDescent="0.35">
      <c r="A1102" t="s">
        <v>198</v>
      </c>
      <c r="B1102" t="s">
        <v>207</v>
      </c>
      <c r="C1102" t="s">
        <v>210</v>
      </c>
      <c r="D1102">
        <v>14.849892067740001</v>
      </c>
      <c r="E1102" t="s">
        <v>819</v>
      </c>
      <c r="F1102">
        <v>2023</v>
      </c>
      <c r="G1102" t="str">
        <f>TRIM(RIGHT(Table156[[#This Row],[Item-Codigo]], LEN(Table156[[#This Row],[Item-Codigo]]) - FIND("|", CONCATENATE(B1102), FIND("|", CONCATENATE(B1102)) + 1)))</f>
        <v>QQ</v>
      </c>
      <c r="H110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102" s="40">
        <v>410</v>
      </c>
      <c r="J1102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326.69762549028002</v>
      </c>
      <c r="K1102" t="s">
        <v>183</v>
      </c>
    </row>
    <row r="1103" spans="1:11" x14ac:dyDescent="0.35">
      <c r="A1103" t="s">
        <v>198</v>
      </c>
      <c r="B1103" t="s">
        <v>207</v>
      </c>
      <c r="C1103" t="s">
        <v>211</v>
      </c>
      <c r="D1103">
        <v>15.00003185928</v>
      </c>
      <c r="E1103" t="s">
        <v>819</v>
      </c>
      <c r="F1103">
        <v>2023</v>
      </c>
      <c r="G1103" t="str">
        <f>TRIM(RIGHT(Table156[[#This Row],[Item-Codigo]], LEN(Table156[[#This Row],[Item-Codigo]]) - FIND("|", CONCATENATE(B1103), FIND("|", CONCATENATE(B1103)) + 1)))</f>
        <v>QQ</v>
      </c>
      <c r="H110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103" s="40">
        <v>410</v>
      </c>
      <c r="J1103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330.00070090416</v>
      </c>
      <c r="K1103" t="s">
        <v>183</v>
      </c>
    </row>
    <row r="1104" spans="1:11" x14ac:dyDescent="0.35">
      <c r="A1104" t="s">
        <v>198</v>
      </c>
      <c r="B1104" t="s">
        <v>207</v>
      </c>
      <c r="C1104" t="s">
        <v>866</v>
      </c>
      <c r="D1104">
        <v>15.000076677699999</v>
      </c>
      <c r="E1104" t="s">
        <v>819</v>
      </c>
      <c r="F1104">
        <v>2023</v>
      </c>
      <c r="G1104" t="str">
        <f>TRIM(RIGHT(Table156[[#This Row],[Item-Codigo]], LEN(Table156[[#This Row],[Item-Codigo]]) - FIND("|", CONCATENATE(B1104), FIND("|", CONCATENATE(B1104)) + 1)))</f>
        <v>QQ</v>
      </c>
      <c r="H110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104" s="40">
        <v>410</v>
      </c>
      <c r="J1104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330.00168690940001</v>
      </c>
      <c r="K1104" t="s">
        <v>183</v>
      </c>
    </row>
    <row r="1105" spans="1:11" x14ac:dyDescent="0.35">
      <c r="A1105" t="s">
        <v>198</v>
      </c>
      <c r="B1105" t="s">
        <v>207</v>
      </c>
      <c r="C1105" t="s">
        <v>212</v>
      </c>
      <c r="D1105">
        <v>14.000000701699999</v>
      </c>
      <c r="E1105" t="s">
        <v>819</v>
      </c>
      <c r="F1105">
        <v>2023</v>
      </c>
      <c r="G1105" t="str">
        <f>TRIM(RIGHT(Table156[[#This Row],[Item-Codigo]], LEN(Table156[[#This Row],[Item-Codigo]]) - FIND("|", CONCATENATE(B1105), FIND("|", CONCATENATE(B1105)) + 1)))</f>
        <v>QQ</v>
      </c>
      <c r="H110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105" s="40">
        <v>410</v>
      </c>
      <c r="J1105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308.00001543740001</v>
      </c>
      <c r="K1105" t="s">
        <v>183</v>
      </c>
    </row>
    <row r="1106" spans="1:11" x14ac:dyDescent="0.35">
      <c r="A1106" t="s">
        <v>198</v>
      </c>
      <c r="B1106" t="s">
        <v>207</v>
      </c>
      <c r="C1106" t="s">
        <v>213</v>
      </c>
      <c r="D1106">
        <v>11.97602150698</v>
      </c>
      <c r="E1106" t="s">
        <v>819</v>
      </c>
      <c r="F1106">
        <v>2023</v>
      </c>
      <c r="G1106" t="str">
        <f>TRIM(RIGHT(Table156[[#This Row],[Item-Codigo]], LEN(Table156[[#This Row],[Item-Codigo]]) - FIND("|", CONCATENATE(B1106), FIND("|", CONCATENATE(B1106)) + 1)))</f>
        <v>QQ</v>
      </c>
      <c r="H110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106" s="40">
        <v>410</v>
      </c>
      <c r="J1106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263.47247315356003</v>
      </c>
      <c r="K1106" t="s">
        <v>183</v>
      </c>
    </row>
    <row r="1107" spans="1:11" x14ac:dyDescent="0.35">
      <c r="A1107" t="s">
        <v>198</v>
      </c>
      <c r="B1107" t="s">
        <v>207</v>
      </c>
      <c r="C1107" t="s">
        <v>867</v>
      </c>
      <c r="D1107">
        <v>13.953335489826699</v>
      </c>
      <c r="E1107" t="s">
        <v>819</v>
      </c>
      <c r="F1107">
        <v>2023</v>
      </c>
      <c r="G1107" t="str">
        <f>TRIM(RIGHT(Table156[[#This Row],[Item-Codigo]], LEN(Table156[[#This Row],[Item-Codigo]]) - FIND("|", CONCATENATE(B1107), FIND("|", CONCATENATE(B1107)) + 1)))</f>
        <v>QQ</v>
      </c>
      <c r="H110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107" s="40">
        <v>410</v>
      </c>
      <c r="J1107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306.97338077618735</v>
      </c>
      <c r="K1107" t="s">
        <v>183</v>
      </c>
    </row>
    <row r="1108" spans="1:11" x14ac:dyDescent="0.35">
      <c r="A1108" t="s">
        <v>256</v>
      </c>
      <c r="B1108" t="s">
        <v>264</v>
      </c>
      <c r="C1108" t="s">
        <v>263</v>
      </c>
      <c r="D1108">
        <v>0.1487998764</v>
      </c>
      <c r="E1108" t="s">
        <v>819</v>
      </c>
      <c r="F1108">
        <v>2023</v>
      </c>
      <c r="G1108" t="str">
        <f>TRIM(RIGHT(Table156[[#This Row],[Item-Codigo]], LEN(Table156[[#This Row],[Item-Codigo]]) - FIND("|", CONCATENATE(B1108), FIND("|", CONCATENATE(B1108)) + 1)))</f>
        <v>UND</v>
      </c>
      <c r="H110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1024-ME</v>
      </c>
      <c r="I1108" s="40" t="s">
        <v>501</v>
      </c>
      <c r="J110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0.1487998764</v>
      </c>
      <c r="K1108" t="s">
        <v>44</v>
      </c>
    </row>
    <row r="1109" spans="1:11" x14ac:dyDescent="0.35">
      <c r="A1109" t="s">
        <v>256</v>
      </c>
      <c r="B1109" t="s">
        <v>265</v>
      </c>
      <c r="C1109" t="s">
        <v>263</v>
      </c>
      <c r="D1109">
        <v>0.14879995755</v>
      </c>
      <c r="E1109" t="s">
        <v>819</v>
      </c>
      <c r="F1109">
        <v>2023</v>
      </c>
      <c r="G1109" t="str">
        <f>TRIM(RIGHT(Table156[[#This Row],[Item-Codigo]], LEN(Table156[[#This Row],[Item-Codigo]]) - FIND("|", CONCATENATE(B1109), FIND("|", CONCATENATE(B1109)) + 1)))</f>
        <v>UND</v>
      </c>
      <c r="H110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1025-ME</v>
      </c>
      <c r="I1109" s="40" t="s">
        <v>502</v>
      </c>
      <c r="J110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0.14879995755</v>
      </c>
      <c r="K1109" t="s">
        <v>45</v>
      </c>
    </row>
    <row r="1110" spans="1:11" x14ac:dyDescent="0.35">
      <c r="A1110" t="s">
        <v>256</v>
      </c>
      <c r="B1110" t="s">
        <v>272</v>
      </c>
      <c r="C1110" t="s">
        <v>263</v>
      </c>
      <c r="D1110">
        <v>0.14879999999999999</v>
      </c>
      <c r="E1110" t="s">
        <v>819</v>
      </c>
      <c r="F1110">
        <v>2023</v>
      </c>
      <c r="G1110" t="str">
        <f>TRIM(RIGHT(Table156[[#This Row],[Item-Codigo]], LEN(Table156[[#This Row],[Item-Codigo]]) - FIND("|", CONCATENATE(B1110), FIND("|", CONCATENATE(B1110)) + 1)))</f>
        <v>UND</v>
      </c>
      <c r="H111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1029-ME</v>
      </c>
      <c r="I1110" s="40" t="s">
        <v>506</v>
      </c>
      <c r="J111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0.14879999999999999</v>
      </c>
      <c r="K1110" t="s">
        <v>51</v>
      </c>
    </row>
    <row r="1111" spans="1:11" x14ac:dyDescent="0.35">
      <c r="A1111" t="s">
        <v>256</v>
      </c>
      <c r="B1111" t="s">
        <v>275</v>
      </c>
      <c r="C1111" t="s">
        <v>276</v>
      </c>
      <c r="D1111">
        <v>0.70707070699999996</v>
      </c>
      <c r="E1111" t="s">
        <v>819</v>
      </c>
      <c r="F1111">
        <v>2023</v>
      </c>
      <c r="G1111" t="str">
        <f>TRIM(RIGHT(Table156[[#This Row],[Item-Codigo]], LEN(Table156[[#This Row],[Item-Codigo]]) - FIND("|", CONCATENATE(B1111), FIND("|", CONCATENATE(B1111)) + 1)))</f>
        <v>UND</v>
      </c>
      <c r="H111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1035-ME</v>
      </c>
      <c r="I1111" s="40" t="s">
        <v>512</v>
      </c>
      <c r="J111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0.70707070699999996</v>
      </c>
      <c r="K1111" t="s">
        <v>55</v>
      </c>
    </row>
    <row r="1112" spans="1:11" x14ac:dyDescent="0.35">
      <c r="A1112" t="s">
        <v>256</v>
      </c>
      <c r="B1112" t="s">
        <v>878</v>
      </c>
      <c r="C1112" t="s">
        <v>276</v>
      </c>
      <c r="D1112">
        <v>0.303030303</v>
      </c>
      <c r="E1112" t="s">
        <v>819</v>
      </c>
      <c r="F1112">
        <v>2023</v>
      </c>
      <c r="G1112" t="str">
        <f>TRIM(RIGHT(Table156[[#This Row],[Item-Codigo]], LEN(Table156[[#This Row],[Item-Codigo]]) - FIND("|", CONCATENATE(B1112), FIND("|", CONCATENATE(B1112)) + 1)))</f>
        <v>UND</v>
      </c>
      <c r="H111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1045-ME</v>
      </c>
      <c r="I1112" s="40" t="s">
        <v>521</v>
      </c>
      <c r="J111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0.303030303</v>
      </c>
      <c r="K1112" t="s">
        <v>878</v>
      </c>
    </row>
    <row r="1113" spans="1:11" x14ac:dyDescent="0.35">
      <c r="A1113" t="s">
        <v>256</v>
      </c>
      <c r="B1113" t="s">
        <v>879</v>
      </c>
      <c r="C1113" t="s">
        <v>276</v>
      </c>
      <c r="D1113">
        <v>0.3</v>
      </c>
      <c r="E1113" t="s">
        <v>819</v>
      </c>
      <c r="F1113">
        <v>2023</v>
      </c>
      <c r="G1113" t="str">
        <f>TRIM(RIGHT(Table156[[#This Row],[Item-Codigo]], LEN(Table156[[#This Row],[Item-Codigo]]) - FIND("|", CONCATENATE(B1113), FIND("|", CONCATENATE(B1113)) + 1)))</f>
        <v>UND</v>
      </c>
      <c r="H111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1044-ME</v>
      </c>
      <c r="I1113" s="40" t="s">
        <v>520</v>
      </c>
      <c r="J111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0.3</v>
      </c>
      <c r="K1113" t="s">
        <v>879</v>
      </c>
    </row>
    <row r="1114" spans="1:11" x14ac:dyDescent="0.35">
      <c r="A1114" t="s">
        <v>256</v>
      </c>
      <c r="B1114" t="s">
        <v>277</v>
      </c>
      <c r="C1114" t="s">
        <v>276</v>
      </c>
      <c r="D1114">
        <v>0.49504950489999999</v>
      </c>
      <c r="E1114" t="s">
        <v>819</v>
      </c>
      <c r="F1114">
        <v>2023</v>
      </c>
      <c r="G1114" t="str">
        <f>TRIM(RIGHT(Table156[[#This Row],[Item-Codigo]], LEN(Table156[[#This Row],[Item-Codigo]]) - FIND("|", CONCATENATE(B1114), FIND("|", CONCATENATE(B1114)) + 1)))</f>
        <v>UND</v>
      </c>
      <c r="H111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1043-ME</v>
      </c>
      <c r="I1114" s="40" t="s">
        <v>813</v>
      </c>
      <c r="J111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0.49504950489999999</v>
      </c>
      <c r="K1114" t="s">
        <v>277</v>
      </c>
    </row>
    <row r="1115" spans="1:11" x14ac:dyDescent="0.35">
      <c r="A1115" t="s">
        <v>256</v>
      </c>
      <c r="B1115" t="s">
        <v>880</v>
      </c>
      <c r="C1115" t="s">
        <v>276</v>
      </c>
      <c r="D1115">
        <v>0.3</v>
      </c>
      <c r="E1115" t="s">
        <v>819</v>
      </c>
      <c r="F1115">
        <v>2023</v>
      </c>
      <c r="G1115" t="str">
        <f>TRIM(RIGHT(Table156[[#This Row],[Item-Codigo]], LEN(Table156[[#This Row],[Item-Codigo]]) - FIND("|", CONCATENATE(B1115), FIND("|", CONCATENATE(B1115)) + 1)))</f>
        <v>UND</v>
      </c>
      <c r="H111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1038-ME</v>
      </c>
      <c r="I1115" s="40" t="s">
        <v>515</v>
      </c>
      <c r="J111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0.3</v>
      </c>
      <c r="K1115" t="s">
        <v>880</v>
      </c>
    </row>
    <row r="1116" spans="1:11" x14ac:dyDescent="0.35">
      <c r="A1116" t="s">
        <v>256</v>
      </c>
      <c r="B1116" t="s">
        <v>278</v>
      </c>
      <c r="C1116" t="s">
        <v>276</v>
      </c>
      <c r="D1116">
        <v>0.7</v>
      </c>
      <c r="E1116" t="s">
        <v>819</v>
      </c>
      <c r="F1116">
        <v>2023</v>
      </c>
      <c r="G1116" t="str">
        <f>TRIM(RIGHT(Table156[[#This Row],[Item-Codigo]], LEN(Table156[[#This Row],[Item-Codigo]]) - FIND("|", CONCATENATE(B1116), FIND("|", CONCATENATE(B1116)) + 1)))</f>
        <v>UND</v>
      </c>
      <c r="H111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1033-ME</v>
      </c>
      <c r="I1116" s="40" t="s">
        <v>510</v>
      </c>
      <c r="J111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0.7</v>
      </c>
      <c r="K1116" t="s">
        <v>278</v>
      </c>
    </row>
    <row r="1117" spans="1:11" x14ac:dyDescent="0.35">
      <c r="A1117" t="s">
        <v>256</v>
      </c>
      <c r="B1117" t="s">
        <v>279</v>
      </c>
      <c r="C1117" t="s">
        <v>276</v>
      </c>
      <c r="D1117">
        <v>0.7</v>
      </c>
      <c r="E1117" t="s">
        <v>819</v>
      </c>
      <c r="F1117">
        <v>2023</v>
      </c>
      <c r="G1117" t="str">
        <f>TRIM(RIGHT(Table156[[#This Row],[Item-Codigo]], LEN(Table156[[#This Row],[Item-Codigo]]) - FIND("|", CONCATENATE(B1117), FIND("|", CONCATENATE(B1117)) + 1)))</f>
        <v>UND</v>
      </c>
      <c r="H111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1037-ME</v>
      </c>
      <c r="I1117" s="40" t="s">
        <v>514</v>
      </c>
      <c r="J111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0.7</v>
      </c>
      <c r="K1117" t="s">
        <v>279</v>
      </c>
    </row>
    <row r="1118" spans="1:11" x14ac:dyDescent="0.35">
      <c r="A1118" t="s">
        <v>256</v>
      </c>
      <c r="B1118" t="s">
        <v>881</v>
      </c>
      <c r="C1118" t="s">
        <v>276</v>
      </c>
      <c r="D1118">
        <v>0.70707070699999996</v>
      </c>
      <c r="E1118" t="s">
        <v>819</v>
      </c>
      <c r="F1118">
        <v>2023</v>
      </c>
      <c r="G1118" t="str">
        <f>TRIM(RIGHT(Table156[[#This Row],[Item-Codigo]], LEN(Table156[[#This Row],[Item-Codigo]]) - FIND("|", CONCATENATE(B1118), FIND("|", CONCATENATE(B1118)) + 1)))</f>
        <v>UND</v>
      </c>
      <c r="H111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1032-ME</v>
      </c>
      <c r="I1118" s="40" t="s">
        <v>509</v>
      </c>
      <c r="J111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0.70707070699999996</v>
      </c>
      <c r="K1118" t="s">
        <v>881</v>
      </c>
    </row>
    <row r="1119" spans="1:11" x14ac:dyDescent="0.35">
      <c r="A1119" t="s">
        <v>256</v>
      </c>
      <c r="B1119" t="s">
        <v>882</v>
      </c>
      <c r="C1119" t="s">
        <v>276</v>
      </c>
      <c r="D1119">
        <v>0.3</v>
      </c>
      <c r="E1119" t="s">
        <v>819</v>
      </c>
      <c r="F1119">
        <v>2023</v>
      </c>
      <c r="G1119" t="str">
        <f>TRIM(RIGHT(Table156[[#This Row],[Item-Codigo]], LEN(Table156[[#This Row],[Item-Codigo]]) - FIND("|", CONCATENATE(B1119), FIND("|", CONCATENATE(B1119)) + 1)))</f>
        <v>UND</v>
      </c>
      <c r="H111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1039-ME</v>
      </c>
      <c r="I1119" s="40" t="s">
        <v>516</v>
      </c>
      <c r="J111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0.3</v>
      </c>
      <c r="K1119" t="s">
        <v>882</v>
      </c>
    </row>
    <row r="1120" spans="1:11" x14ac:dyDescent="0.35">
      <c r="A1120" t="s">
        <v>256</v>
      </c>
      <c r="B1120" t="s">
        <v>883</v>
      </c>
      <c r="C1120" t="s">
        <v>276</v>
      </c>
      <c r="D1120">
        <v>0.67961165040000004</v>
      </c>
      <c r="E1120" t="s">
        <v>819</v>
      </c>
      <c r="F1120">
        <v>2023</v>
      </c>
      <c r="G1120" t="str">
        <f>TRIM(RIGHT(Table156[[#This Row],[Item-Codigo]], LEN(Table156[[#This Row],[Item-Codigo]]) - FIND("|", CONCATENATE(B1120), FIND("|", CONCATENATE(B1120)) + 1)))</f>
        <v>UND</v>
      </c>
      <c r="H112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1034-ME</v>
      </c>
      <c r="I1120" s="40" t="s">
        <v>511</v>
      </c>
      <c r="J112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0.67961165040000004</v>
      </c>
      <c r="K1120" t="s">
        <v>883</v>
      </c>
    </row>
    <row r="1121" spans="1:11" x14ac:dyDescent="0.35">
      <c r="A1121" t="s">
        <v>256</v>
      </c>
      <c r="B1121" t="s">
        <v>280</v>
      </c>
      <c r="C1121" t="s">
        <v>276</v>
      </c>
      <c r="D1121">
        <v>0.70234113710000001</v>
      </c>
      <c r="E1121" t="s">
        <v>819</v>
      </c>
      <c r="F1121">
        <v>2023</v>
      </c>
      <c r="G1121" t="str">
        <f>TRIM(RIGHT(Table156[[#This Row],[Item-Codigo]], LEN(Table156[[#This Row],[Item-Codigo]]) - FIND("|", CONCATENATE(B1121), FIND("|", CONCATENATE(B1121)) + 1)))</f>
        <v>UND</v>
      </c>
      <c r="H112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1040-ME</v>
      </c>
      <c r="I1121" s="40" t="s">
        <v>517</v>
      </c>
      <c r="J112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0.70234113710000001</v>
      </c>
      <c r="K1121" t="s">
        <v>280</v>
      </c>
    </row>
    <row r="1122" spans="1:11" x14ac:dyDescent="0.35">
      <c r="A1122" t="s">
        <v>256</v>
      </c>
      <c r="B1122" t="s">
        <v>884</v>
      </c>
      <c r="C1122" t="s">
        <v>276</v>
      </c>
      <c r="D1122">
        <v>0.3</v>
      </c>
      <c r="E1122" t="s">
        <v>819</v>
      </c>
      <c r="F1122">
        <v>2023</v>
      </c>
      <c r="G1122" t="str">
        <f>TRIM(RIGHT(Table156[[#This Row],[Item-Codigo]], LEN(Table156[[#This Row],[Item-Codigo]]) - FIND("|", CONCATENATE(B1122), FIND("|", CONCATENATE(B1122)) + 1)))</f>
        <v>UND</v>
      </c>
      <c r="H112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1041-ME</v>
      </c>
      <c r="I1122" s="40" t="s">
        <v>518</v>
      </c>
      <c r="J112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0.3</v>
      </c>
      <c r="K1122" t="s">
        <v>884</v>
      </c>
    </row>
    <row r="1123" spans="1:11" x14ac:dyDescent="0.35">
      <c r="A1123" t="s">
        <v>256</v>
      </c>
      <c r="B1123" t="s">
        <v>886</v>
      </c>
      <c r="C1123" t="s">
        <v>276</v>
      </c>
      <c r="D1123">
        <v>0.3</v>
      </c>
      <c r="E1123" t="s">
        <v>819</v>
      </c>
      <c r="F1123">
        <v>2023</v>
      </c>
      <c r="G1123" t="str">
        <f>TRIM(RIGHT(Table156[[#This Row],[Item-Codigo]], LEN(Table156[[#This Row],[Item-Codigo]]) - FIND("|", CONCATENATE(B1123), FIND("|", CONCATENATE(B1123)) + 1)))</f>
        <v>UND</v>
      </c>
      <c r="H112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1042-ME</v>
      </c>
      <c r="I1123" s="40" t="s">
        <v>519</v>
      </c>
      <c r="J112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0.3</v>
      </c>
      <c r="K1123" t="s">
        <v>886</v>
      </c>
    </row>
    <row r="1124" spans="1:11" x14ac:dyDescent="0.35">
      <c r="A1124" t="s">
        <v>256</v>
      </c>
      <c r="B1124" t="s">
        <v>887</v>
      </c>
      <c r="C1124" t="s">
        <v>282</v>
      </c>
      <c r="D1124">
        <v>0.23293</v>
      </c>
      <c r="E1124" t="s">
        <v>819</v>
      </c>
      <c r="F1124">
        <v>2023</v>
      </c>
      <c r="G1124" t="str">
        <f>TRIM(RIGHT(Table156[[#This Row],[Item-Codigo]], LEN(Table156[[#This Row],[Item-Codigo]]) - FIND("|", CONCATENATE(B1124), FIND("|", CONCATENATE(B1124)) + 1)))</f>
        <v>UND</v>
      </c>
      <c r="H112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0073-ME</v>
      </c>
      <c r="I1124" s="40" t="s">
        <v>468</v>
      </c>
      <c r="J112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0.23293</v>
      </c>
      <c r="K1124" t="s">
        <v>64</v>
      </c>
    </row>
    <row r="1125" spans="1:11" x14ac:dyDescent="0.35">
      <c r="A1125" t="s">
        <v>256</v>
      </c>
      <c r="B1125" t="s">
        <v>890</v>
      </c>
      <c r="C1125" t="s">
        <v>262</v>
      </c>
      <c r="D1125">
        <v>0.22099955120000001</v>
      </c>
      <c r="E1125" t="s">
        <v>819</v>
      </c>
      <c r="F1125">
        <v>2023</v>
      </c>
      <c r="G1125" t="str">
        <f>TRIM(RIGHT(Table156[[#This Row],[Item-Codigo]], LEN(Table156[[#This Row],[Item-Codigo]]) - FIND("|", CONCATENATE(B1125), FIND("|", CONCATENATE(B1125)) + 1)))</f>
        <v>UND</v>
      </c>
      <c r="H112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0996-ME</v>
      </c>
      <c r="I1125" s="40" t="s">
        <v>493</v>
      </c>
      <c r="J112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0.22099955120000001</v>
      </c>
      <c r="K1125" t="s">
        <v>121</v>
      </c>
    </row>
    <row r="1126" spans="1:11" x14ac:dyDescent="0.35">
      <c r="A1126" t="s">
        <v>256</v>
      </c>
      <c r="B1126" t="s">
        <v>293</v>
      </c>
      <c r="C1126" t="s">
        <v>263</v>
      </c>
      <c r="D1126">
        <v>0.21</v>
      </c>
      <c r="E1126" t="s">
        <v>819</v>
      </c>
      <c r="F1126">
        <v>2023</v>
      </c>
      <c r="G1126" t="str">
        <f>TRIM(RIGHT(Table156[[#This Row],[Item-Codigo]], LEN(Table156[[#This Row],[Item-Codigo]]) - FIND("|", CONCATENATE(B1126), FIND("|", CONCATENATE(B1126)) + 1)))</f>
        <v>UND</v>
      </c>
      <c r="H112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0201-ME</v>
      </c>
      <c r="I1126" s="40" t="s">
        <v>478</v>
      </c>
      <c r="J112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</v>
      </c>
      <c r="K1126" t="s">
        <v>105</v>
      </c>
    </row>
    <row r="1127" spans="1:11" x14ac:dyDescent="0.35">
      <c r="A1127" t="s">
        <v>256</v>
      </c>
      <c r="B1127" t="s">
        <v>891</v>
      </c>
      <c r="C1127" t="s">
        <v>262</v>
      </c>
      <c r="D1127">
        <v>0.2079</v>
      </c>
      <c r="E1127" t="s">
        <v>819</v>
      </c>
      <c r="F1127">
        <v>2023</v>
      </c>
      <c r="G1127" t="str">
        <f>TRIM(RIGHT(Table156[[#This Row],[Item-Codigo]], LEN(Table156[[#This Row],[Item-Codigo]]) - FIND("|", CONCATENATE(B1127), FIND("|", CONCATENATE(B1127)) + 1)))</f>
        <v>UND</v>
      </c>
      <c r="H112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0202-ME</v>
      </c>
      <c r="I1127" s="40" t="s">
        <v>479</v>
      </c>
      <c r="J112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0.2079</v>
      </c>
      <c r="K1127" t="s">
        <v>128</v>
      </c>
    </row>
    <row r="1128" spans="1:11" x14ac:dyDescent="0.35">
      <c r="A1128" t="s">
        <v>256</v>
      </c>
      <c r="B1128" t="s">
        <v>294</v>
      </c>
      <c r="C1128" t="s">
        <v>262</v>
      </c>
      <c r="D1128">
        <v>0.19789999999999999</v>
      </c>
      <c r="E1128" t="s">
        <v>819</v>
      </c>
      <c r="F1128">
        <v>2023</v>
      </c>
      <c r="G1128" t="str">
        <f>TRIM(RIGHT(Table156[[#This Row],[Item-Codigo]], LEN(Table156[[#This Row],[Item-Codigo]]) - FIND("|", CONCATENATE(B1128), FIND("|", CONCATENATE(B1128)) + 1)))</f>
        <v>UND</v>
      </c>
      <c r="H112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0111-ME</v>
      </c>
      <c r="I1128" s="40" t="s">
        <v>472</v>
      </c>
      <c r="J112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0.19789999999999999</v>
      </c>
      <c r="K1128" t="s">
        <v>125</v>
      </c>
    </row>
    <row r="1129" spans="1:11" x14ac:dyDescent="0.35">
      <c r="A1129" t="s">
        <v>256</v>
      </c>
      <c r="B1129" t="s">
        <v>893</v>
      </c>
      <c r="C1129" t="s">
        <v>263</v>
      </c>
      <c r="D1129">
        <v>0.22509963569999999</v>
      </c>
      <c r="E1129" t="s">
        <v>819</v>
      </c>
      <c r="F1129">
        <v>2023</v>
      </c>
      <c r="G1129" t="str">
        <f>TRIM(RIGHT(Table156[[#This Row],[Item-Codigo]], LEN(Table156[[#This Row],[Item-Codigo]]) - FIND("|", CONCATENATE(B1129), FIND("|", CONCATENATE(B1129)) + 1)))</f>
        <v>UND</v>
      </c>
      <c r="H112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0983-ME</v>
      </c>
      <c r="I1129" s="40" t="s">
        <v>484</v>
      </c>
      <c r="J112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0.22509963569999999</v>
      </c>
      <c r="K1129" t="s">
        <v>113</v>
      </c>
    </row>
    <row r="1130" spans="1:11" x14ac:dyDescent="0.35">
      <c r="A1130" t="s">
        <v>305</v>
      </c>
      <c r="B1130" t="s">
        <v>320</v>
      </c>
      <c r="C1130" t="s">
        <v>321</v>
      </c>
      <c r="D1130">
        <v>8.75</v>
      </c>
      <c r="E1130" t="s">
        <v>819</v>
      </c>
      <c r="F1130">
        <v>2023</v>
      </c>
      <c r="G1130" t="str">
        <f>TRIM(RIGHT(Table156[[#This Row],[Item-Codigo]], LEN(Table156[[#This Row],[Item-Codigo]]) - FIND("|", CONCATENATE(B1130), FIND("|", CONCATENATE(B1130)) + 1)))</f>
        <v>KG</v>
      </c>
      <c r="H113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1009</v>
      </c>
      <c r="I1130" s="40">
        <v>1009</v>
      </c>
      <c r="J113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8750</v>
      </c>
      <c r="K1130" t="s">
        <v>73</v>
      </c>
    </row>
    <row r="1131" spans="1:11" x14ac:dyDescent="0.35">
      <c r="A1131" t="s">
        <v>305</v>
      </c>
      <c r="B1131" t="s">
        <v>324</v>
      </c>
      <c r="C1131" t="s">
        <v>323</v>
      </c>
      <c r="D1131">
        <v>4</v>
      </c>
      <c r="E1131" t="s">
        <v>819</v>
      </c>
      <c r="F1131">
        <v>2023</v>
      </c>
      <c r="G1131" t="str">
        <f>TRIM(RIGHT(Table156[[#This Row],[Item-Codigo]], LEN(Table156[[#This Row],[Item-Codigo]]) - FIND("|", CONCATENATE(B1131), FIND("|", CONCATENATE(B1131)) + 1)))</f>
        <v>KG</v>
      </c>
      <c r="H113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1070</v>
      </c>
      <c r="I1131" s="40">
        <v>1070</v>
      </c>
      <c r="J113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</v>
      </c>
      <c r="K1131" t="s">
        <v>75</v>
      </c>
    </row>
    <row r="1132" spans="1:11" x14ac:dyDescent="0.35">
      <c r="A1132" t="s">
        <v>305</v>
      </c>
      <c r="B1132" t="s">
        <v>335</v>
      </c>
      <c r="C1132" t="s">
        <v>309</v>
      </c>
      <c r="D1132">
        <v>1.6</v>
      </c>
      <c r="E1132" t="s">
        <v>819</v>
      </c>
      <c r="F1132">
        <v>2023</v>
      </c>
      <c r="G1132" t="str">
        <f>TRIM(RIGHT(Table156[[#This Row],[Item-Codigo]], LEN(Table156[[#This Row],[Item-Codigo]]) - FIND("|", CONCATENATE(B1132), FIND("|", CONCATENATE(B1132)) + 1)))</f>
        <v>KG</v>
      </c>
      <c r="H113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131.3</v>
      </c>
      <c r="I1132" s="40" t="s">
        <v>523</v>
      </c>
      <c r="J113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1600</v>
      </c>
      <c r="K1132" t="s">
        <v>83</v>
      </c>
    </row>
    <row r="1133" spans="1:11" x14ac:dyDescent="0.35">
      <c r="A1133" t="s">
        <v>305</v>
      </c>
      <c r="B1133" t="s">
        <v>336</v>
      </c>
      <c r="C1133" t="s">
        <v>327</v>
      </c>
      <c r="D1133">
        <v>5</v>
      </c>
      <c r="E1133" t="s">
        <v>819</v>
      </c>
      <c r="F1133">
        <v>2023</v>
      </c>
      <c r="G1133" t="str">
        <f>TRIM(RIGHT(Table156[[#This Row],[Item-Codigo]], LEN(Table156[[#This Row],[Item-Codigo]]) - FIND("|", CONCATENATE(B1133), FIND("|", CONCATENATE(B1133)) + 1)))</f>
        <v>KG</v>
      </c>
      <c r="H113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340.1</v>
      </c>
      <c r="I1133" s="40" t="s">
        <v>529</v>
      </c>
      <c r="J113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5000</v>
      </c>
      <c r="K1133" t="s">
        <v>84</v>
      </c>
    </row>
    <row r="1134" spans="1:11" x14ac:dyDescent="0.35">
      <c r="A1134" t="s">
        <v>305</v>
      </c>
      <c r="B1134" t="s">
        <v>346</v>
      </c>
      <c r="C1134" t="s">
        <v>327</v>
      </c>
      <c r="D1134">
        <v>9</v>
      </c>
      <c r="E1134" t="s">
        <v>819</v>
      </c>
      <c r="F1134">
        <v>2023</v>
      </c>
      <c r="G1134" t="str">
        <f>TRIM(RIGHT(Table156[[#This Row],[Item-Codigo]], LEN(Table156[[#This Row],[Item-Codigo]]) - FIND("|", CONCATENATE(B1134), FIND("|", CONCATENATE(B1134)) + 1)))</f>
        <v>KG</v>
      </c>
      <c r="H113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492.12</v>
      </c>
      <c r="I1134" s="40" t="s">
        <v>539</v>
      </c>
      <c r="J113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1134" t="s">
        <v>91</v>
      </c>
    </row>
    <row r="1135" spans="1:11" x14ac:dyDescent="0.35">
      <c r="A1135" t="s">
        <v>305</v>
      </c>
      <c r="B1135" t="s">
        <v>347</v>
      </c>
      <c r="C1135" t="s">
        <v>348</v>
      </c>
      <c r="D1135">
        <v>18</v>
      </c>
      <c r="E1135" t="s">
        <v>819</v>
      </c>
      <c r="F1135">
        <v>2023</v>
      </c>
      <c r="G1135" t="str">
        <f>TRIM(RIGHT(Table156[[#This Row],[Item-Codigo]], LEN(Table156[[#This Row],[Item-Codigo]]) - FIND("|", CONCATENATE(B1135), FIND("|", CONCATENATE(B1135)) + 1)))</f>
        <v>KG</v>
      </c>
      <c r="H113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550</v>
      </c>
      <c r="I1135" s="40">
        <v>550</v>
      </c>
      <c r="J113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18000</v>
      </c>
      <c r="K1135" t="s">
        <v>92</v>
      </c>
    </row>
    <row r="1136" spans="1:11" x14ac:dyDescent="0.35">
      <c r="A1136" t="s">
        <v>305</v>
      </c>
      <c r="B1136" t="s">
        <v>350</v>
      </c>
      <c r="C1136" t="s">
        <v>351</v>
      </c>
      <c r="D1136">
        <v>1.75</v>
      </c>
      <c r="E1136" t="s">
        <v>819</v>
      </c>
      <c r="F1136">
        <v>2023</v>
      </c>
      <c r="G1136" t="str">
        <f>TRIM(RIGHT(Table156[[#This Row],[Item-Codigo]], LEN(Table156[[#This Row],[Item-Codigo]]) - FIND("|", CONCATENATE(B1136), FIND("|", CONCATENATE(B1136)) + 1)))</f>
        <v>KG</v>
      </c>
      <c r="H113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173</v>
      </c>
      <c r="I1136" s="40">
        <v>173</v>
      </c>
      <c r="J113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1750</v>
      </c>
      <c r="K1136" t="s">
        <v>138</v>
      </c>
    </row>
    <row r="1137" spans="1:11" x14ac:dyDescent="0.35">
      <c r="A1137" t="s">
        <v>305</v>
      </c>
      <c r="B1137" t="s">
        <v>352</v>
      </c>
      <c r="C1137" t="s">
        <v>353</v>
      </c>
      <c r="D1137">
        <v>9.35</v>
      </c>
      <c r="E1137" t="s">
        <v>819</v>
      </c>
      <c r="F1137">
        <v>2023</v>
      </c>
      <c r="G1137" t="str">
        <f>TRIM(RIGHT(Table156[[#This Row],[Item-Codigo]], LEN(Table156[[#This Row],[Item-Codigo]]) - FIND("|", CONCATENATE(B1137), FIND("|", CONCATENATE(B1137)) + 1)))</f>
        <v>KG</v>
      </c>
      <c r="H113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742</v>
      </c>
      <c r="I1137" s="40">
        <v>742</v>
      </c>
      <c r="J113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9350</v>
      </c>
      <c r="K1137" t="s">
        <v>147</v>
      </c>
    </row>
    <row r="1138" spans="1:11" x14ac:dyDescent="0.35">
      <c r="A1138" t="s">
        <v>305</v>
      </c>
      <c r="B1138" t="s">
        <v>354</v>
      </c>
      <c r="C1138" t="s">
        <v>353</v>
      </c>
      <c r="D1138">
        <v>9.24</v>
      </c>
      <c r="E1138" t="s">
        <v>819</v>
      </c>
      <c r="F1138">
        <v>2023</v>
      </c>
      <c r="G1138" t="str">
        <f>TRIM(RIGHT(Table156[[#This Row],[Item-Codigo]], LEN(Table156[[#This Row],[Item-Codigo]]) - FIND("|", CONCATENATE(B1138), FIND("|", CONCATENATE(B1138)) + 1)))</f>
        <v>KG</v>
      </c>
      <c r="H113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741</v>
      </c>
      <c r="I1138" s="40">
        <v>741</v>
      </c>
      <c r="J113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9240</v>
      </c>
      <c r="K1138" t="s">
        <v>146</v>
      </c>
    </row>
    <row r="1139" spans="1:11" x14ac:dyDescent="0.35">
      <c r="A1139" t="s">
        <v>305</v>
      </c>
      <c r="B1139" t="s">
        <v>356</v>
      </c>
      <c r="C1139" t="s">
        <v>357</v>
      </c>
      <c r="D1139">
        <v>6.6</v>
      </c>
      <c r="E1139" t="s">
        <v>819</v>
      </c>
      <c r="F1139">
        <v>2023</v>
      </c>
      <c r="G1139" t="str">
        <f>TRIM(RIGHT(Table156[[#This Row],[Item-Codigo]], LEN(Table156[[#This Row],[Item-Codigo]]) - FIND("|", CONCATENATE(B1139), FIND("|", CONCATENATE(B1139)) + 1)))</f>
        <v>KG</v>
      </c>
      <c r="H113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1016</v>
      </c>
      <c r="I1139" s="40">
        <v>1016</v>
      </c>
      <c r="J113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6600</v>
      </c>
      <c r="K1139" t="s">
        <v>177</v>
      </c>
    </row>
    <row r="1140" spans="1:11" x14ac:dyDescent="0.35">
      <c r="A1140" t="s">
        <v>305</v>
      </c>
      <c r="B1140" t="s">
        <v>360</v>
      </c>
      <c r="C1140" t="s">
        <v>215</v>
      </c>
      <c r="D1140">
        <v>962.06809050530001</v>
      </c>
      <c r="E1140" t="s">
        <v>819</v>
      </c>
      <c r="F1140">
        <v>2023</v>
      </c>
      <c r="G1140" t="str">
        <f>TRIM(RIGHT(Table156[[#This Row],[Item-Codigo]], LEN(Table156[[#This Row],[Item-Codigo]]) - FIND("|", CONCATENATE(B1140), FIND("|", CONCATENATE(B1140)) + 1)))</f>
        <v>TM</v>
      </c>
      <c r="H114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</v>
      </c>
      <c r="I1140" s="40">
        <v>45</v>
      </c>
      <c r="J114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962.06809050530001</v>
      </c>
      <c r="K1140" t="s">
        <v>131</v>
      </c>
    </row>
    <row r="1141" spans="1:11" x14ac:dyDescent="0.35">
      <c r="A1141" t="s">
        <v>305</v>
      </c>
      <c r="B1141" t="s">
        <v>362</v>
      </c>
      <c r="C1141" t="s">
        <v>363</v>
      </c>
      <c r="D1141">
        <v>1.3148</v>
      </c>
      <c r="E1141" t="s">
        <v>819</v>
      </c>
      <c r="F1141">
        <v>2023</v>
      </c>
      <c r="G1141" t="str">
        <f>TRIM(RIGHT(Table156[[#This Row],[Item-Codigo]], LEN(Table156[[#This Row],[Item-Codigo]]) - FIND("|", CONCATENATE(B1141), FIND("|", CONCATENATE(B1141)) + 1)))</f>
        <v>KG</v>
      </c>
      <c r="H114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439</v>
      </c>
      <c r="I1141" s="40">
        <v>439</v>
      </c>
      <c r="J114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1314.8</v>
      </c>
      <c r="K1141" t="s">
        <v>137</v>
      </c>
    </row>
    <row r="1142" spans="1:11" x14ac:dyDescent="0.35">
      <c r="A1142" t="s">
        <v>305</v>
      </c>
      <c r="B1142" t="s">
        <v>364</v>
      </c>
      <c r="C1142" t="s">
        <v>365</v>
      </c>
      <c r="D1142">
        <v>1.43</v>
      </c>
      <c r="E1142" t="s">
        <v>819</v>
      </c>
      <c r="F1142">
        <v>2023</v>
      </c>
      <c r="G1142" t="str">
        <f>TRIM(RIGHT(Table156[[#This Row],[Item-Codigo]], LEN(Table156[[#This Row],[Item-Codigo]]) - FIND("|", CONCATENATE(B1142), FIND("|", CONCATENATE(B1142)) + 1)))</f>
        <v>KG</v>
      </c>
      <c r="H114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488.1</v>
      </c>
      <c r="I1142" s="40" t="s">
        <v>538</v>
      </c>
      <c r="J114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1430</v>
      </c>
      <c r="K1142" t="s">
        <v>149</v>
      </c>
    </row>
    <row r="1143" spans="1:11" x14ac:dyDescent="0.35">
      <c r="A1143" t="s">
        <v>305</v>
      </c>
      <c r="B1143" t="s">
        <v>367</v>
      </c>
      <c r="C1143" t="s">
        <v>321</v>
      </c>
      <c r="D1143">
        <v>2.15</v>
      </c>
      <c r="E1143" t="s">
        <v>819</v>
      </c>
      <c r="F1143">
        <v>2023</v>
      </c>
      <c r="G1143" t="str">
        <f>TRIM(RIGHT(Table156[[#This Row],[Item-Codigo]], LEN(Table156[[#This Row],[Item-Codigo]]) - FIND("|", CONCATENATE(B1143), FIND("|", CONCATENATE(B1143)) + 1)))</f>
        <v>KG</v>
      </c>
      <c r="H114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910</v>
      </c>
      <c r="I1143" s="40">
        <v>910</v>
      </c>
      <c r="J114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2150</v>
      </c>
      <c r="K1143" t="s">
        <v>136</v>
      </c>
    </row>
    <row r="1144" spans="1:11" x14ac:dyDescent="0.35">
      <c r="A1144" t="s">
        <v>305</v>
      </c>
      <c r="B1144" t="s">
        <v>372</v>
      </c>
      <c r="C1144" t="s">
        <v>373</v>
      </c>
      <c r="D1144">
        <v>1.2</v>
      </c>
      <c r="E1144" t="s">
        <v>819</v>
      </c>
      <c r="F1144">
        <v>2023</v>
      </c>
      <c r="G1144" t="str">
        <f>TRIM(RIGHT(Table156[[#This Row],[Item-Codigo]], LEN(Table156[[#This Row],[Item-Codigo]]) - FIND("|", CONCATENATE(B1144), FIND("|", CONCATENATE(B1144)) + 1)))</f>
        <v>KG</v>
      </c>
      <c r="H114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701.2</v>
      </c>
      <c r="I1144" s="40" t="s">
        <v>553</v>
      </c>
      <c r="J114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1200</v>
      </c>
      <c r="K1144" t="s">
        <v>140</v>
      </c>
    </row>
    <row r="1145" spans="1:11" x14ac:dyDescent="0.35">
      <c r="A1145" t="s">
        <v>305</v>
      </c>
      <c r="B1145" t="s">
        <v>375</v>
      </c>
      <c r="C1145" t="s">
        <v>317</v>
      </c>
      <c r="D1145">
        <v>6</v>
      </c>
      <c r="E1145" t="s">
        <v>819</v>
      </c>
      <c r="F1145">
        <v>2023</v>
      </c>
      <c r="G1145" t="str">
        <f>TRIM(RIGHT(Table156[[#This Row],[Item-Codigo]], LEN(Table156[[#This Row],[Item-Codigo]]) - FIND("|", CONCATENATE(B1145), FIND("|", CONCATENATE(B1145)) + 1)))</f>
        <v>KG</v>
      </c>
      <c r="H114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945</v>
      </c>
      <c r="I1145" s="40">
        <v>945</v>
      </c>
      <c r="J114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1145" t="s">
        <v>148</v>
      </c>
    </row>
    <row r="1146" spans="1:11" x14ac:dyDescent="0.35">
      <c r="A1146" t="s">
        <v>305</v>
      </c>
      <c r="B1146" t="s">
        <v>382</v>
      </c>
      <c r="C1146" t="s">
        <v>327</v>
      </c>
      <c r="D1146">
        <v>8</v>
      </c>
      <c r="E1146" t="s">
        <v>819</v>
      </c>
      <c r="F1146">
        <v>2023</v>
      </c>
      <c r="G1146" t="str">
        <f>TRIM(RIGHT(Table156[[#This Row],[Item-Codigo]], LEN(Table156[[#This Row],[Item-Codigo]]) - FIND("|", CONCATENATE(B1146), FIND("|", CONCATENATE(B1146)) + 1)))</f>
        <v>KG</v>
      </c>
      <c r="H114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68</v>
      </c>
      <c r="I1146" s="40">
        <v>68</v>
      </c>
      <c r="J114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8000</v>
      </c>
      <c r="K1146" t="s">
        <v>160</v>
      </c>
    </row>
    <row r="1147" spans="1:11" x14ac:dyDescent="0.35">
      <c r="A1147" t="s">
        <v>305</v>
      </c>
      <c r="B1147" t="s">
        <v>383</v>
      </c>
      <c r="C1147" t="s">
        <v>317</v>
      </c>
      <c r="D1147">
        <v>7.8</v>
      </c>
      <c r="E1147" t="s">
        <v>819</v>
      </c>
      <c r="F1147">
        <v>2023</v>
      </c>
      <c r="G1147" t="str">
        <f>TRIM(RIGHT(Table156[[#This Row],[Item-Codigo]], LEN(Table156[[#This Row],[Item-Codigo]]) - FIND("|", CONCATENATE(B1147), FIND("|", CONCATENATE(B1147)) + 1)))</f>
        <v>KG</v>
      </c>
      <c r="H114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1059</v>
      </c>
      <c r="I1147" s="40">
        <v>1059</v>
      </c>
      <c r="J114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7800</v>
      </c>
      <c r="K1147" t="s">
        <v>151</v>
      </c>
    </row>
    <row r="1148" spans="1:11" x14ac:dyDescent="0.35">
      <c r="A1148" t="s">
        <v>305</v>
      </c>
      <c r="B1148" t="s">
        <v>386</v>
      </c>
      <c r="C1148" t="s">
        <v>351</v>
      </c>
      <c r="D1148">
        <v>5.75</v>
      </c>
      <c r="E1148" t="s">
        <v>819</v>
      </c>
      <c r="F1148">
        <v>2023</v>
      </c>
      <c r="G1148" t="str">
        <f>TRIM(RIGHT(Table156[[#This Row],[Item-Codigo]], LEN(Table156[[#This Row],[Item-Codigo]]) - FIND("|", CONCATENATE(B1148), FIND("|", CONCATENATE(B1148)) + 1)))</f>
        <v>KG</v>
      </c>
      <c r="H114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110.2</v>
      </c>
      <c r="I1148" s="40" t="s">
        <v>522</v>
      </c>
      <c r="J114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5750</v>
      </c>
      <c r="K1148" t="s">
        <v>170</v>
      </c>
    </row>
    <row r="1149" spans="1:11" x14ac:dyDescent="0.35">
      <c r="A1149" t="s">
        <v>305</v>
      </c>
      <c r="B1149" t="s">
        <v>389</v>
      </c>
      <c r="C1149" t="s">
        <v>390</v>
      </c>
      <c r="D1149">
        <v>1.05</v>
      </c>
      <c r="E1149" t="s">
        <v>819</v>
      </c>
      <c r="F1149">
        <v>2023</v>
      </c>
      <c r="G1149" t="str">
        <f>TRIM(RIGHT(Table156[[#This Row],[Item-Codigo]], LEN(Table156[[#This Row],[Item-Codigo]]) - FIND("|", CONCATENATE(B1149), FIND("|", CONCATENATE(B1149)) + 1)))</f>
        <v>KG</v>
      </c>
      <c r="H114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806</v>
      </c>
      <c r="I1149" s="40">
        <v>806</v>
      </c>
      <c r="J114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1050</v>
      </c>
      <c r="K1149" t="s">
        <v>134</v>
      </c>
    </row>
    <row r="1150" spans="1:11" x14ac:dyDescent="0.35">
      <c r="A1150" t="s">
        <v>305</v>
      </c>
      <c r="B1150" t="s">
        <v>394</v>
      </c>
      <c r="C1150" t="s">
        <v>395</v>
      </c>
      <c r="D1150">
        <v>19.75</v>
      </c>
      <c r="E1150" t="s">
        <v>819</v>
      </c>
      <c r="F1150">
        <v>2023</v>
      </c>
      <c r="G1150" t="str">
        <f>TRIM(RIGHT(Table156[[#This Row],[Item-Codigo]], LEN(Table156[[#This Row],[Item-Codigo]]) - FIND("|", CONCATENATE(B1150), FIND("|", CONCATENATE(B1150)) + 1)))</f>
        <v>KG</v>
      </c>
      <c r="H115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</v>
      </c>
      <c r="I1150" s="40">
        <v>70</v>
      </c>
      <c r="J115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19750</v>
      </c>
      <c r="K1150" t="s">
        <v>159</v>
      </c>
    </row>
    <row r="1151" spans="1:11" x14ac:dyDescent="0.35">
      <c r="A1151" t="s">
        <v>305</v>
      </c>
      <c r="B1151" t="s">
        <v>396</v>
      </c>
      <c r="C1151" t="s">
        <v>345</v>
      </c>
      <c r="D1151">
        <v>13.4</v>
      </c>
      <c r="E1151" t="s">
        <v>819</v>
      </c>
      <c r="F1151">
        <v>2023</v>
      </c>
      <c r="G1151" t="str">
        <f>TRIM(RIGHT(Table156[[#This Row],[Item-Codigo]], LEN(Table156[[#This Row],[Item-Codigo]]) - FIND("|", CONCATENATE(B1151), FIND("|", CONCATENATE(B1151)) + 1)))</f>
        <v>KG</v>
      </c>
      <c r="H115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58</v>
      </c>
      <c r="I1151" s="40">
        <v>58</v>
      </c>
      <c r="J115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13400</v>
      </c>
      <c r="K1151" t="s">
        <v>172</v>
      </c>
    </row>
    <row r="1152" spans="1:11" x14ac:dyDescent="0.35">
      <c r="A1152" t="s">
        <v>305</v>
      </c>
      <c r="B1152" t="s">
        <v>397</v>
      </c>
      <c r="C1152" t="s">
        <v>327</v>
      </c>
      <c r="D1152">
        <v>9</v>
      </c>
      <c r="E1152" t="s">
        <v>819</v>
      </c>
      <c r="F1152">
        <v>2023</v>
      </c>
      <c r="G1152" t="str">
        <f>TRIM(RIGHT(Table156[[#This Row],[Item-Codigo]], LEN(Table156[[#This Row],[Item-Codigo]]) - FIND("|", CONCATENATE(B1152), FIND("|", CONCATENATE(B1152)) + 1)))</f>
        <v>KG</v>
      </c>
      <c r="H115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933</v>
      </c>
      <c r="I1152" s="40">
        <v>933</v>
      </c>
      <c r="J115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1152" t="s">
        <v>163</v>
      </c>
    </row>
    <row r="1153" spans="1:11" x14ac:dyDescent="0.35">
      <c r="A1153" t="s">
        <v>305</v>
      </c>
      <c r="B1153" t="s">
        <v>919</v>
      </c>
      <c r="C1153" t="s">
        <v>399</v>
      </c>
      <c r="D1153">
        <v>3.9661654135000002</v>
      </c>
      <c r="E1153" t="s">
        <v>819</v>
      </c>
      <c r="F1153">
        <v>2023</v>
      </c>
      <c r="G1153" t="str">
        <f>TRIM(RIGHT(Table156[[#This Row],[Item-Codigo]], LEN(Table156[[#This Row],[Item-Codigo]]) - FIND("|", CONCATENATE(B1153), FIND("|", CONCATENATE(B1153)) + 1)))</f>
        <v>S 25KG</v>
      </c>
      <c r="H115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704</v>
      </c>
      <c r="I1153" s="40">
        <v>704</v>
      </c>
      <c r="J115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3966.1654135000003</v>
      </c>
      <c r="K1153" t="s">
        <v>132</v>
      </c>
    </row>
    <row r="1154" spans="1:11" x14ac:dyDescent="0.35">
      <c r="A1154" t="s">
        <v>305</v>
      </c>
      <c r="B1154" t="s">
        <v>921</v>
      </c>
      <c r="C1154" t="s">
        <v>348</v>
      </c>
      <c r="D1154">
        <v>4</v>
      </c>
      <c r="E1154" t="s">
        <v>819</v>
      </c>
      <c r="F1154">
        <v>2023</v>
      </c>
      <c r="G1154" t="str">
        <f>TRIM(RIGHT(Table156[[#This Row],[Item-Codigo]], LEN(Table156[[#This Row],[Item-Codigo]]) - FIND("|", CONCATENATE(B1154), FIND("|", CONCATENATE(B1154)) + 1)))</f>
        <v>KG</v>
      </c>
      <c r="H115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475.1</v>
      </c>
      <c r="I1154" s="40" t="s">
        <v>537</v>
      </c>
      <c r="J115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</v>
      </c>
      <c r="K1154" t="s">
        <v>82</v>
      </c>
    </row>
    <row r="1155" spans="1:11" x14ac:dyDescent="0.35">
      <c r="A1155" t="s">
        <v>305</v>
      </c>
      <c r="B1155" t="s">
        <v>400</v>
      </c>
      <c r="C1155" t="s">
        <v>319</v>
      </c>
      <c r="D1155">
        <v>14.96</v>
      </c>
      <c r="E1155" t="s">
        <v>819</v>
      </c>
      <c r="F1155">
        <v>2023</v>
      </c>
      <c r="G1155" t="str">
        <f>TRIM(RIGHT(Table156[[#This Row],[Item-Codigo]], LEN(Table156[[#This Row],[Item-Codigo]]) - FIND("|", CONCATENATE(B1155), FIND("|", CONCATENATE(B1155)) + 1)))</f>
        <v>KG</v>
      </c>
      <c r="H115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907</v>
      </c>
      <c r="I1155" s="40">
        <v>907</v>
      </c>
      <c r="J115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14960</v>
      </c>
      <c r="K1155" t="s">
        <v>155</v>
      </c>
    </row>
    <row r="1156" spans="1:11" x14ac:dyDescent="0.35">
      <c r="A1156" t="s">
        <v>305</v>
      </c>
      <c r="B1156" t="s">
        <v>402</v>
      </c>
      <c r="C1156" t="s">
        <v>404</v>
      </c>
      <c r="D1156">
        <v>3.1</v>
      </c>
      <c r="E1156" t="s">
        <v>819</v>
      </c>
      <c r="F1156">
        <v>2023</v>
      </c>
      <c r="G1156" t="str">
        <f>TRIM(RIGHT(Table156[[#This Row],[Item-Codigo]], LEN(Table156[[#This Row],[Item-Codigo]]) - FIND("|", CONCATENATE(B1156), FIND("|", CONCATENATE(B1156)) + 1)))</f>
        <v>KG</v>
      </c>
      <c r="H115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716</v>
      </c>
      <c r="I1156" s="40">
        <v>716</v>
      </c>
      <c r="J115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3100</v>
      </c>
      <c r="K1156" t="s">
        <v>162</v>
      </c>
    </row>
    <row r="1157" spans="1:11" x14ac:dyDescent="0.35">
      <c r="A1157" t="s">
        <v>305</v>
      </c>
      <c r="B1157" t="s">
        <v>407</v>
      </c>
      <c r="C1157" t="s">
        <v>390</v>
      </c>
      <c r="D1157">
        <v>1.18</v>
      </c>
      <c r="E1157" t="s">
        <v>819</v>
      </c>
      <c r="F1157">
        <v>2023</v>
      </c>
      <c r="G1157" t="str">
        <f>TRIM(RIGHT(Table156[[#This Row],[Item-Codigo]], LEN(Table156[[#This Row],[Item-Codigo]]) - FIND("|", CONCATENATE(B1157), FIND("|", CONCATENATE(B1157)) + 1)))</f>
        <v>KG</v>
      </c>
      <c r="H115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46.5</v>
      </c>
      <c r="I1157" s="40" t="s">
        <v>535</v>
      </c>
      <c r="J115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1180</v>
      </c>
      <c r="K1157" t="s">
        <v>161</v>
      </c>
    </row>
    <row r="1158" spans="1:11" x14ac:dyDescent="0.35">
      <c r="A1158" t="s">
        <v>305</v>
      </c>
      <c r="B1158" t="s">
        <v>409</v>
      </c>
      <c r="C1158" t="s">
        <v>215</v>
      </c>
      <c r="D1158">
        <v>1495</v>
      </c>
      <c r="E1158" t="s">
        <v>819</v>
      </c>
      <c r="F1158">
        <v>2023</v>
      </c>
      <c r="G1158" t="str">
        <f>TRIM(RIGHT(Table156[[#This Row],[Item-Codigo]], LEN(Table156[[#This Row],[Item-Codigo]]) - FIND("|", CONCATENATE(B1158), FIND("|", CONCATENATE(B1158)) + 1)))</f>
        <v>TM</v>
      </c>
      <c r="H115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379</v>
      </c>
      <c r="I1158" s="40">
        <v>379</v>
      </c>
      <c r="J115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1495</v>
      </c>
      <c r="K1158" t="s">
        <v>139</v>
      </c>
    </row>
    <row r="1159" spans="1:11" x14ac:dyDescent="0.35">
      <c r="A1159" t="s">
        <v>305</v>
      </c>
      <c r="B1159" t="s">
        <v>929</v>
      </c>
      <c r="C1159" t="s">
        <v>215</v>
      </c>
      <c r="D1159">
        <v>8390</v>
      </c>
      <c r="E1159" t="s">
        <v>819</v>
      </c>
      <c r="F1159">
        <v>2023</v>
      </c>
      <c r="G1159" t="str">
        <f>TRIM(RIGHT(Table156[[#This Row],[Item-Codigo]], LEN(Table156[[#This Row],[Item-Codigo]]) - FIND("|", CONCATENATE(B1159), FIND("|", CONCATENATE(B1159)) + 1)))</f>
        <v>TM</v>
      </c>
      <c r="H115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442.4</v>
      </c>
      <c r="I1159" s="40" t="s">
        <v>531</v>
      </c>
      <c r="J115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8390</v>
      </c>
      <c r="K1159" t="s">
        <v>164</v>
      </c>
    </row>
    <row r="1160" spans="1:11" x14ac:dyDescent="0.35">
      <c r="A1160" t="s">
        <v>305</v>
      </c>
      <c r="B1160" t="s">
        <v>410</v>
      </c>
      <c r="C1160" t="s">
        <v>313</v>
      </c>
      <c r="D1160">
        <v>5.12</v>
      </c>
      <c r="E1160" t="s">
        <v>819</v>
      </c>
      <c r="F1160">
        <v>2023</v>
      </c>
      <c r="G1160" t="str">
        <f>TRIM(RIGHT(Table156[[#This Row],[Item-Codigo]], LEN(Table156[[#This Row],[Item-Codigo]]) - FIND("|", CONCATENATE(B1160), FIND("|", CONCATENATE(B1160)) + 1)))</f>
        <v>KG</v>
      </c>
      <c r="H116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508</v>
      </c>
      <c r="I1160" s="40">
        <v>508</v>
      </c>
      <c r="J116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5120</v>
      </c>
      <c r="K1160" t="s">
        <v>154</v>
      </c>
    </row>
    <row r="1161" spans="1:11" x14ac:dyDescent="0.35">
      <c r="A1161" t="s">
        <v>305</v>
      </c>
      <c r="B1161" t="s">
        <v>410</v>
      </c>
      <c r="C1161" t="s">
        <v>315</v>
      </c>
      <c r="D1161">
        <v>5.0999999999999996</v>
      </c>
      <c r="E1161" t="s">
        <v>819</v>
      </c>
      <c r="F1161">
        <v>2023</v>
      </c>
      <c r="G1161" t="str">
        <f>TRIM(RIGHT(Table156[[#This Row],[Item-Codigo]], LEN(Table156[[#This Row],[Item-Codigo]]) - FIND("|", CONCATENATE(B1161), FIND("|", CONCATENATE(B1161)) + 1)))</f>
        <v>KG</v>
      </c>
      <c r="H116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508</v>
      </c>
      <c r="I1161" s="40">
        <v>508</v>
      </c>
      <c r="J116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5100</v>
      </c>
      <c r="K1161" t="s">
        <v>154</v>
      </c>
    </row>
    <row r="1162" spans="1:11" x14ac:dyDescent="0.35">
      <c r="A1162" t="s">
        <v>305</v>
      </c>
      <c r="B1162" t="s">
        <v>411</v>
      </c>
      <c r="C1162" t="s">
        <v>215</v>
      </c>
      <c r="D1162">
        <v>2565</v>
      </c>
      <c r="E1162" t="s">
        <v>819</v>
      </c>
      <c r="F1162">
        <v>2023</v>
      </c>
      <c r="G1162" t="str">
        <f>TRIM(RIGHT(Table156[[#This Row],[Item-Codigo]], LEN(Table156[[#This Row],[Item-Codigo]]) - FIND("|", CONCATENATE(B1162), FIND("|", CONCATENATE(B1162)) + 1)))</f>
        <v>TM</v>
      </c>
      <c r="H116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508</v>
      </c>
      <c r="I1162" s="40">
        <v>508</v>
      </c>
      <c r="J116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2565</v>
      </c>
      <c r="K1162" t="s">
        <v>154</v>
      </c>
    </row>
    <row r="1163" spans="1:11" x14ac:dyDescent="0.35">
      <c r="A1163" t="s">
        <v>305</v>
      </c>
      <c r="B1163" t="s">
        <v>412</v>
      </c>
      <c r="C1163" t="s">
        <v>348</v>
      </c>
      <c r="D1163">
        <v>30</v>
      </c>
      <c r="E1163" t="s">
        <v>819</v>
      </c>
      <c r="F1163">
        <v>2023</v>
      </c>
      <c r="G1163" t="str">
        <f>TRIM(RIGHT(Table156[[#This Row],[Item-Codigo]], LEN(Table156[[#This Row],[Item-Codigo]]) - FIND("|", CONCATENATE(B1163), FIND("|", CONCATENATE(B1163)) + 1)))</f>
        <v>KG</v>
      </c>
      <c r="H116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981.2</v>
      </c>
      <c r="I1163" s="40" t="s">
        <v>556</v>
      </c>
      <c r="J116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30000</v>
      </c>
      <c r="K1163" t="s">
        <v>171</v>
      </c>
    </row>
    <row r="1164" spans="1:11" x14ac:dyDescent="0.35">
      <c r="A1164" t="s">
        <v>305</v>
      </c>
      <c r="B1164" t="s">
        <v>931</v>
      </c>
      <c r="C1164" t="s">
        <v>415</v>
      </c>
      <c r="D1164">
        <v>3.82</v>
      </c>
      <c r="E1164" t="s">
        <v>819</v>
      </c>
      <c r="F1164">
        <v>2023</v>
      </c>
      <c r="G1164" t="str">
        <f>TRIM(RIGHT(Table156[[#This Row],[Item-Codigo]], LEN(Table156[[#This Row],[Item-Codigo]]) - FIND("|", CONCATENATE(B1164), FIND("|", CONCATENATE(B1164)) + 1)))</f>
        <v>KG</v>
      </c>
      <c r="H116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456.9</v>
      </c>
      <c r="I1164" s="40" t="s">
        <v>534</v>
      </c>
      <c r="J116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3820</v>
      </c>
      <c r="K1164" t="s">
        <v>158</v>
      </c>
    </row>
    <row r="1165" spans="1:11" x14ac:dyDescent="0.35">
      <c r="A1165" t="s">
        <v>305</v>
      </c>
      <c r="B1165" t="s">
        <v>416</v>
      </c>
      <c r="C1165" t="s">
        <v>323</v>
      </c>
      <c r="D1165">
        <v>2.4500000000000002</v>
      </c>
      <c r="E1165" t="s">
        <v>819</v>
      </c>
      <c r="F1165">
        <v>2023</v>
      </c>
      <c r="G1165" t="str">
        <f>TRIM(RIGHT(Table156[[#This Row],[Item-Codigo]], LEN(Table156[[#This Row],[Item-Codigo]]) - FIND("|", CONCATENATE(B1165), FIND("|", CONCATENATE(B1165)) + 1)))</f>
        <v>KG</v>
      </c>
      <c r="H116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1007.5</v>
      </c>
      <c r="I1165" s="40" t="s">
        <v>495</v>
      </c>
      <c r="J116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2450</v>
      </c>
      <c r="K1165" t="s">
        <v>141</v>
      </c>
    </row>
    <row r="1166" spans="1:11" x14ac:dyDescent="0.35">
      <c r="A1166" t="s">
        <v>305</v>
      </c>
      <c r="B1166" t="s">
        <v>417</v>
      </c>
      <c r="C1166" t="s">
        <v>311</v>
      </c>
      <c r="D1166">
        <v>9.2100000000000009</v>
      </c>
      <c r="E1166" t="s">
        <v>819</v>
      </c>
      <c r="F1166">
        <v>2023</v>
      </c>
      <c r="G1166" t="str">
        <f>TRIM(RIGHT(Table156[[#This Row],[Item-Codigo]], LEN(Table156[[#This Row],[Item-Codigo]]) - FIND("|", CONCATENATE(B1166), FIND("|", CONCATENATE(B1166)) + 1)))</f>
        <v>KG</v>
      </c>
      <c r="H116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461</v>
      </c>
      <c r="I1166" s="40">
        <v>461</v>
      </c>
      <c r="J116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9210</v>
      </c>
      <c r="K1166" t="s">
        <v>176</v>
      </c>
    </row>
    <row r="1167" spans="1:11" x14ac:dyDescent="0.35">
      <c r="A1167" t="s">
        <v>196</v>
      </c>
      <c r="B1167" t="s">
        <v>993</v>
      </c>
      <c r="C1167" t="s">
        <v>238</v>
      </c>
      <c r="D1167">
        <v>1103.3333333333301</v>
      </c>
      <c r="E1167" t="s">
        <v>202</v>
      </c>
      <c r="F1167">
        <v>2024</v>
      </c>
      <c r="G1167" t="str">
        <f>TRIM(RIGHT(Table156[[#This Row],[Item-Codigo]], LEN(Table156[[#This Row],[Item-Codigo]]) - FIND("|", CONCATENATE(B1167), FIND("|", CONCATENATE(B1167)) + 1)))</f>
        <v>TM</v>
      </c>
      <c r="H116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1167" s="40">
        <v>116</v>
      </c>
      <c r="J116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1103.3333333333301</v>
      </c>
      <c r="K1167" t="s">
        <v>99</v>
      </c>
    </row>
    <row r="1168" spans="1:11" x14ac:dyDescent="0.35">
      <c r="A1168" t="s">
        <v>196</v>
      </c>
      <c r="B1168" t="s">
        <v>216</v>
      </c>
      <c r="C1168" t="s">
        <v>215</v>
      </c>
      <c r="D1168">
        <v>472.66704101530001</v>
      </c>
      <c r="E1168" t="s">
        <v>202</v>
      </c>
      <c r="F1168">
        <v>2024</v>
      </c>
      <c r="G1168" t="str">
        <f>TRIM(RIGHT(Table156[[#This Row],[Item-Codigo]], LEN(Table156[[#This Row],[Item-Codigo]]) - FIND("|", CONCATENATE(B1168), FIND("|", CONCATENATE(B1168)) + 1)))</f>
        <v>TM</v>
      </c>
      <c r="H116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122</v>
      </c>
      <c r="I1168" s="40">
        <v>122</v>
      </c>
      <c r="J116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472.66704101530001</v>
      </c>
      <c r="K1168" t="s">
        <v>180</v>
      </c>
    </row>
    <row r="1169" spans="1:11" x14ac:dyDescent="0.35">
      <c r="A1169" t="s">
        <v>198</v>
      </c>
      <c r="B1169" t="s">
        <v>219</v>
      </c>
      <c r="C1169" t="s">
        <v>220</v>
      </c>
      <c r="D1169">
        <v>975</v>
      </c>
      <c r="E1169" t="s">
        <v>202</v>
      </c>
      <c r="F1169">
        <v>2024</v>
      </c>
      <c r="G1169" t="str">
        <f>TRIM(RIGHT(Table156[[#This Row],[Item-Codigo]], LEN(Table156[[#This Row],[Item-Codigo]]) - FIND("|", CONCATENATE(B1169), FIND("|", CONCATENATE(B1169)) + 1)))</f>
        <v>TM</v>
      </c>
      <c r="H116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169" s="40">
        <v>42</v>
      </c>
      <c r="J116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975</v>
      </c>
      <c r="K1169" t="s">
        <v>94</v>
      </c>
    </row>
    <row r="1170" spans="1:11" x14ac:dyDescent="0.35">
      <c r="A1170" t="s">
        <v>198</v>
      </c>
      <c r="B1170" t="s">
        <v>219</v>
      </c>
      <c r="C1170" t="s">
        <v>221</v>
      </c>
      <c r="D1170">
        <v>1015</v>
      </c>
      <c r="E1170" t="s">
        <v>202</v>
      </c>
      <c r="F1170">
        <v>2024</v>
      </c>
      <c r="G1170" t="str">
        <f>TRIM(RIGHT(Table156[[#This Row],[Item-Codigo]], LEN(Table156[[#This Row],[Item-Codigo]]) - FIND("|", CONCATENATE(B1170), FIND("|", CONCATENATE(B1170)) + 1)))</f>
        <v>TM</v>
      </c>
      <c r="H117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170" s="40">
        <v>42</v>
      </c>
      <c r="J117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1015</v>
      </c>
      <c r="K1170" t="s">
        <v>94</v>
      </c>
    </row>
    <row r="1171" spans="1:11" x14ac:dyDescent="0.35">
      <c r="A1171" t="s">
        <v>198</v>
      </c>
      <c r="B1171" t="s">
        <v>219</v>
      </c>
      <c r="C1171" t="s">
        <v>222</v>
      </c>
      <c r="D1171">
        <v>991.66666666666697</v>
      </c>
      <c r="E1171" t="s">
        <v>202</v>
      </c>
      <c r="F1171">
        <v>2024</v>
      </c>
      <c r="G1171" t="str">
        <f>TRIM(RIGHT(Table156[[#This Row],[Item-Codigo]], LEN(Table156[[#This Row],[Item-Codigo]]) - FIND("|", CONCATENATE(B1171), FIND("|", CONCATENATE(B1171)) + 1)))</f>
        <v>TM</v>
      </c>
      <c r="H117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171" s="40">
        <v>42</v>
      </c>
      <c r="J117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991.66666666666697</v>
      </c>
      <c r="K1171" t="s">
        <v>94</v>
      </c>
    </row>
    <row r="1172" spans="1:11" x14ac:dyDescent="0.35">
      <c r="A1172" t="s">
        <v>198</v>
      </c>
      <c r="B1172" t="s">
        <v>224</v>
      </c>
      <c r="C1172" t="s">
        <v>223</v>
      </c>
      <c r="D1172">
        <v>1750</v>
      </c>
      <c r="E1172" t="s">
        <v>202</v>
      </c>
      <c r="F1172">
        <v>2024</v>
      </c>
      <c r="G1172" t="str">
        <f>TRIM(RIGHT(Table156[[#This Row],[Item-Codigo]], LEN(Table156[[#This Row],[Item-Codigo]]) - FIND("|", CONCATENATE(B1172), FIND("|", CONCATENATE(B1172)) + 1)))</f>
        <v>TM</v>
      </c>
      <c r="H117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40</v>
      </c>
      <c r="I1172" s="40">
        <v>40</v>
      </c>
      <c r="J117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1750</v>
      </c>
      <c r="K1172" t="s">
        <v>95</v>
      </c>
    </row>
    <row r="1173" spans="1:11" x14ac:dyDescent="0.35">
      <c r="A1173" t="s">
        <v>198</v>
      </c>
      <c r="B1173" t="s">
        <v>232</v>
      </c>
      <c r="C1173" t="s">
        <v>231</v>
      </c>
      <c r="D1173">
        <v>46</v>
      </c>
      <c r="E1173" t="s">
        <v>202</v>
      </c>
      <c r="F1173">
        <v>2024</v>
      </c>
      <c r="G1173" t="str">
        <f>TRIM(RIGHT(Table156[[#This Row],[Item-Codigo]], LEN(Table156[[#This Row],[Item-Codigo]]) - FIND("|", CONCATENATE(B1173), FIND("|", CONCATENATE(B1173)) + 1)))</f>
        <v>TM</v>
      </c>
      <c r="H117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1173" s="40">
        <v>701</v>
      </c>
      <c r="J117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46</v>
      </c>
      <c r="K1173" t="s">
        <v>98</v>
      </c>
    </row>
    <row r="1174" spans="1:11" x14ac:dyDescent="0.35">
      <c r="A1174" t="s">
        <v>198</v>
      </c>
      <c r="B1174" t="s">
        <v>233</v>
      </c>
      <c r="C1174" t="s">
        <v>234</v>
      </c>
      <c r="D1174">
        <v>1600</v>
      </c>
      <c r="E1174" t="s">
        <v>202</v>
      </c>
      <c r="F1174">
        <v>2024</v>
      </c>
      <c r="G1174" t="str">
        <f>TRIM(RIGHT(Table156[[#This Row],[Item-Codigo]], LEN(Table156[[#This Row],[Item-Codigo]]) - FIND("|", CONCATENATE(B1174), FIND("|", CONCATENATE(B1174)) + 1)))</f>
        <v>TM</v>
      </c>
      <c r="H117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156.4</v>
      </c>
      <c r="I1174" s="40" t="s">
        <v>524</v>
      </c>
      <c r="J117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1600</v>
      </c>
      <c r="K1174" t="s">
        <v>977</v>
      </c>
    </row>
    <row r="1175" spans="1:11" x14ac:dyDescent="0.35">
      <c r="A1175" t="s">
        <v>198</v>
      </c>
      <c r="B1175" t="s">
        <v>240</v>
      </c>
      <c r="C1175" t="s">
        <v>238</v>
      </c>
      <c r="D1175">
        <v>860.3584827011</v>
      </c>
      <c r="E1175" t="s">
        <v>202</v>
      </c>
      <c r="F1175">
        <v>2024</v>
      </c>
      <c r="G1175" t="str">
        <f>TRIM(RIGHT(Table156[[#This Row],[Item-Codigo]], LEN(Table156[[#This Row],[Item-Codigo]]) - FIND("|", CONCATENATE(B1175), FIND("|", CONCATENATE(B1175)) + 1)))</f>
        <v>TM</v>
      </c>
      <c r="H117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111</v>
      </c>
      <c r="I1175" s="40">
        <v>111</v>
      </c>
      <c r="J117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860.3584827011</v>
      </c>
      <c r="K1175" t="s">
        <v>184</v>
      </c>
    </row>
    <row r="1176" spans="1:11" x14ac:dyDescent="0.35">
      <c r="A1176" t="s">
        <v>198</v>
      </c>
      <c r="B1176" t="s">
        <v>240</v>
      </c>
      <c r="C1176" t="s">
        <v>239</v>
      </c>
      <c r="D1176">
        <v>860</v>
      </c>
      <c r="E1176" t="s">
        <v>202</v>
      </c>
      <c r="F1176">
        <v>2024</v>
      </c>
      <c r="G1176" t="str">
        <f>TRIM(RIGHT(Table156[[#This Row],[Item-Codigo]], LEN(Table156[[#This Row],[Item-Codigo]]) - FIND("|", CONCATENATE(B1176), FIND("|", CONCATENATE(B1176)) + 1)))</f>
        <v>TM</v>
      </c>
      <c r="H117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111</v>
      </c>
      <c r="I1176" s="40">
        <v>111</v>
      </c>
      <c r="J117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860</v>
      </c>
      <c r="K1176" t="s">
        <v>184</v>
      </c>
    </row>
    <row r="1177" spans="1:11" x14ac:dyDescent="0.35">
      <c r="A1177" t="s">
        <v>198</v>
      </c>
      <c r="B1177" t="s">
        <v>240</v>
      </c>
      <c r="C1177" t="s">
        <v>215</v>
      </c>
      <c r="D1177">
        <v>780.57508168524998</v>
      </c>
      <c r="E1177" t="s">
        <v>202</v>
      </c>
      <c r="F1177">
        <v>2024</v>
      </c>
      <c r="G1177" t="str">
        <f>TRIM(RIGHT(Table156[[#This Row],[Item-Codigo]], LEN(Table156[[#This Row],[Item-Codigo]]) - FIND("|", CONCATENATE(B1177), FIND("|", CONCATENATE(B1177)) + 1)))</f>
        <v>TM</v>
      </c>
      <c r="H117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111</v>
      </c>
      <c r="I1177" s="40">
        <v>111</v>
      </c>
      <c r="J117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780.57508168524998</v>
      </c>
      <c r="K1177" t="s">
        <v>184</v>
      </c>
    </row>
    <row r="1178" spans="1:11" x14ac:dyDescent="0.35">
      <c r="A1178" t="s">
        <v>198</v>
      </c>
      <c r="B1178" t="s">
        <v>840</v>
      </c>
      <c r="C1178" t="s">
        <v>234</v>
      </c>
      <c r="D1178">
        <v>1600</v>
      </c>
      <c r="E1178" t="s">
        <v>202</v>
      </c>
      <c r="F1178">
        <v>2024</v>
      </c>
      <c r="G1178" t="str">
        <f>TRIM(RIGHT(Table156[[#This Row],[Item-Codigo]], LEN(Table156[[#This Row],[Item-Codigo]]) - FIND("|", CONCATENATE(B1178), FIND("|", CONCATENATE(B1178)) + 1)))</f>
        <v>TM</v>
      </c>
      <c r="H117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156</v>
      </c>
      <c r="I1178" s="40">
        <v>156</v>
      </c>
      <c r="J117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1600</v>
      </c>
      <c r="K1178" t="s">
        <v>977</v>
      </c>
    </row>
    <row r="1179" spans="1:11" x14ac:dyDescent="0.35">
      <c r="A1179" t="s">
        <v>198</v>
      </c>
      <c r="B1179" t="s">
        <v>243</v>
      </c>
      <c r="C1179" t="s">
        <v>218</v>
      </c>
      <c r="D1179">
        <v>653.31331365220001</v>
      </c>
      <c r="E1179" t="s">
        <v>202</v>
      </c>
      <c r="F1179">
        <v>2024</v>
      </c>
      <c r="G1179" t="str">
        <f>TRIM(RIGHT(Table156[[#This Row],[Item-Codigo]], LEN(Table156[[#This Row],[Item-Codigo]]) - FIND("|", CONCATENATE(B1179), FIND("|", CONCATENATE(B1179)) + 1)))</f>
        <v>TM</v>
      </c>
      <c r="H117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211</v>
      </c>
      <c r="I1179" s="40">
        <v>211</v>
      </c>
      <c r="J117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653.31331365220001</v>
      </c>
      <c r="K1179" t="s">
        <v>188</v>
      </c>
    </row>
    <row r="1180" spans="1:11" x14ac:dyDescent="0.35">
      <c r="A1180" t="s">
        <v>198</v>
      </c>
      <c r="B1180" t="s">
        <v>245</v>
      </c>
      <c r="C1180" t="s">
        <v>246</v>
      </c>
      <c r="D1180">
        <v>230</v>
      </c>
      <c r="E1180" t="s">
        <v>202</v>
      </c>
      <c r="F1180">
        <v>2024</v>
      </c>
      <c r="G1180" t="str">
        <f>TRIM(RIGHT(Table156[[#This Row],[Item-Codigo]], LEN(Table156[[#This Row],[Item-Codigo]]) - FIND("|", CONCATENATE(B1180), FIND("|", CONCATENATE(B1180)) + 1)))</f>
        <v>TM</v>
      </c>
      <c r="H118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14</v>
      </c>
      <c r="I1180" s="40">
        <v>14</v>
      </c>
      <c r="J118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230</v>
      </c>
      <c r="K1180" t="s">
        <v>187</v>
      </c>
    </row>
    <row r="1181" spans="1:11" x14ac:dyDescent="0.35">
      <c r="A1181" t="s">
        <v>198</v>
      </c>
      <c r="B1181" t="s">
        <v>247</v>
      </c>
      <c r="C1181" t="s">
        <v>248</v>
      </c>
      <c r="D1181">
        <v>0.26436941349999998</v>
      </c>
      <c r="E1181" t="s">
        <v>202</v>
      </c>
      <c r="F1181">
        <v>2024</v>
      </c>
      <c r="G1181" t="str">
        <f>TRIM(RIGHT(Table156[[#This Row],[Item-Codigo]], LEN(Table156[[#This Row],[Item-Codigo]]) - FIND("|", CONCATENATE(B1181), FIND("|", CONCATENATE(B1181)) + 1)))</f>
        <v>KG</v>
      </c>
      <c r="H118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214</v>
      </c>
      <c r="I1181" s="40">
        <v>214</v>
      </c>
      <c r="J118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264.36941350000001</v>
      </c>
      <c r="K1181" t="s">
        <v>186</v>
      </c>
    </row>
    <row r="1182" spans="1:11" x14ac:dyDescent="0.35">
      <c r="A1182" t="s">
        <v>198</v>
      </c>
      <c r="B1182" t="s">
        <v>854</v>
      </c>
      <c r="C1182" t="s">
        <v>248</v>
      </c>
      <c r="D1182">
        <v>266.95695170430002</v>
      </c>
      <c r="E1182" t="s">
        <v>202</v>
      </c>
      <c r="F1182">
        <v>2024</v>
      </c>
      <c r="G1182" t="str">
        <f>TRIM(RIGHT(Table156[[#This Row],[Item-Codigo]], LEN(Table156[[#This Row],[Item-Codigo]]) - FIND("|", CONCATENATE(B1182), FIND("|", CONCATENATE(B1182)) + 1)))</f>
        <v>TM</v>
      </c>
      <c r="H118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214</v>
      </c>
      <c r="I1182" s="40">
        <v>214</v>
      </c>
      <c r="J118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266.95695170430002</v>
      </c>
      <c r="K1182" t="s">
        <v>186</v>
      </c>
    </row>
    <row r="1183" spans="1:11" x14ac:dyDescent="0.35">
      <c r="A1183" t="s">
        <v>198</v>
      </c>
      <c r="B1183" t="s">
        <v>207</v>
      </c>
      <c r="C1183" t="s">
        <v>201</v>
      </c>
      <c r="D1183">
        <v>14.938933400188899</v>
      </c>
      <c r="E1183" t="s">
        <v>202</v>
      </c>
      <c r="F1183">
        <v>2024</v>
      </c>
      <c r="G1183" t="str">
        <f>TRIM(RIGHT(Table156[[#This Row],[Item-Codigo]], LEN(Table156[[#This Row],[Item-Codigo]]) - FIND("|", CONCATENATE(B1183), FIND("|", CONCATENATE(B1183)) + 1)))</f>
        <v>QQ</v>
      </c>
      <c r="H118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183" s="40">
        <v>410</v>
      </c>
      <c r="J1183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328.6565348041558</v>
      </c>
      <c r="K1183" t="s">
        <v>183</v>
      </c>
    </row>
    <row r="1184" spans="1:11" x14ac:dyDescent="0.35">
      <c r="A1184" t="s">
        <v>198</v>
      </c>
      <c r="B1184" t="s">
        <v>207</v>
      </c>
      <c r="C1184" t="s">
        <v>209</v>
      </c>
      <c r="D1184">
        <v>14.799957037</v>
      </c>
      <c r="E1184" t="s">
        <v>202</v>
      </c>
      <c r="F1184">
        <v>2024</v>
      </c>
      <c r="G1184" t="str">
        <f>TRIM(RIGHT(Table156[[#This Row],[Item-Codigo]], LEN(Table156[[#This Row],[Item-Codigo]]) - FIND("|", CONCATENATE(B1184), FIND("|", CONCATENATE(B1184)) + 1)))</f>
        <v>QQ</v>
      </c>
      <c r="H118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184" s="40">
        <v>410</v>
      </c>
      <c r="J1184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325.599054814</v>
      </c>
      <c r="K1184" t="s">
        <v>183</v>
      </c>
    </row>
    <row r="1185" spans="1:11" x14ac:dyDescent="0.35">
      <c r="A1185" t="s">
        <v>198</v>
      </c>
      <c r="B1185" t="s">
        <v>207</v>
      </c>
      <c r="C1185" t="s">
        <v>210</v>
      </c>
      <c r="D1185">
        <v>14.612384514175</v>
      </c>
      <c r="E1185" t="s">
        <v>202</v>
      </c>
      <c r="F1185">
        <v>2024</v>
      </c>
      <c r="G1185" t="str">
        <f>TRIM(RIGHT(Table156[[#This Row],[Item-Codigo]], LEN(Table156[[#This Row],[Item-Codigo]]) - FIND("|", CONCATENATE(B1185), FIND("|", CONCATENATE(B1185)) + 1)))</f>
        <v>QQ</v>
      </c>
      <c r="H118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185" s="40">
        <v>410</v>
      </c>
      <c r="J1185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321.47245931185</v>
      </c>
      <c r="K1185" t="s">
        <v>183</v>
      </c>
    </row>
    <row r="1186" spans="1:11" x14ac:dyDescent="0.35">
      <c r="A1186" t="s">
        <v>198</v>
      </c>
      <c r="B1186" t="s">
        <v>207</v>
      </c>
      <c r="C1186" t="s">
        <v>211</v>
      </c>
      <c r="D1186">
        <v>14.79990534992</v>
      </c>
      <c r="E1186" t="s">
        <v>202</v>
      </c>
      <c r="F1186">
        <v>2024</v>
      </c>
      <c r="G1186" t="str">
        <f>TRIM(RIGHT(Table156[[#This Row],[Item-Codigo]], LEN(Table156[[#This Row],[Item-Codigo]]) - FIND("|", CONCATENATE(B1186), FIND("|", CONCATENATE(B1186)) + 1)))</f>
        <v>QQ</v>
      </c>
      <c r="H118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186" s="40">
        <v>410</v>
      </c>
      <c r="J1186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325.59791769824</v>
      </c>
      <c r="K1186" t="s">
        <v>183</v>
      </c>
    </row>
    <row r="1187" spans="1:11" x14ac:dyDescent="0.35">
      <c r="A1187" t="s">
        <v>198</v>
      </c>
      <c r="B1187" t="s">
        <v>207</v>
      </c>
      <c r="C1187" t="s">
        <v>212</v>
      </c>
      <c r="D1187">
        <v>15.0374788598437</v>
      </c>
      <c r="E1187" t="s">
        <v>202</v>
      </c>
      <c r="F1187">
        <v>2024</v>
      </c>
      <c r="G1187" t="str">
        <f>TRIM(RIGHT(Table156[[#This Row],[Item-Codigo]], LEN(Table156[[#This Row],[Item-Codigo]]) - FIND("|", CONCATENATE(B1187), FIND("|", CONCATENATE(B1187)) + 1)))</f>
        <v>QQ</v>
      </c>
      <c r="H118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187" s="40">
        <v>410</v>
      </c>
      <c r="J1187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330.82453491656139</v>
      </c>
      <c r="K1187" t="s">
        <v>183</v>
      </c>
    </row>
    <row r="1188" spans="1:11" x14ac:dyDescent="0.35">
      <c r="A1188" t="s">
        <v>198</v>
      </c>
      <c r="B1188" t="s">
        <v>207</v>
      </c>
      <c r="C1188" t="s">
        <v>213</v>
      </c>
      <c r="D1188">
        <v>15.0312594662437</v>
      </c>
      <c r="E1188" t="s">
        <v>202</v>
      </c>
      <c r="F1188">
        <v>2024</v>
      </c>
      <c r="G1188" t="str">
        <f>TRIM(RIGHT(Table156[[#This Row],[Item-Codigo]], LEN(Table156[[#This Row],[Item-Codigo]]) - FIND("|", CONCATENATE(B1188), FIND("|", CONCATENATE(B1188)) + 1)))</f>
        <v>QQ</v>
      </c>
      <c r="H118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188" s="40">
        <v>410</v>
      </c>
      <c r="J1188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330.68770825736141</v>
      </c>
      <c r="K1188" t="s">
        <v>183</v>
      </c>
    </row>
    <row r="1189" spans="1:11" x14ac:dyDescent="0.35">
      <c r="A1189" t="s">
        <v>256</v>
      </c>
      <c r="B1189" t="s">
        <v>257</v>
      </c>
      <c r="C1189" t="s">
        <v>258</v>
      </c>
      <c r="D1189">
        <v>6.25E-2</v>
      </c>
      <c r="E1189" t="s">
        <v>202</v>
      </c>
      <c r="F1189">
        <v>2024</v>
      </c>
      <c r="G1189" t="str">
        <f>TRIM(RIGHT(Table156[[#This Row],[Item-Codigo]], LEN(Table156[[#This Row],[Item-Codigo]]) - FIND("|", CONCATENATE(B1189), FIND("|", CONCATENATE(B1189)) + 1)))</f>
        <v>UND</v>
      </c>
      <c r="H118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9536</v>
      </c>
      <c r="I1189" s="40">
        <v>9536</v>
      </c>
      <c r="J118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6.25E-2</v>
      </c>
      <c r="K1189" t="s">
        <v>968</v>
      </c>
    </row>
    <row r="1190" spans="1:11" x14ac:dyDescent="0.35">
      <c r="A1190" t="s">
        <v>256</v>
      </c>
      <c r="B1190" t="s">
        <v>259</v>
      </c>
      <c r="C1190" t="s">
        <v>258</v>
      </c>
      <c r="D1190">
        <v>6.25E-2</v>
      </c>
      <c r="E1190" t="s">
        <v>202</v>
      </c>
      <c r="F1190">
        <v>2024</v>
      </c>
      <c r="G1190" t="str">
        <f>TRIM(RIGHT(Table156[[#This Row],[Item-Codigo]], LEN(Table156[[#This Row],[Item-Codigo]]) - FIND("|", CONCATENATE(B1190), FIND("|", CONCATENATE(B1190)) + 1)))</f>
        <v>UND</v>
      </c>
      <c r="H119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9537</v>
      </c>
      <c r="I1190" s="40">
        <v>9537</v>
      </c>
      <c r="J119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6.25E-2</v>
      </c>
      <c r="K1190" t="s">
        <v>738</v>
      </c>
    </row>
    <row r="1191" spans="1:11" x14ac:dyDescent="0.35">
      <c r="A1191" t="s">
        <v>256</v>
      </c>
      <c r="B1191" t="s">
        <v>260</v>
      </c>
      <c r="C1191" t="s">
        <v>258</v>
      </c>
      <c r="D1191">
        <v>6.25E-2</v>
      </c>
      <c r="E1191" t="s">
        <v>202</v>
      </c>
      <c r="F1191">
        <v>2024</v>
      </c>
      <c r="G1191" t="str">
        <f>TRIM(RIGHT(Table156[[#This Row],[Item-Codigo]], LEN(Table156[[#This Row],[Item-Codigo]]) - FIND("|", CONCATENATE(B1191), FIND("|", CONCATENATE(B1191)) + 1)))</f>
        <v>UND</v>
      </c>
      <c r="H119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9538</v>
      </c>
      <c r="I1191" s="40">
        <v>9538</v>
      </c>
      <c r="J119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6.25E-2</v>
      </c>
      <c r="K1191" t="s">
        <v>739</v>
      </c>
    </row>
    <row r="1192" spans="1:11" x14ac:dyDescent="0.35">
      <c r="A1192" t="s">
        <v>256</v>
      </c>
      <c r="B1192" t="s">
        <v>261</v>
      </c>
      <c r="C1192" t="s">
        <v>262</v>
      </c>
      <c r="D1192">
        <v>0.1449</v>
      </c>
      <c r="E1192" t="s">
        <v>202</v>
      </c>
      <c r="F1192">
        <v>2024</v>
      </c>
      <c r="G1192" t="str">
        <f>TRIM(RIGHT(Table156[[#This Row],[Item-Codigo]], LEN(Table156[[#This Row],[Item-Codigo]]) - FIND("|", CONCATENATE(B1192), FIND("|", CONCATENATE(B1192)) + 1)))</f>
        <v>UND</v>
      </c>
      <c r="H119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1192" s="40" t="s">
        <v>500</v>
      </c>
      <c r="J119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0.1449</v>
      </c>
      <c r="K1192" t="s">
        <v>43</v>
      </c>
    </row>
    <row r="1193" spans="1:11" x14ac:dyDescent="0.35">
      <c r="A1193" t="s">
        <v>256</v>
      </c>
      <c r="B1193" t="s">
        <v>265</v>
      </c>
      <c r="C1193" t="s">
        <v>262</v>
      </c>
      <c r="D1193">
        <v>0.1449001841</v>
      </c>
      <c r="E1193" t="s">
        <v>202</v>
      </c>
      <c r="F1193">
        <v>2024</v>
      </c>
      <c r="G1193" t="str">
        <f>TRIM(RIGHT(Table156[[#This Row],[Item-Codigo]], LEN(Table156[[#This Row],[Item-Codigo]]) - FIND("|", CONCATENATE(B1193), FIND("|", CONCATENATE(B1193)) + 1)))</f>
        <v>UND</v>
      </c>
      <c r="H119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1025-ME</v>
      </c>
      <c r="I1193" s="40" t="s">
        <v>502</v>
      </c>
      <c r="J119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0.1449001841</v>
      </c>
      <c r="K1193" t="s">
        <v>45</v>
      </c>
    </row>
    <row r="1194" spans="1:11" x14ac:dyDescent="0.35">
      <c r="A1194" t="s">
        <v>256</v>
      </c>
      <c r="B1194" t="s">
        <v>877</v>
      </c>
      <c r="C1194" t="s">
        <v>263</v>
      </c>
      <c r="D1194">
        <v>0.14439990093333299</v>
      </c>
      <c r="E1194" t="s">
        <v>202</v>
      </c>
      <c r="F1194">
        <v>2024</v>
      </c>
      <c r="G1194" t="str">
        <f>TRIM(RIGHT(Table156[[#This Row],[Item-Codigo]], LEN(Table156[[#This Row],[Item-Codigo]]) - FIND("|", CONCATENATE(B1194), FIND("|", CONCATENATE(B1194)) + 1)))</f>
        <v>UND</v>
      </c>
      <c r="H119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1027-ME</v>
      </c>
      <c r="I1194" s="40" t="s">
        <v>504</v>
      </c>
      <c r="J119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0.14439990093333299</v>
      </c>
      <c r="K1194" t="s">
        <v>47</v>
      </c>
    </row>
    <row r="1195" spans="1:11" x14ac:dyDescent="0.35">
      <c r="A1195" t="s">
        <v>256</v>
      </c>
      <c r="B1195" t="s">
        <v>269</v>
      </c>
      <c r="C1195" t="s">
        <v>263</v>
      </c>
      <c r="D1195">
        <v>14.2</v>
      </c>
      <c r="E1195" t="s">
        <v>202</v>
      </c>
      <c r="F1195">
        <v>2024</v>
      </c>
      <c r="G1195" t="str">
        <f>TRIM(RIGHT(Table156[[#This Row],[Item-Codigo]], LEN(Table156[[#This Row],[Item-Codigo]]) - FIND("|", CONCATENATE(B1195), FIND("|", CONCATENATE(B1195)) + 1)))</f>
        <v>UND</v>
      </c>
      <c r="H119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1021-ME</v>
      </c>
      <c r="I1195" s="40" t="s">
        <v>498</v>
      </c>
      <c r="J119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14.2</v>
      </c>
      <c r="K1195" t="s">
        <v>49</v>
      </c>
    </row>
    <row r="1196" spans="1:11" x14ac:dyDescent="0.35">
      <c r="A1196" t="s">
        <v>256</v>
      </c>
      <c r="B1196" t="s">
        <v>272</v>
      </c>
      <c r="C1196" t="s">
        <v>262</v>
      </c>
      <c r="D1196">
        <v>0.1449</v>
      </c>
      <c r="E1196" t="s">
        <v>202</v>
      </c>
      <c r="F1196">
        <v>2024</v>
      </c>
      <c r="G1196" t="str">
        <f>TRIM(RIGHT(Table156[[#This Row],[Item-Codigo]], LEN(Table156[[#This Row],[Item-Codigo]]) - FIND("|", CONCATENATE(B1196), FIND("|", CONCATENATE(B1196)) + 1)))</f>
        <v>UND</v>
      </c>
      <c r="H119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1029-ME</v>
      </c>
      <c r="I1196" s="40" t="s">
        <v>506</v>
      </c>
      <c r="J119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0.1449</v>
      </c>
      <c r="K1196" t="s">
        <v>51</v>
      </c>
    </row>
    <row r="1197" spans="1:11" x14ac:dyDescent="0.35">
      <c r="A1197" t="s">
        <v>256</v>
      </c>
      <c r="B1197" t="s">
        <v>273</v>
      </c>
      <c r="C1197" t="s">
        <v>262</v>
      </c>
      <c r="D1197">
        <v>0.1449</v>
      </c>
      <c r="E1197" t="s">
        <v>202</v>
      </c>
      <c r="F1197">
        <v>2024</v>
      </c>
      <c r="G1197" t="str">
        <f>TRIM(RIGHT(Table156[[#This Row],[Item-Codigo]], LEN(Table156[[#This Row],[Item-Codigo]]) - FIND("|", CONCATENATE(B1197), FIND("|", CONCATENATE(B1197)) + 1)))</f>
        <v>UND</v>
      </c>
      <c r="H119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1030-ME</v>
      </c>
      <c r="I1197" s="40" t="s">
        <v>507</v>
      </c>
      <c r="J119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0.1449</v>
      </c>
      <c r="K1197" t="s">
        <v>52</v>
      </c>
    </row>
    <row r="1198" spans="1:11" x14ac:dyDescent="0.35">
      <c r="A1198" t="s">
        <v>256</v>
      </c>
      <c r="B1198" t="s">
        <v>273</v>
      </c>
      <c r="C1198" t="s">
        <v>263</v>
      </c>
      <c r="D1198">
        <v>0.1448115942</v>
      </c>
      <c r="E1198" t="s">
        <v>202</v>
      </c>
      <c r="F1198">
        <v>2024</v>
      </c>
      <c r="G1198" t="str">
        <f>TRIM(RIGHT(Table156[[#This Row],[Item-Codigo]], LEN(Table156[[#This Row],[Item-Codigo]]) - FIND("|", CONCATENATE(B1198), FIND("|", CONCATENATE(B1198)) + 1)))</f>
        <v>UND</v>
      </c>
      <c r="H119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1030-ME</v>
      </c>
      <c r="I1198" s="40" t="s">
        <v>507</v>
      </c>
      <c r="J119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0.1448115942</v>
      </c>
      <c r="K1198" t="s">
        <v>52</v>
      </c>
    </row>
    <row r="1199" spans="1:11" x14ac:dyDescent="0.35">
      <c r="A1199" t="s">
        <v>256</v>
      </c>
      <c r="B1199" t="s">
        <v>274</v>
      </c>
      <c r="C1199" t="s">
        <v>263</v>
      </c>
      <c r="D1199">
        <v>0.1447894736</v>
      </c>
      <c r="E1199" t="s">
        <v>202</v>
      </c>
      <c r="F1199">
        <v>2024</v>
      </c>
      <c r="G1199" t="str">
        <f>TRIM(RIGHT(Table156[[#This Row],[Item-Codigo]], LEN(Table156[[#This Row],[Item-Codigo]]) - FIND("|", CONCATENATE(B1199), FIND("|", CONCATENATE(B1199)) + 1)))</f>
        <v>UND</v>
      </c>
      <c r="H119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1031-ME</v>
      </c>
      <c r="I1199" s="40" t="s">
        <v>508</v>
      </c>
      <c r="J119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0.1447894736</v>
      </c>
      <c r="K1199" t="s">
        <v>53</v>
      </c>
    </row>
    <row r="1200" spans="1:11" x14ac:dyDescent="0.35">
      <c r="A1200" t="s">
        <v>256</v>
      </c>
      <c r="B1200" t="s">
        <v>283</v>
      </c>
      <c r="C1200" t="s">
        <v>262</v>
      </c>
      <c r="D1200">
        <v>0.21440000000000001</v>
      </c>
      <c r="E1200" t="s">
        <v>202</v>
      </c>
      <c r="F1200">
        <v>2024</v>
      </c>
      <c r="G1200" t="str">
        <f>TRIM(RIGHT(Table156[[#This Row],[Item-Codigo]], LEN(Table156[[#This Row],[Item-Codigo]]) - FIND("|", CONCATENATE(B1200), FIND("|", CONCATENATE(B1200)) + 1)))</f>
        <v>UND</v>
      </c>
      <c r="H120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0754-ME</v>
      </c>
      <c r="I1200" s="40" t="s">
        <v>482</v>
      </c>
      <c r="J120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0.21440000000000001</v>
      </c>
      <c r="K1200" t="s">
        <v>112</v>
      </c>
    </row>
    <row r="1201" spans="1:11" x14ac:dyDescent="0.35">
      <c r="A1201" t="s">
        <v>256</v>
      </c>
      <c r="B1201" t="s">
        <v>287</v>
      </c>
      <c r="C1201" t="s">
        <v>263</v>
      </c>
      <c r="D1201">
        <v>0.21840168065000001</v>
      </c>
      <c r="E1201" t="s">
        <v>202</v>
      </c>
      <c r="F1201">
        <v>2024</v>
      </c>
      <c r="G1201" t="str">
        <f>TRIM(RIGHT(Table156[[#This Row],[Item-Codigo]], LEN(Table156[[#This Row],[Item-Codigo]]) - FIND("|", CONCATENATE(B1201), FIND("|", CONCATENATE(B1201)) + 1)))</f>
        <v>UND</v>
      </c>
      <c r="H120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0115-ME</v>
      </c>
      <c r="I1201" s="40" t="s">
        <v>474</v>
      </c>
      <c r="J120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0.21840168065000001</v>
      </c>
      <c r="K1201" t="s">
        <v>115</v>
      </c>
    </row>
    <row r="1202" spans="1:11" x14ac:dyDescent="0.35">
      <c r="A1202" t="s">
        <v>256</v>
      </c>
      <c r="B1202" t="s">
        <v>288</v>
      </c>
      <c r="C1202" t="s">
        <v>262</v>
      </c>
      <c r="D1202">
        <v>0.21440000000000001</v>
      </c>
      <c r="E1202" t="s">
        <v>202</v>
      </c>
      <c r="F1202">
        <v>2024</v>
      </c>
      <c r="G1202" t="str">
        <f>TRIM(RIGHT(Table156[[#This Row],[Item-Codigo]], LEN(Table156[[#This Row],[Item-Codigo]]) - FIND("|", CONCATENATE(B1202), FIND("|", CONCATENATE(B1202)) + 1)))</f>
        <v>UND</v>
      </c>
      <c r="H120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0993-ME</v>
      </c>
      <c r="I1202" s="40" t="s">
        <v>490</v>
      </c>
      <c r="J120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0.21440000000000001</v>
      </c>
      <c r="K1202" t="s">
        <v>106</v>
      </c>
    </row>
    <row r="1203" spans="1:11" x14ac:dyDescent="0.35">
      <c r="A1203" t="s">
        <v>256</v>
      </c>
      <c r="B1203" t="s">
        <v>289</v>
      </c>
      <c r="C1203" t="s">
        <v>267</v>
      </c>
      <c r="D1203">
        <v>0.22750000000000001</v>
      </c>
      <c r="E1203" t="s">
        <v>202</v>
      </c>
      <c r="F1203">
        <v>2024</v>
      </c>
      <c r="G1203" t="str">
        <f>TRIM(RIGHT(Table156[[#This Row],[Item-Codigo]], LEN(Table156[[#This Row],[Item-Codigo]]) - FIND("|", CONCATENATE(B1203), FIND("|", CONCATENATE(B1203)) + 1)))</f>
        <v>UND</v>
      </c>
      <c r="H120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0994-ME</v>
      </c>
      <c r="I1203" s="40" t="s">
        <v>491</v>
      </c>
      <c r="J120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0.22750000000000001</v>
      </c>
      <c r="K1203" t="s">
        <v>118</v>
      </c>
    </row>
    <row r="1204" spans="1:11" x14ac:dyDescent="0.35">
      <c r="A1204" t="s">
        <v>256</v>
      </c>
      <c r="B1204" t="s">
        <v>290</v>
      </c>
      <c r="C1204" t="s">
        <v>262</v>
      </c>
      <c r="D1204">
        <v>0.22220000000000001</v>
      </c>
      <c r="E1204" t="s">
        <v>202</v>
      </c>
      <c r="F1204">
        <v>2024</v>
      </c>
      <c r="G1204" t="str">
        <f>TRIM(RIGHT(Table156[[#This Row],[Item-Codigo]], LEN(Table156[[#This Row],[Item-Codigo]]) - FIND("|", CONCATENATE(B1204), FIND("|", CONCATENATE(B1204)) + 1)))</f>
        <v>UND</v>
      </c>
      <c r="H120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0995-ME</v>
      </c>
      <c r="I1204" s="40" t="s">
        <v>492</v>
      </c>
      <c r="J120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0.22220000000000001</v>
      </c>
      <c r="K1204" t="s">
        <v>108</v>
      </c>
    </row>
    <row r="1205" spans="1:11" x14ac:dyDescent="0.35">
      <c r="A1205" t="s">
        <v>256</v>
      </c>
      <c r="B1205" t="s">
        <v>291</v>
      </c>
      <c r="C1205" t="s">
        <v>262</v>
      </c>
      <c r="D1205">
        <v>0.21439791664999999</v>
      </c>
      <c r="E1205" t="s">
        <v>202</v>
      </c>
      <c r="F1205">
        <v>2024</v>
      </c>
      <c r="G1205" t="str">
        <f>TRIM(RIGHT(Table156[[#This Row],[Item-Codigo]], LEN(Table156[[#This Row],[Item-Codigo]]) - FIND("|", CONCATENATE(B1205), FIND("|", CONCATENATE(B1205)) + 1)))</f>
        <v>UND</v>
      </c>
      <c r="H120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0988-ME</v>
      </c>
      <c r="I1205" s="40" t="s">
        <v>489</v>
      </c>
      <c r="J120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0.21439791664999999</v>
      </c>
      <c r="K1205" t="s">
        <v>119</v>
      </c>
    </row>
    <row r="1206" spans="1:11" x14ac:dyDescent="0.35">
      <c r="A1206" t="s">
        <v>256</v>
      </c>
      <c r="B1206" t="s">
        <v>292</v>
      </c>
      <c r="C1206" t="s">
        <v>262</v>
      </c>
      <c r="D1206">
        <v>0.22220000000000001</v>
      </c>
      <c r="E1206" t="s">
        <v>202</v>
      </c>
      <c r="F1206">
        <v>2024</v>
      </c>
      <c r="G1206" t="str">
        <f>TRIM(RIGHT(Table156[[#This Row],[Item-Codigo]], LEN(Table156[[#This Row],[Item-Codigo]]) - FIND("|", CONCATENATE(B1206), FIND("|", CONCATENATE(B1206)) + 1)))</f>
        <v>UND</v>
      </c>
      <c r="H120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0987-ME</v>
      </c>
      <c r="I1206" s="40" t="s">
        <v>488</v>
      </c>
      <c r="J120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0.22220000000000001</v>
      </c>
      <c r="K1206" t="s">
        <v>117</v>
      </c>
    </row>
    <row r="1207" spans="1:11" x14ac:dyDescent="0.35">
      <c r="A1207" t="s">
        <v>256</v>
      </c>
      <c r="B1207" t="s">
        <v>293</v>
      </c>
      <c r="C1207" t="s">
        <v>263</v>
      </c>
      <c r="D1207">
        <v>0.21</v>
      </c>
      <c r="E1207" t="s">
        <v>202</v>
      </c>
      <c r="F1207">
        <v>2024</v>
      </c>
      <c r="G1207" t="str">
        <f>TRIM(RIGHT(Table156[[#This Row],[Item-Codigo]], LEN(Table156[[#This Row],[Item-Codigo]]) - FIND("|", CONCATENATE(B1207), FIND("|", CONCATENATE(B1207)) + 1)))</f>
        <v>UND</v>
      </c>
      <c r="H120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0201-ME</v>
      </c>
      <c r="I1207" s="40" t="s">
        <v>478</v>
      </c>
      <c r="J120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</v>
      </c>
      <c r="K1207" t="s">
        <v>105</v>
      </c>
    </row>
    <row r="1208" spans="1:11" x14ac:dyDescent="0.35">
      <c r="A1208" t="s">
        <v>256</v>
      </c>
      <c r="B1208" t="s">
        <v>892</v>
      </c>
      <c r="C1208" t="s">
        <v>262</v>
      </c>
      <c r="D1208">
        <v>0.21440000000000001</v>
      </c>
      <c r="E1208" t="s">
        <v>202</v>
      </c>
      <c r="F1208">
        <v>2024</v>
      </c>
      <c r="G1208" t="str">
        <f>TRIM(RIGHT(Table156[[#This Row],[Item-Codigo]], LEN(Table156[[#This Row],[Item-Codigo]]) - FIND("|", CONCATENATE(B1208), FIND("|", CONCATENATE(B1208)) + 1)))</f>
        <v>UND</v>
      </c>
      <c r="H120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0986-ME</v>
      </c>
      <c r="I1208" s="40" t="s">
        <v>487</v>
      </c>
      <c r="J120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0.21440000000000001</v>
      </c>
      <c r="K1208" t="s">
        <v>120</v>
      </c>
    </row>
    <row r="1209" spans="1:11" x14ac:dyDescent="0.35">
      <c r="A1209" t="s">
        <v>256</v>
      </c>
      <c r="B1209" t="s">
        <v>295</v>
      </c>
      <c r="C1209" t="s">
        <v>262</v>
      </c>
      <c r="D1209">
        <v>0.21440000000000001</v>
      </c>
      <c r="E1209" t="s">
        <v>202</v>
      </c>
      <c r="F1209">
        <v>2024</v>
      </c>
      <c r="G1209" t="str">
        <f>TRIM(RIGHT(Table156[[#This Row],[Item-Codigo]], LEN(Table156[[#This Row],[Item-Codigo]]) - FIND("|", CONCATENATE(B1209), FIND("|", CONCATENATE(B1209)) + 1)))</f>
        <v>UND</v>
      </c>
      <c r="H120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0984-ME</v>
      </c>
      <c r="I1209" s="40" t="s">
        <v>485</v>
      </c>
      <c r="J120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0.21440000000000001</v>
      </c>
      <c r="K1209" t="s">
        <v>123</v>
      </c>
    </row>
    <row r="1210" spans="1:11" x14ac:dyDescent="0.35">
      <c r="A1210" t="s">
        <v>256</v>
      </c>
      <c r="B1210" t="s">
        <v>296</v>
      </c>
      <c r="C1210" t="s">
        <v>262</v>
      </c>
      <c r="D1210">
        <v>0.21440000000000001</v>
      </c>
      <c r="E1210" t="s">
        <v>202</v>
      </c>
      <c r="F1210">
        <v>2024</v>
      </c>
      <c r="G1210" t="str">
        <f>TRIM(RIGHT(Table156[[#This Row],[Item-Codigo]], LEN(Table156[[#This Row],[Item-Codigo]]) - FIND("|", CONCATENATE(B1210), FIND("|", CONCATENATE(B1210)) + 1)))</f>
        <v>UND</v>
      </c>
      <c r="H121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1018-ME</v>
      </c>
      <c r="I1210" s="40" t="s">
        <v>496</v>
      </c>
      <c r="J121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0.21440000000000001</v>
      </c>
      <c r="K1210" t="s">
        <v>109</v>
      </c>
    </row>
    <row r="1211" spans="1:11" x14ac:dyDescent="0.35">
      <c r="A1211" t="s">
        <v>256</v>
      </c>
      <c r="B1211" t="s">
        <v>893</v>
      </c>
      <c r="C1211" t="s">
        <v>262</v>
      </c>
      <c r="D1211">
        <v>0.21440000000000001</v>
      </c>
      <c r="E1211" t="s">
        <v>202</v>
      </c>
      <c r="F1211">
        <v>2024</v>
      </c>
      <c r="G1211" t="str">
        <f>TRIM(RIGHT(Table156[[#This Row],[Item-Codigo]], LEN(Table156[[#This Row],[Item-Codigo]]) - FIND("|", CONCATENATE(B1211), FIND("|", CONCATENATE(B1211)) + 1)))</f>
        <v>UND</v>
      </c>
      <c r="H121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0983-ME</v>
      </c>
      <c r="I1211" s="40" t="s">
        <v>484</v>
      </c>
      <c r="J121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0.21440000000000001</v>
      </c>
      <c r="K1211" t="s">
        <v>113</v>
      </c>
    </row>
    <row r="1212" spans="1:11" x14ac:dyDescent="0.35">
      <c r="A1212" t="s">
        <v>256</v>
      </c>
      <c r="B1212" t="s">
        <v>300</v>
      </c>
      <c r="C1212" t="s">
        <v>262</v>
      </c>
      <c r="D1212">
        <v>0.21440000000000001</v>
      </c>
      <c r="E1212" t="s">
        <v>202</v>
      </c>
      <c r="F1212">
        <v>2024</v>
      </c>
      <c r="G1212" t="str">
        <f>TRIM(RIGHT(Table156[[#This Row],[Item-Codigo]], LEN(Table156[[#This Row],[Item-Codigo]]) - FIND("|", CONCATENATE(B1212), FIND("|", CONCATENATE(B1212)) + 1)))</f>
        <v>UND</v>
      </c>
      <c r="H121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0751-ME</v>
      </c>
      <c r="I1212" s="40" t="s">
        <v>480</v>
      </c>
      <c r="J121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0.21440000000000001</v>
      </c>
      <c r="K1212" t="s">
        <v>110</v>
      </c>
    </row>
    <row r="1213" spans="1:11" x14ac:dyDescent="0.35">
      <c r="A1213" t="s">
        <v>256</v>
      </c>
      <c r="B1213" t="s">
        <v>301</v>
      </c>
      <c r="C1213" t="s">
        <v>262</v>
      </c>
      <c r="D1213">
        <v>0.22219977765000001</v>
      </c>
      <c r="E1213" t="s">
        <v>202</v>
      </c>
      <c r="F1213">
        <v>2024</v>
      </c>
      <c r="G1213" t="str">
        <f>TRIM(RIGHT(Table156[[#This Row],[Item-Codigo]], LEN(Table156[[#This Row],[Item-Codigo]]) - FIND("|", CONCATENATE(B1213), FIND("|", CONCATENATE(B1213)) + 1)))</f>
        <v>UND</v>
      </c>
      <c r="H121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0171-ME</v>
      </c>
      <c r="I1213" s="40" t="s">
        <v>476</v>
      </c>
      <c r="J121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0.22219977765000001</v>
      </c>
      <c r="K1213" t="s">
        <v>107</v>
      </c>
    </row>
    <row r="1214" spans="1:11" x14ac:dyDescent="0.35">
      <c r="A1214" t="s">
        <v>302</v>
      </c>
      <c r="B1214" t="s">
        <v>1020</v>
      </c>
      <c r="C1214" t="s">
        <v>905</v>
      </c>
      <c r="D1214">
        <v>714</v>
      </c>
      <c r="E1214" t="s">
        <v>202</v>
      </c>
      <c r="F1214">
        <v>2024</v>
      </c>
      <c r="G1214" t="str">
        <f>TRIM(RIGHT(Table156[[#This Row],[Item-Codigo]], LEN(Table156[[#This Row],[Item-Codigo]]) - FIND("|", CONCATENATE(B1214), FIND("|", CONCATENATE(B1214)) + 1)))</f>
        <v>TM</v>
      </c>
      <c r="H121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720</v>
      </c>
      <c r="I1214" s="40">
        <v>720</v>
      </c>
      <c r="J121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714</v>
      </c>
      <c r="K1214" t="s">
        <v>1077</v>
      </c>
    </row>
    <row r="1215" spans="1:11" x14ac:dyDescent="0.35">
      <c r="A1215" t="s">
        <v>302</v>
      </c>
      <c r="B1215" t="s">
        <v>303</v>
      </c>
      <c r="C1215" t="s">
        <v>304</v>
      </c>
      <c r="D1215">
        <v>2.83</v>
      </c>
      <c r="E1215" t="s">
        <v>202</v>
      </c>
      <c r="F1215">
        <v>2024</v>
      </c>
      <c r="G1215" t="str">
        <f>TRIM(RIGHT(Table156[[#This Row],[Item-Codigo]], LEN(Table156[[#This Row],[Item-Codigo]]) - FIND("|", CONCATENATE(B1215), FIND("|", CONCATENATE(B1215)) + 1)))</f>
        <v>KG</v>
      </c>
      <c r="H121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511.2</v>
      </c>
      <c r="I1215" s="40" t="s">
        <v>545</v>
      </c>
      <c r="J121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2830</v>
      </c>
      <c r="K1215" t="s">
        <v>130</v>
      </c>
    </row>
    <row r="1216" spans="1:11" x14ac:dyDescent="0.35">
      <c r="A1216" t="s">
        <v>302</v>
      </c>
      <c r="B1216" t="s">
        <v>1021</v>
      </c>
      <c r="C1216" t="s">
        <v>215</v>
      </c>
      <c r="D1216">
        <v>2540</v>
      </c>
      <c r="E1216" t="s">
        <v>202</v>
      </c>
      <c r="F1216">
        <v>2024</v>
      </c>
      <c r="G1216" t="str">
        <f>TRIM(RIGHT(Table156[[#This Row],[Item-Codigo]], LEN(Table156[[#This Row],[Item-Codigo]]) - FIND("|", CONCATENATE(B1216), FIND("|", CONCATENATE(B1216)) + 1)))</f>
        <v>TM</v>
      </c>
      <c r="H121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511.2</v>
      </c>
      <c r="I1216" s="40" t="s">
        <v>545</v>
      </c>
      <c r="J121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2540</v>
      </c>
      <c r="K1216" t="s">
        <v>130</v>
      </c>
    </row>
    <row r="1217" spans="1:11" x14ac:dyDescent="0.35">
      <c r="A1217" t="s">
        <v>305</v>
      </c>
      <c r="B1217" t="s">
        <v>306</v>
      </c>
      <c r="C1217" t="s">
        <v>307</v>
      </c>
      <c r="D1217">
        <v>5.6</v>
      </c>
      <c r="E1217" t="s">
        <v>202</v>
      </c>
      <c r="F1217">
        <v>2024</v>
      </c>
      <c r="G1217" t="str">
        <f>TRIM(RIGHT(Table156[[#This Row],[Item-Codigo]], LEN(Table156[[#This Row],[Item-Codigo]]) - FIND("|", CONCATENATE(B1217), FIND("|", CONCATENATE(B1217)) + 1)))</f>
        <v>KG</v>
      </c>
      <c r="H121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732</v>
      </c>
      <c r="I1217" s="40">
        <v>732</v>
      </c>
      <c r="J121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1217" t="s">
        <v>1227</v>
      </c>
    </row>
    <row r="1218" spans="1:11" x14ac:dyDescent="0.35">
      <c r="A1218" t="s">
        <v>305</v>
      </c>
      <c r="B1218" t="s">
        <v>308</v>
      </c>
      <c r="C1218" t="s">
        <v>309</v>
      </c>
      <c r="D1218">
        <v>9.1999999999999993</v>
      </c>
      <c r="E1218" t="s">
        <v>202</v>
      </c>
      <c r="F1218">
        <v>2024</v>
      </c>
      <c r="G1218" t="str">
        <f>TRIM(RIGHT(Table156[[#This Row],[Item-Codigo]], LEN(Table156[[#This Row],[Item-Codigo]]) - FIND("|", CONCATENATE(B1218), FIND("|", CONCATENATE(B1218)) + 1)))</f>
        <v>KG</v>
      </c>
      <c r="H121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1039</v>
      </c>
      <c r="I1218" s="40">
        <v>1039</v>
      </c>
      <c r="J121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9200</v>
      </c>
      <c r="K1218" t="s">
        <v>67</v>
      </c>
    </row>
    <row r="1219" spans="1:11" x14ac:dyDescent="0.35">
      <c r="A1219" t="s">
        <v>305</v>
      </c>
      <c r="B1219" t="s">
        <v>314</v>
      </c>
      <c r="C1219" t="s">
        <v>385</v>
      </c>
      <c r="D1219">
        <v>6.15</v>
      </c>
      <c r="E1219" t="s">
        <v>202</v>
      </c>
      <c r="F1219">
        <v>2024</v>
      </c>
      <c r="G1219" t="str">
        <f>TRIM(RIGHT(Table156[[#This Row],[Item-Codigo]], LEN(Table156[[#This Row],[Item-Codigo]]) - FIND("|", CONCATENATE(B1219), FIND("|", CONCATENATE(B1219)) + 1)))</f>
        <v>KG</v>
      </c>
      <c r="H121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901</v>
      </c>
      <c r="I1219" s="40">
        <v>901</v>
      </c>
      <c r="J121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6150</v>
      </c>
      <c r="K1219" t="s">
        <v>70</v>
      </c>
    </row>
    <row r="1220" spans="1:11" x14ac:dyDescent="0.35">
      <c r="A1220" t="s">
        <v>305</v>
      </c>
      <c r="B1220" t="s">
        <v>314</v>
      </c>
      <c r="C1220" t="s">
        <v>315</v>
      </c>
      <c r="D1220">
        <v>6</v>
      </c>
      <c r="E1220" t="s">
        <v>202</v>
      </c>
      <c r="F1220">
        <v>2024</v>
      </c>
      <c r="G1220" t="str">
        <f>TRIM(RIGHT(Table156[[#This Row],[Item-Codigo]], LEN(Table156[[#This Row],[Item-Codigo]]) - FIND("|", CONCATENATE(B1220), FIND("|", CONCATENATE(B1220)) + 1)))</f>
        <v>KG</v>
      </c>
      <c r="H122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901</v>
      </c>
      <c r="I1220" s="40">
        <v>901</v>
      </c>
      <c r="J122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1220" t="s">
        <v>70</v>
      </c>
    </row>
    <row r="1221" spans="1:11" x14ac:dyDescent="0.35">
      <c r="A1221" t="s">
        <v>305</v>
      </c>
      <c r="B1221" t="s">
        <v>316</v>
      </c>
      <c r="C1221" t="s">
        <v>327</v>
      </c>
      <c r="D1221">
        <v>65</v>
      </c>
      <c r="E1221" t="s">
        <v>202</v>
      </c>
      <c r="F1221">
        <v>2024</v>
      </c>
      <c r="G1221" t="str">
        <f>TRIM(RIGHT(Table156[[#This Row],[Item-Codigo]], LEN(Table156[[#This Row],[Item-Codigo]]) - FIND("|", CONCATENATE(B1221), FIND("|", CONCATENATE(B1221)) + 1)))</f>
        <v>KG</v>
      </c>
      <c r="H122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929</v>
      </c>
      <c r="I1221" s="40">
        <v>929</v>
      </c>
      <c r="J122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65000</v>
      </c>
      <c r="K1221" t="s">
        <v>71</v>
      </c>
    </row>
    <row r="1222" spans="1:11" x14ac:dyDescent="0.35">
      <c r="A1222" t="s">
        <v>305</v>
      </c>
      <c r="B1222" t="s">
        <v>318</v>
      </c>
      <c r="C1222" t="s">
        <v>309</v>
      </c>
      <c r="D1222">
        <v>6</v>
      </c>
      <c r="E1222" t="s">
        <v>202</v>
      </c>
      <c r="F1222">
        <v>2024</v>
      </c>
      <c r="G1222" t="str">
        <f>TRIM(RIGHT(Table156[[#This Row],[Item-Codigo]], LEN(Table156[[#This Row],[Item-Codigo]]) - FIND("|", CONCATENATE(B1222), FIND("|", CONCATENATE(B1222)) + 1)))</f>
        <v>KG</v>
      </c>
      <c r="H122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900</v>
      </c>
      <c r="I1222" s="40">
        <v>900</v>
      </c>
      <c r="J122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1222" t="s">
        <v>72</v>
      </c>
    </row>
    <row r="1223" spans="1:11" x14ac:dyDescent="0.35">
      <c r="A1223" t="s">
        <v>305</v>
      </c>
      <c r="B1223" t="s">
        <v>320</v>
      </c>
      <c r="C1223" t="s">
        <v>321</v>
      </c>
      <c r="D1223">
        <v>8.75</v>
      </c>
      <c r="E1223" t="s">
        <v>202</v>
      </c>
      <c r="F1223">
        <v>2024</v>
      </c>
      <c r="G1223" t="str">
        <f>TRIM(RIGHT(Table156[[#This Row],[Item-Codigo]], LEN(Table156[[#This Row],[Item-Codigo]]) - FIND("|", CONCATENATE(B1223), FIND("|", CONCATENATE(B1223)) + 1)))</f>
        <v>KG</v>
      </c>
      <c r="H122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1009</v>
      </c>
      <c r="I1223" s="40">
        <v>1009</v>
      </c>
      <c r="J122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8750</v>
      </c>
      <c r="K1223" t="s">
        <v>73</v>
      </c>
    </row>
    <row r="1224" spans="1:11" x14ac:dyDescent="0.35">
      <c r="A1224" t="s">
        <v>305</v>
      </c>
      <c r="B1224" t="s">
        <v>322</v>
      </c>
      <c r="C1224" t="s">
        <v>323</v>
      </c>
      <c r="D1224">
        <v>12.88</v>
      </c>
      <c r="E1224" t="s">
        <v>202</v>
      </c>
      <c r="F1224">
        <v>2024</v>
      </c>
      <c r="G1224" t="str">
        <f>TRIM(RIGHT(Table156[[#This Row],[Item-Codigo]], LEN(Table156[[#This Row],[Item-Codigo]]) - FIND("|", CONCATENATE(B1224), FIND("|", CONCATENATE(B1224)) + 1)))</f>
        <v>KG</v>
      </c>
      <c r="H122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388</v>
      </c>
      <c r="I1224" s="40">
        <v>388</v>
      </c>
      <c r="J122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12880</v>
      </c>
      <c r="K1224" t="s">
        <v>74</v>
      </c>
    </row>
    <row r="1225" spans="1:11" x14ac:dyDescent="0.35">
      <c r="A1225" t="s">
        <v>305</v>
      </c>
      <c r="B1225" t="s">
        <v>325</v>
      </c>
      <c r="C1225" t="s">
        <v>309</v>
      </c>
      <c r="D1225">
        <v>5.6</v>
      </c>
      <c r="E1225" t="s">
        <v>202</v>
      </c>
      <c r="F1225">
        <v>2024</v>
      </c>
      <c r="G1225" t="str">
        <f>TRIM(RIGHT(Table156[[#This Row],[Item-Codigo]], LEN(Table156[[#This Row],[Item-Codigo]]) - FIND("|", CONCATENATE(B1225), FIND("|", CONCATENATE(B1225)) + 1)))</f>
        <v>KG</v>
      </c>
      <c r="H122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1045</v>
      </c>
      <c r="I1225" s="40">
        <v>1045</v>
      </c>
      <c r="J122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1225" t="s">
        <v>76</v>
      </c>
    </row>
    <row r="1226" spans="1:11" x14ac:dyDescent="0.35">
      <c r="A1226" t="s">
        <v>305</v>
      </c>
      <c r="B1226" t="s">
        <v>326</v>
      </c>
      <c r="C1226" t="s">
        <v>327</v>
      </c>
      <c r="D1226">
        <v>5.85</v>
      </c>
      <c r="E1226" t="s">
        <v>202</v>
      </c>
      <c r="F1226">
        <v>2024</v>
      </c>
      <c r="G1226" t="str">
        <f>TRIM(RIGHT(Table156[[#This Row],[Item-Codigo]], LEN(Table156[[#This Row],[Item-Codigo]]) - FIND("|", CONCATENATE(B1226), FIND("|", CONCATENATE(B1226)) + 1)))</f>
        <v>KG</v>
      </c>
      <c r="H122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470.5</v>
      </c>
      <c r="I1226" s="40" t="s">
        <v>536</v>
      </c>
      <c r="J122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5850</v>
      </c>
      <c r="K1226" t="s">
        <v>77</v>
      </c>
    </row>
    <row r="1227" spans="1:11" x14ac:dyDescent="0.35">
      <c r="A1227" t="s">
        <v>305</v>
      </c>
      <c r="B1227" t="s">
        <v>328</v>
      </c>
      <c r="C1227" t="s">
        <v>385</v>
      </c>
      <c r="D1227">
        <v>1.68</v>
      </c>
      <c r="E1227" t="s">
        <v>202</v>
      </c>
      <c r="F1227">
        <v>2024</v>
      </c>
      <c r="G1227" t="str">
        <f>TRIM(RIGHT(Table156[[#This Row],[Item-Codigo]], LEN(Table156[[#This Row],[Item-Codigo]]) - FIND("|", CONCATENATE(B1227), FIND("|", CONCATENATE(B1227)) + 1)))</f>
        <v>KG</v>
      </c>
      <c r="H122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495</v>
      </c>
      <c r="I1227" s="40">
        <v>495</v>
      </c>
      <c r="J122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1680</v>
      </c>
      <c r="K1227" t="s">
        <v>78</v>
      </c>
    </row>
    <row r="1228" spans="1:11" x14ac:dyDescent="0.35">
      <c r="A1228" t="s">
        <v>305</v>
      </c>
      <c r="B1228" t="s">
        <v>328</v>
      </c>
      <c r="C1228" t="s">
        <v>329</v>
      </c>
      <c r="D1228">
        <v>1.601</v>
      </c>
      <c r="E1228" t="s">
        <v>202</v>
      </c>
      <c r="F1228">
        <v>2024</v>
      </c>
      <c r="G1228" t="str">
        <f>TRIM(RIGHT(Table156[[#This Row],[Item-Codigo]], LEN(Table156[[#This Row],[Item-Codigo]]) - FIND("|", CONCATENATE(B1228), FIND("|", CONCATENATE(B1228)) + 1)))</f>
        <v>KG</v>
      </c>
      <c r="H122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495</v>
      </c>
      <c r="I1228" s="40">
        <v>495</v>
      </c>
      <c r="J122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1601</v>
      </c>
      <c r="K1228" t="s">
        <v>78</v>
      </c>
    </row>
    <row r="1229" spans="1:11" x14ac:dyDescent="0.35">
      <c r="A1229" t="s">
        <v>305</v>
      </c>
      <c r="B1229" t="s">
        <v>334</v>
      </c>
      <c r="C1229" t="s">
        <v>323</v>
      </c>
      <c r="D1229">
        <v>4.08</v>
      </c>
      <c r="E1229" t="s">
        <v>202</v>
      </c>
      <c r="F1229">
        <v>2024</v>
      </c>
      <c r="G1229" t="str">
        <f>TRIM(RIGHT(Table156[[#This Row],[Item-Codigo]], LEN(Table156[[#This Row],[Item-Codigo]]) - FIND("|", CONCATENATE(B1229), FIND("|", CONCATENATE(B1229)) + 1)))</f>
        <v>KG</v>
      </c>
      <c r="H122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475</v>
      </c>
      <c r="I1229" s="40">
        <v>475</v>
      </c>
      <c r="J122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4080</v>
      </c>
      <c r="K1229" t="s">
        <v>82</v>
      </c>
    </row>
    <row r="1230" spans="1:11" x14ac:dyDescent="0.35">
      <c r="A1230" t="s">
        <v>305</v>
      </c>
      <c r="B1230" t="s">
        <v>335</v>
      </c>
      <c r="C1230" t="s">
        <v>309</v>
      </c>
      <c r="D1230">
        <v>1.45</v>
      </c>
      <c r="E1230" t="s">
        <v>202</v>
      </c>
      <c r="F1230">
        <v>2024</v>
      </c>
      <c r="G1230" t="str">
        <f>TRIM(RIGHT(Table156[[#This Row],[Item-Codigo]], LEN(Table156[[#This Row],[Item-Codigo]]) - FIND("|", CONCATENATE(B1230), FIND("|", CONCATENATE(B1230)) + 1)))</f>
        <v>KG</v>
      </c>
      <c r="H123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131.3</v>
      </c>
      <c r="I1230" s="40" t="s">
        <v>523</v>
      </c>
      <c r="J123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1450</v>
      </c>
      <c r="K1230" t="s">
        <v>83</v>
      </c>
    </row>
    <row r="1231" spans="1:11" x14ac:dyDescent="0.35">
      <c r="A1231" t="s">
        <v>305</v>
      </c>
      <c r="B1231" t="s">
        <v>339</v>
      </c>
      <c r="C1231" t="s">
        <v>327</v>
      </c>
      <c r="D1231">
        <v>50</v>
      </c>
      <c r="E1231" t="s">
        <v>202</v>
      </c>
      <c r="F1231">
        <v>2024</v>
      </c>
      <c r="G1231" t="str">
        <f>TRIM(RIGHT(Table156[[#This Row],[Item-Codigo]], LEN(Table156[[#This Row],[Item-Codigo]]) - FIND("|", CONCATENATE(B1231), FIND("|", CONCATENATE(B1231)) + 1)))</f>
        <v>KG</v>
      </c>
      <c r="H123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520.5</v>
      </c>
      <c r="I1231" s="40" t="s">
        <v>546</v>
      </c>
      <c r="J123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50000</v>
      </c>
      <c r="K1231" t="s">
        <v>87</v>
      </c>
    </row>
    <row r="1232" spans="1:11" x14ac:dyDescent="0.35">
      <c r="A1232" t="s">
        <v>305</v>
      </c>
      <c r="B1232" t="s">
        <v>344</v>
      </c>
      <c r="C1232" t="s">
        <v>345</v>
      </c>
      <c r="D1232">
        <v>95</v>
      </c>
      <c r="E1232" t="s">
        <v>202</v>
      </c>
      <c r="F1232">
        <v>2024</v>
      </c>
      <c r="G1232" t="str">
        <f>TRIM(RIGHT(Table156[[#This Row],[Item-Codigo]], LEN(Table156[[#This Row],[Item-Codigo]]) - FIND("|", CONCATENATE(B1232), FIND("|", CONCATENATE(B1232)) + 1)))</f>
        <v>KG</v>
      </c>
      <c r="H123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912.5</v>
      </c>
      <c r="I1232" s="40" t="s">
        <v>555</v>
      </c>
      <c r="J123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95000</v>
      </c>
      <c r="K1232" t="s">
        <v>90</v>
      </c>
    </row>
    <row r="1233" spans="1:11" x14ac:dyDescent="0.35">
      <c r="A1233" t="s">
        <v>305</v>
      </c>
      <c r="B1233" t="s">
        <v>347</v>
      </c>
      <c r="C1233" t="s">
        <v>348</v>
      </c>
      <c r="D1233">
        <v>18</v>
      </c>
      <c r="E1233" t="s">
        <v>202</v>
      </c>
      <c r="F1233">
        <v>2024</v>
      </c>
      <c r="G1233" t="str">
        <f>TRIM(RIGHT(Table156[[#This Row],[Item-Codigo]], LEN(Table156[[#This Row],[Item-Codigo]]) - FIND("|", CONCATENATE(B1233), FIND("|", CONCATENATE(B1233)) + 1)))</f>
        <v>KG</v>
      </c>
      <c r="H123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550</v>
      </c>
      <c r="I1233" s="40">
        <v>550</v>
      </c>
      <c r="J123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18000</v>
      </c>
      <c r="K1233" t="s">
        <v>92</v>
      </c>
    </row>
    <row r="1234" spans="1:11" x14ac:dyDescent="0.35">
      <c r="A1234" t="s">
        <v>305</v>
      </c>
      <c r="B1234" t="s">
        <v>350</v>
      </c>
      <c r="C1234" t="s">
        <v>351</v>
      </c>
      <c r="D1234">
        <v>1.8</v>
      </c>
      <c r="E1234" t="s">
        <v>202</v>
      </c>
      <c r="F1234">
        <v>2024</v>
      </c>
      <c r="G1234" t="str">
        <f>TRIM(RIGHT(Table156[[#This Row],[Item-Codigo]], LEN(Table156[[#This Row],[Item-Codigo]]) - FIND("|", CONCATENATE(B1234), FIND("|", CONCATENATE(B1234)) + 1)))</f>
        <v>KG</v>
      </c>
      <c r="H123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173</v>
      </c>
      <c r="I1234" s="40">
        <v>173</v>
      </c>
      <c r="J123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1800</v>
      </c>
      <c r="K1234" t="s">
        <v>138</v>
      </c>
    </row>
    <row r="1235" spans="1:11" x14ac:dyDescent="0.35">
      <c r="A1235" t="s">
        <v>305</v>
      </c>
      <c r="B1235" t="s">
        <v>352</v>
      </c>
      <c r="C1235" t="s">
        <v>353</v>
      </c>
      <c r="D1235">
        <v>9.35</v>
      </c>
      <c r="E1235" t="s">
        <v>202</v>
      </c>
      <c r="F1235">
        <v>2024</v>
      </c>
      <c r="G1235" t="str">
        <f>TRIM(RIGHT(Table156[[#This Row],[Item-Codigo]], LEN(Table156[[#This Row],[Item-Codigo]]) - FIND("|", CONCATENATE(B1235), FIND("|", CONCATENATE(B1235)) + 1)))</f>
        <v>KG</v>
      </c>
      <c r="H123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742</v>
      </c>
      <c r="I1235" s="40">
        <v>742</v>
      </c>
      <c r="J123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9350</v>
      </c>
      <c r="K1235" t="s">
        <v>147</v>
      </c>
    </row>
    <row r="1236" spans="1:11" x14ac:dyDescent="0.35">
      <c r="A1236" t="s">
        <v>305</v>
      </c>
      <c r="B1236" t="s">
        <v>354</v>
      </c>
      <c r="C1236" t="s">
        <v>353</v>
      </c>
      <c r="D1236">
        <v>9.24</v>
      </c>
      <c r="E1236" t="s">
        <v>202</v>
      </c>
      <c r="F1236">
        <v>2024</v>
      </c>
      <c r="G1236" t="str">
        <f>TRIM(RIGHT(Table156[[#This Row],[Item-Codigo]], LEN(Table156[[#This Row],[Item-Codigo]]) - FIND("|", CONCATENATE(B1236), FIND("|", CONCATENATE(B1236)) + 1)))</f>
        <v>KG</v>
      </c>
      <c r="H123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741</v>
      </c>
      <c r="I1236" s="40">
        <v>741</v>
      </c>
      <c r="J123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9240</v>
      </c>
      <c r="K1236" t="s">
        <v>146</v>
      </c>
    </row>
    <row r="1237" spans="1:11" x14ac:dyDescent="0.35">
      <c r="A1237" t="s">
        <v>305</v>
      </c>
      <c r="B1237" t="s">
        <v>355</v>
      </c>
      <c r="C1237" t="s">
        <v>353</v>
      </c>
      <c r="D1237">
        <v>8.85</v>
      </c>
      <c r="E1237" t="s">
        <v>202</v>
      </c>
      <c r="F1237">
        <v>2024</v>
      </c>
      <c r="G1237" t="str">
        <f>TRIM(RIGHT(Table156[[#This Row],[Item-Codigo]], LEN(Table156[[#This Row],[Item-Codigo]]) - FIND("|", CONCATENATE(B1237), FIND("|", CONCATENATE(B1237)) + 1)))</f>
        <v>KG</v>
      </c>
      <c r="H123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740</v>
      </c>
      <c r="I1237" s="40">
        <v>740</v>
      </c>
      <c r="J123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8850</v>
      </c>
      <c r="K1237" t="s">
        <v>143</v>
      </c>
    </row>
    <row r="1238" spans="1:11" x14ac:dyDescent="0.35">
      <c r="A1238" t="s">
        <v>305</v>
      </c>
      <c r="B1238" t="s">
        <v>360</v>
      </c>
      <c r="C1238" t="s">
        <v>215</v>
      </c>
      <c r="D1238">
        <v>920.19021739130005</v>
      </c>
      <c r="E1238" t="s">
        <v>202</v>
      </c>
      <c r="F1238">
        <v>2024</v>
      </c>
      <c r="G1238" t="str">
        <f>TRIM(RIGHT(Table156[[#This Row],[Item-Codigo]], LEN(Table156[[#This Row],[Item-Codigo]]) - FIND("|", CONCATENATE(B1238), FIND("|", CONCATENATE(B1238)) + 1)))</f>
        <v>TM</v>
      </c>
      <c r="H123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</v>
      </c>
      <c r="I1238" s="40">
        <v>45</v>
      </c>
      <c r="J123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920.19021739130005</v>
      </c>
      <c r="K1238" t="s">
        <v>131</v>
      </c>
    </row>
    <row r="1239" spans="1:11" x14ac:dyDescent="0.35">
      <c r="A1239" t="s">
        <v>305</v>
      </c>
      <c r="B1239" t="s">
        <v>362</v>
      </c>
      <c r="C1239" t="s">
        <v>363</v>
      </c>
      <c r="D1239">
        <v>1.3148</v>
      </c>
      <c r="E1239" t="s">
        <v>202</v>
      </c>
      <c r="F1239">
        <v>2024</v>
      </c>
      <c r="G1239" t="str">
        <f>TRIM(RIGHT(Table156[[#This Row],[Item-Codigo]], LEN(Table156[[#This Row],[Item-Codigo]]) - FIND("|", CONCATENATE(B1239), FIND("|", CONCATENATE(B1239)) + 1)))</f>
        <v>KG</v>
      </c>
      <c r="H123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439</v>
      </c>
      <c r="I1239" s="40">
        <v>439</v>
      </c>
      <c r="J123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1314.8</v>
      </c>
      <c r="K1239" t="s">
        <v>137</v>
      </c>
    </row>
    <row r="1240" spans="1:11" x14ac:dyDescent="0.35">
      <c r="A1240" t="s">
        <v>305</v>
      </c>
      <c r="B1240" t="s">
        <v>364</v>
      </c>
      <c r="C1240" t="s">
        <v>365</v>
      </c>
      <c r="D1240">
        <v>1.07</v>
      </c>
      <c r="E1240" t="s">
        <v>202</v>
      </c>
      <c r="F1240">
        <v>2024</v>
      </c>
      <c r="G1240" t="str">
        <f>TRIM(RIGHT(Table156[[#This Row],[Item-Codigo]], LEN(Table156[[#This Row],[Item-Codigo]]) - FIND("|", CONCATENATE(B1240), FIND("|", CONCATENATE(B1240)) + 1)))</f>
        <v>KG</v>
      </c>
      <c r="H124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488.1</v>
      </c>
      <c r="I1240" s="40" t="s">
        <v>538</v>
      </c>
      <c r="J124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1070</v>
      </c>
      <c r="K1240" t="s">
        <v>149</v>
      </c>
    </row>
    <row r="1241" spans="1:11" x14ac:dyDescent="0.35">
      <c r="A1241" t="s">
        <v>305</v>
      </c>
      <c r="B1241" t="s">
        <v>367</v>
      </c>
      <c r="C1241" t="s">
        <v>321</v>
      </c>
      <c r="D1241">
        <v>2.15</v>
      </c>
      <c r="E1241" t="s">
        <v>202</v>
      </c>
      <c r="F1241">
        <v>2024</v>
      </c>
      <c r="G1241" t="str">
        <f>TRIM(RIGHT(Table156[[#This Row],[Item-Codigo]], LEN(Table156[[#This Row],[Item-Codigo]]) - FIND("|", CONCATENATE(B1241), FIND("|", CONCATENATE(B1241)) + 1)))</f>
        <v>KG</v>
      </c>
      <c r="H124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910</v>
      </c>
      <c r="I1241" s="40">
        <v>910</v>
      </c>
      <c r="J124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2150</v>
      </c>
      <c r="K1241" t="s">
        <v>136</v>
      </c>
    </row>
    <row r="1242" spans="1:11" x14ac:dyDescent="0.35">
      <c r="A1242" t="s">
        <v>305</v>
      </c>
      <c r="B1242" t="s">
        <v>369</v>
      </c>
      <c r="C1242" t="s">
        <v>363</v>
      </c>
      <c r="D1242">
        <v>1.34</v>
      </c>
      <c r="E1242" t="s">
        <v>202</v>
      </c>
      <c r="F1242">
        <v>2024</v>
      </c>
      <c r="G1242" t="str">
        <f>TRIM(RIGHT(Table156[[#This Row],[Item-Codigo]], LEN(Table156[[#This Row],[Item-Codigo]]) - FIND("|", CONCATENATE(B1242), FIND("|", CONCATENATE(B1242)) + 1)))</f>
        <v>KG</v>
      </c>
      <c r="H124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439.3</v>
      </c>
      <c r="I1242" s="40" t="s">
        <v>530</v>
      </c>
      <c r="J124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1340</v>
      </c>
      <c r="K1242" t="s">
        <v>178</v>
      </c>
    </row>
    <row r="1243" spans="1:11" x14ac:dyDescent="0.35">
      <c r="A1243" t="s">
        <v>305</v>
      </c>
      <c r="B1243" t="s">
        <v>370</v>
      </c>
      <c r="C1243" t="s">
        <v>371</v>
      </c>
      <c r="D1243">
        <v>9.76</v>
      </c>
      <c r="E1243" t="s">
        <v>202</v>
      </c>
      <c r="F1243">
        <v>2024</v>
      </c>
      <c r="G1243" t="str">
        <f>TRIM(RIGHT(Table156[[#This Row],[Item-Codigo]], LEN(Table156[[#This Row],[Item-Codigo]]) - FIND("|", CONCATENATE(B1243), FIND("|", CONCATENATE(B1243)) + 1)))</f>
        <v>KG</v>
      </c>
      <c r="H124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600</v>
      </c>
      <c r="I1243" s="40">
        <v>600</v>
      </c>
      <c r="J124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9760</v>
      </c>
      <c r="K1243" t="s">
        <v>179</v>
      </c>
    </row>
    <row r="1244" spans="1:11" x14ac:dyDescent="0.35">
      <c r="A1244" t="s">
        <v>305</v>
      </c>
      <c r="B1244" t="s">
        <v>372</v>
      </c>
      <c r="C1244" t="s">
        <v>373</v>
      </c>
      <c r="D1244">
        <v>1.2</v>
      </c>
      <c r="E1244" t="s">
        <v>202</v>
      </c>
      <c r="F1244">
        <v>2024</v>
      </c>
      <c r="G1244" t="str">
        <f>TRIM(RIGHT(Table156[[#This Row],[Item-Codigo]], LEN(Table156[[#This Row],[Item-Codigo]]) - FIND("|", CONCATENATE(B1244), FIND("|", CONCATENATE(B1244)) + 1)))</f>
        <v>KG</v>
      </c>
      <c r="H124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701.2</v>
      </c>
      <c r="I1244" s="40" t="s">
        <v>553</v>
      </c>
      <c r="J124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1200</v>
      </c>
      <c r="K1244" t="s">
        <v>140</v>
      </c>
    </row>
    <row r="1245" spans="1:11" x14ac:dyDescent="0.35">
      <c r="A1245" t="s">
        <v>305</v>
      </c>
      <c r="B1245" t="s">
        <v>380</v>
      </c>
      <c r="C1245" t="s">
        <v>381</v>
      </c>
      <c r="D1245">
        <v>4</v>
      </c>
      <c r="E1245" t="s">
        <v>202</v>
      </c>
      <c r="F1245">
        <v>2024</v>
      </c>
      <c r="G1245" t="str">
        <f>TRIM(RIGHT(Table156[[#This Row],[Item-Codigo]], LEN(Table156[[#This Row],[Item-Codigo]]) - FIND("|", CONCATENATE(B1245), FIND("|", CONCATENATE(B1245)) + 1)))</f>
        <v>KG</v>
      </c>
      <c r="H124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706</v>
      </c>
      <c r="I1245" s="40">
        <v>706</v>
      </c>
      <c r="J124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</v>
      </c>
      <c r="K1245" t="s">
        <v>156</v>
      </c>
    </row>
    <row r="1246" spans="1:11" x14ac:dyDescent="0.35">
      <c r="A1246" t="s">
        <v>305</v>
      </c>
      <c r="B1246" t="s">
        <v>380</v>
      </c>
      <c r="C1246" t="s">
        <v>331</v>
      </c>
      <c r="D1246">
        <v>3.6</v>
      </c>
      <c r="E1246" t="s">
        <v>202</v>
      </c>
      <c r="F1246">
        <v>2024</v>
      </c>
      <c r="G1246" t="str">
        <f>TRIM(RIGHT(Table156[[#This Row],[Item-Codigo]], LEN(Table156[[#This Row],[Item-Codigo]]) - FIND("|", CONCATENATE(B1246), FIND("|", CONCATENATE(B1246)) + 1)))</f>
        <v>KG</v>
      </c>
      <c r="H124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706</v>
      </c>
      <c r="I1246" s="40">
        <v>706</v>
      </c>
      <c r="J124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3600</v>
      </c>
      <c r="K1246" t="s">
        <v>156</v>
      </c>
    </row>
    <row r="1247" spans="1:11" x14ac:dyDescent="0.35">
      <c r="A1247" t="s">
        <v>305</v>
      </c>
      <c r="B1247" t="s">
        <v>383</v>
      </c>
      <c r="C1247" t="s">
        <v>317</v>
      </c>
      <c r="D1247">
        <v>7.8</v>
      </c>
      <c r="E1247" t="s">
        <v>202</v>
      </c>
      <c r="F1247">
        <v>2024</v>
      </c>
      <c r="G1247" t="str">
        <f>TRIM(RIGHT(Table156[[#This Row],[Item-Codigo]], LEN(Table156[[#This Row],[Item-Codigo]]) - FIND("|", CONCATENATE(B1247), FIND("|", CONCATENATE(B1247)) + 1)))</f>
        <v>KG</v>
      </c>
      <c r="H124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1059</v>
      </c>
      <c r="I1247" s="40">
        <v>1059</v>
      </c>
      <c r="J124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7800</v>
      </c>
      <c r="K1247" t="s">
        <v>151</v>
      </c>
    </row>
    <row r="1248" spans="1:11" x14ac:dyDescent="0.35">
      <c r="A1248" t="s">
        <v>305</v>
      </c>
      <c r="B1248" t="s">
        <v>386</v>
      </c>
      <c r="C1248" t="s">
        <v>351</v>
      </c>
      <c r="D1248">
        <v>5.9</v>
      </c>
      <c r="E1248" t="s">
        <v>202</v>
      </c>
      <c r="F1248">
        <v>2024</v>
      </c>
      <c r="G1248" t="str">
        <f>TRIM(RIGHT(Table156[[#This Row],[Item-Codigo]], LEN(Table156[[#This Row],[Item-Codigo]]) - FIND("|", CONCATENATE(B1248), FIND("|", CONCATENATE(B1248)) + 1)))</f>
        <v>KG</v>
      </c>
      <c r="H124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110.2</v>
      </c>
      <c r="I1248" s="40" t="s">
        <v>522</v>
      </c>
      <c r="J124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5900</v>
      </c>
      <c r="K1248" t="s">
        <v>170</v>
      </c>
    </row>
    <row r="1249" spans="1:11" x14ac:dyDescent="0.35">
      <c r="A1249" t="s">
        <v>305</v>
      </c>
      <c r="B1249" t="s">
        <v>388</v>
      </c>
      <c r="C1249" t="s">
        <v>321</v>
      </c>
      <c r="D1249">
        <v>7.4</v>
      </c>
      <c r="E1249" t="s">
        <v>202</v>
      </c>
      <c r="F1249">
        <v>2024</v>
      </c>
      <c r="G1249" t="str">
        <f>TRIM(RIGHT(Table156[[#This Row],[Item-Codigo]], LEN(Table156[[#This Row],[Item-Codigo]]) - FIND("|", CONCATENATE(B1249), FIND("|", CONCATENATE(B1249)) + 1)))</f>
        <v>KG</v>
      </c>
      <c r="H124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1068</v>
      </c>
      <c r="I1249" s="40">
        <v>1068</v>
      </c>
      <c r="J124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7400</v>
      </c>
      <c r="K1249" t="s">
        <v>145</v>
      </c>
    </row>
    <row r="1250" spans="1:11" x14ac:dyDescent="0.35">
      <c r="A1250" t="s">
        <v>305</v>
      </c>
      <c r="B1250" t="s">
        <v>392</v>
      </c>
      <c r="C1250" t="s">
        <v>393</v>
      </c>
      <c r="D1250">
        <v>2.8</v>
      </c>
      <c r="E1250" t="s">
        <v>202</v>
      </c>
      <c r="F1250">
        <v>2024</v>
      </c>
      <c r="G1250" t="str">
        <f>TRIM(RIGHT(Table156[[#This Row],[Item-Codigo]], LEN(Table156[[#This Row],[Item-Codigo]]) - FIND("|", CONCATENATE(B1250), FIND("|", CONCATENATE(B1250)) + 1)))</f>
        <v>KG</v>
      </c>
      <c r="H125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170</v>
      </c>
      <c r="I1250" s="40">
        <v>170</v>
      </c>
      <c r="J125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2800</v>
      </c>
      <c r="K1250" t="s">
        <v>174</v>
      </c>
    </row>
    <row r="1251" spans="1:11" x14ac:dyDescent="0.35">
      <c r="A1251" t="s">
        <v>305</v>
      </c>
      <c r="B1251" t="s">
        <v>394</v>
      </c>
      <c r="C1251" t="s">
        <v>395</v>
      </c>
      <c r="D1251">
        <v>19.75</v>
      </c>
      <c r="E1251" t="s">
        <v>202</v>
      </c>
      <c r="F1251">
        <v>2024</v>
      </c>
      <c r="G1251" t="str">
        <f>TRIM(RIGHT(Table156[[#This Row],[Item-Codigo]], LEN(Table156[[#This Row],[Item-Codigo]]) - FIND("|", CONCATENATE(B1251), FIND("|", CONCATENATE(B1251)) + 1)))</f>
        <v>KG</v>
      </c>
      <c r="H125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</v>
      </c>
      <c r="I1251" s="40">
        <v>70</v>
      </c>
      <c r="J125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19750</v>
      </c>
      <c r="K1251" t="s">
        <v>159</v>
      </c>
    </row>
    <row r="1252" spans="1:11" x14ac:dyDescent="0.35">
      <c r="A1252" t="s">
        <v>305</v>
      </c>
      <c r="B1252" t="s">
        <v>396</v>
      </c>
      <c r="C1252" t="s">
        <v>345</v>
      </c>
      <c r="D1252">
        <v>13.4</v>
      </c>
      <c r="E1252" t="s">
        <v>202</v>
      </c>
      <c r="F1252">
        <v>2024</v>
      </c>
      <c r="G1252" t="str">
        <f>TRIM(RIGHT(Table156[[#This Row],[Item-Codigo]], LEN(Table156[[#This Row],[Item-Codigo]]) - FIND("|", CONCATENATE(B1252), FIND("|", CONCATENATE(B1252)) + 1)))</f>
        <v>KG</v>
      </c>
      <c r="H125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58</v>
      </c>
      <c r="I1252" s="40">
        <v>58</v>
      </c>
      <c r="J125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13400</v>
      </c>
      <c r="K1252" t="s">
        <v>172</v>
      </c>
    </row>
    <row r="1253" spans="1:11" x14ac:dyDescent="0.35">
      <c r="A1253" t="s">
        <v>305</v>
      </c>
      <c r="B1253" t="s">
        <v>397</v>
      </c>
      <c r="C1253" t="s">
        <v>327</v>
      </c>
      <c r="D1253">
        <v>9</v>
      </c>
      <c r="E1253" t="s">
        <v>202</v>
      </c>
      <c r="F1253">
        <v>2024</v>
      </c>
      <c r="G1253" t="str">
        <f>TRIM(RIGHT(Table156[[#This Row],[Item-Codigo]], LEN(Table156[[#This Row],[Item-Codigo]]) - FIND("|", CONCATENATE(B1253), FIND("|", CONCATENATE(B1253)) + 1)))</f>
        <v>KG</v>
      </c>
      <c r="H125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933</v>
      </c>
      <c r="I1253" s="40">
        <v>933</v>
      </c>
      <c r="J125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1253" t="s">
        <v>163</v>
      </c>
    </row>
    <row r="1254" spans="1:11" x14ac:dyDescent="0.35">
      <c r="A1254" t="s">
        <v>305</v>
      </c>
      <c r="B1254" t="s">
        <v>398</v>
      </c>
      <c r="C1254" t="s">
        <v>399</v>
      </c>
      <c r="D1254">
        <v>0.16880000000000001</v>
      </c>
      <c r="E1254" t="s">
        <v>202</v>
      </c>
      <c r="F1254">
        <v>2024</v>
      </c>
      <c r="G1254" t="str">
        <f>TRIM(RIGHT(Table156[[#This Row],[Item-Codigo]], LEN(Table156[[#This Row],[Item-Codigo]]) - FIND("|", CONCATENATE(B1254), FIND("|", CONCATENATE(B1254)) + 1)))</f>
        <v>KG</v>
      </c>
      <c r="H125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704</v>
      </c>
      <c r="I1254" s="40">
        <v>704</v>
      </c>
      <c r="J125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168.8</v>
      </c>
      <c r="K1254" t="s">
        <v>132</v>
      </c>
    </row>
    <row r="1255" spans="1:11" x14ac:dyDescent="0.35">
      <c r="A1255" t="s">
        <v>305</v>
      </c>
      <c r="B1255" t="s">
        <v>400</v>
      </c>
      <c r="C1255" t="s">
        <v>309</v>
      </c>
      <c r="D1255">
        <v>14.5</v>
      </c>
      <c r="E1255" t="s">
        <v>202</v>
      </c>
      <c r="F1255">
        <v>2024</v>
      </c>
      <c r="G1255" t="str">
        <f>TRIM(RIGHT(Table156[[#This Row],[Item-Codigo]], LEN(Table156[[#This Row],[Item-Codigo]]) - FIND("|", CONCATENATE(B1255), FIND("|", CONCATENATE(B1255)) + 1)))</f>
        <v>KG</v>
      </c>
      <c r="H125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907</v>
      </c>
      <c r="I1255" s="40">
        <v>907</v>
      </c>
      <c r="J125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14500</v>
      </c>
      <c r="K1255" t="s">
        <v>155</v>
      </c>
    </row>
    <row r="1256" spans="1:11" x14ac:dyDescent="0.35">
      <c r="A1256" t="s">
        <v>305</v>
      </c>
      <c r="B1256" t="s">
        <v>401</v>
      </c>
      <c r="C1256" t="s">
        <v>345</v>
      </c>
      <c r="D1256">
        <v>33.85</v>
      </c>
      <c r="E1256" t="s">
        <v>202</v>
      </c>
      <c r="F1256">
        <v>2024</v>
      </c>
      <c r="G1256" t="str">
        <f>TRIM(RIGHT(Table156[[#This Row],[Item-Codigo]], LEN(Table156[[#This Row],[Item-Codigo]]) - FIND("|", CONCATENATE(B1256), FIND("|", CONCATENATE(B1256)) + 1)))</f>
        <v>KG</v>
      </c>
      <c r="H125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1049</v>
      </c>
      <c r="I1256" s="40">
        <v>1049</v>
      </c>
      <c r="J125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33850</v>
      </c>
      <c r="K1256" t="s">
        <v>973</v>
      </c>
    </row>
    <row r="1257" spans="1:11" x14ac:dyDescent="0.35">
      <c r="A1257" t="s">
        <v>305</v>
      </c>
      <c r="B1257" t="s">
        <v>405</v>
      </c>
      <c r="C1257" t="s">
        <v>215</v>
      </c>
      <c r="D1257">
        <v>780</v>
      </c>
      <c r="E1257" t="s">
        <v>202</v>
      </c>
      <c r="F1257">
        <v>2024</v>
      </c>
      <c r="G1257" t="str">
        <f>TRIM(RIGHT(Table156[[#This Row],[Item-Codigo]], LEN(Table156[[#This Row],[Item-Codigo]]) - FIND("|", CONCATENATE(B1257), FIND("|", CONCATENATE(B1257)) + 1)))</f>
        <v>TM</v>
      </c>
      <c r="H125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497.5</v>
      </c>
      <c r="I1257" s="40" t="s">
        <v>540</v>
      </c>
      <c r="J125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780</v>
      </c>
      <c r="K1257" t="s">
        <v>133</v>
      </c>
    </row>
    <row r="1258" spans="1:11" x14ac:dyDescent="0.35">
      <c r="A1258" t="s">
        <v>305</v>
      </c>
      <c r="B1258" t="s">
        <v>409</v>
      </c>
      <c r="C1258" t="s">
        <v>215</v>
      </c>
      <c r="D1258">
        <v>1610</v>
      </c>
      <c r="E1258" t="s">
        <v>202</v>
      </c>
      <c r="F1258">
        <v>2024</v>
      </c>
      <c r="G1258" t="str">
        <f>TRIM(RIGHT(Table156[[#This Row],[Item-Codigo]], LEN(Table156[[#This Row],[Item-Codigo]]) - FIND("|", CONCATENATE(B1258), FIND("|", CONCATENATE(B1258)) + 1)))</f>
        <v>TM</v>
      </c>
      <c r="H125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379</v>
      </c>
      <c r="I1258" s="40">
        <v>379</v>
      </c>
      <c r="J125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1610</v>
      </c>
      <c r="K1258" t="s">
        <v>139</v>
      </c>
    </row>
    <row r="1259" spans="1:11" x14ac:dyDescent="0.35">
      <c r="A1259" t="s">
        <v>305</v>
      </c>
      <c r="B1259" t="s">
        <v>411</v>
      </c>
      <c r="C1259" t="s">
        <v>215</v>
      </c>
      <c r="D1259">
        <v>2325</v>
      </c>
      <c r="E1259" t="s">
        <v>202</v>
      </c>
      <c r="F1259">
        <v>2024</v>
      </c>
      <c r="G1259" t="str">
        <f>TRIM(RIGHT(Table156[[#This Row],[Item-Codigo]], LEN(Table156[[#This Row],[Item-Codigo]]) - FIND("|", CONCATENATE(B1259), FIND("|", CONCATENATE(B1259)) + 1)))</f>
        <v>TM</v>
      </c>
      <c r="H125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508</v>
      </c>
      <c r="I1259" s="40">
        <v>508</v>
      </c>
      <c r="J125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2325</v>
      </c>
      <c r="K1259" t="s">
        <v>154</v>
      </c>
    </row>
    <row r="1260" spans="1:11" x14ac:dyDescent="0.35">
      <c r="A1260" t="s">
        <v>305</v>
      </c>
      <c r="B1260" t="s">
        <v>412</v>
      </c>
      <c r="C1260" t="s">
        <v>348</v>
      </c>
      <c r="D1260">
        <v>29</v>
      </c>
      <c r="E1260" t="s">
        <v>202</v>
      </c>
      <c r="F1260">
        <v>2024</v>
      </c>
      <c r="G1260" t="str">
        <f>TRIM(RIGHT(Table156[[#This Row],[Item-Codigo]], LEN(Table156[[#This Row],[Item-Codigo]]) - FIND("|", CONCATENATE(B1260), FIND("|", CONCATENATE(B1260)) + 1)))</f>
        <v>KG</v>
      </c>
      <c r="H126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981.2</v>
      </c>
      <c r="I1260" s="40" t="s">
        <v>556</v>
      </c>
      <c r="J126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29000</v>
      </c>
      <c r="K1260" t="s">
        <v>171</v>
      </c>
    </row>
    <row r="1261" spans="1:11" x14ac:dyDescent="0.35">
      <c r="A1261" t="s">
        <v>305</v>
      </c>
      <c r="B1261" t="s">
        <v>413</v>
      </c>
      <c r="C1261" t="s">
        <v>365</v>
      </c>
      <c r="D1261">
        <v>1.9</v>
      </c>
      <c r="E1261" t="s">
        <v>202</v>
      </c>
      <c r="F1261">
        <v>2024</v>
      </c>
      <c r="G1261" t="str">
        <f>TRIM(RIGHT(Table156[[#This Row],[Item-Codigo]], LEN(Table156[[#This Row],[Item-Codigo]]) - FIND("|", CONCATENATE(B1261), FIND("|", CONCATENATE(B1261)) + 1)))</f>
        <v>KG</v>
      </c>
      <c r="H126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456.12</v>
      </c>
      <c r="I1261" s="40" t="s">
        <v>533</v>
      </c>
      <c r="J126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1900</v>
      </c>
      <c r="K1261" t="s">
        <v>153</v>
      </c>
    </row>
    <row r="1262" spans="1:11" x14ac:dyDescent="0.35">
      <c r="A1262" t="s">
        <v>305</v>
      </c>
      <c r="B1262" t="s">
        <v>931</v>
      </c>
      <c r="C1262" t="s">
        <v>365</v>
      </c>
      <c r="D1262">
        <v>3.33</v>
      </c>
      <c r="E1262" t="s">
        <v>202</v>
      </c>
      <c r="F1262">
        <v>2024</v>
      </c>
      <c r="G1262" t="str">
        <f>TRIM(RIGHT(Table156[[#This Row],[Item-Codigo]], LEN(Table156[[#This Row],[Item-Codigo]]) - FIND("|", CONCATENATE(B1262), FIND("|", CONCATENATE(B1262)) + 1)))</f>
        <v>KG</v>
      </c>
      <c r="H126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456.9</v>
      </c>
      <c r="I1262" s="40" t="s">
        <v>534</v>
      </c>
      <c r="J126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3330</v>
      </c>
      <c r="K1262" t="s">
        <v>158</v>
      </c>
    </row>
    <row r="1263" spans="1:11" x14ac:dyDescent="0.35">
      <c r="A1263" t="s">
        <v>305</v>
      </c>
      <c r="B1263" t="s">
        <v>417</v>
      </c>
      <c r="C1263" t="s">
        <v>365</v>
      </c>
      <c r="D1263">
        <v>6</v>
      </c>
      <c r="E1263" t="s">
        <v>202</v>
      </c>
      <c r="F1263">
        <v>2024</v>
      </c>
      <c r="G1263" t="str">
        <f>TRIM(RIGHT(Table156[[#This Row],[Item-Codigo]], LEN(Table156[[#This Row],[Item-Codigo]]) - FIND("|", CONCATENATE(B1263), FIND("|", CONCATENATE(B1263)) + 1)))</f>
        <v>KG</v>
      </c>
      <c r="H126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461</v>
      </c>
      <c r="I1263" s="40">
        <v>461</v>
      </c>
      <c r="J126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1263" t="s">
        <v>176</v>
      </c>
    </row>
    <row r="1264" spans="1:11" x14ac:dyDescent="0.35">
      <c r="A1264" t="s">
        <v>680</v>
      </c>
      <c r="B1264" t="s">
        <v>1012</v>
      </c>
      <c r="C1264" t="s">
        <v>874</v>
      </c>
      <c r="D1264">
        <v>1.2500000000000001E-2</v>
      </c>
      <c r="E1264" t="s">
        <v>202</v>
      </c>
      <c r="F1264">
        <v>2024</v>
      </c>
      <c r="G1264" t="str">
        <f>TRIM(RIGHT(Table156[[#This Row],[Item-Codigo]], LEN(Table156[[#This Row],[Item-Codigo]]) - FIND("|", CONCATENATE(B1264), FIND("|", CONCATENATE(B1264)) + 1)))</f>
        <v>UND</v>
      </c>
      <c r="H126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4200</v>
      </c>
      <c r="I1264" s="40">
        <v>4200</v>
      </c>
      <c r="J126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264" t="s">
        <v>790</v>
      </c>
    </row>
    <row r="1265" spans="1:11" x14ac:dyDescent="0.35">
      <c r="A1265" t="s">
        <v>680</v>
      </c>
      <c r="B1265" t="s">
        <v>1034</v>
      </c>
      <c r="C1265" t="s">
        <v>874</v>
      </c>
      <c r="D1265">
        <v>1.2500000000000001E-2</v>
      </c>
      <c r="E1265" t="s">
        <v>202</v>
      </c>
      <c r="F1265">
        <v>2024</v>
      </c>
      <c r="G1265" t="str">
        <f>TRIM(RIGHT(Table156[[#This Row],[Item-Codigo]], LEN(Table156[[#This Row],[Item-Codigo]]) - FIND("|", CONCATENATE(B1265), FIND("|", CONCATENATE(B1265)) + 1)))</f>
        <v>UND</v>
      </c>
      <c r="H126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3135</v>
      </c>
      <c r="I1265" s="40">
        <v>3135</v>
      </c>
      <c r="J126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265" t="s">
        <v>788</v>
      </c>
    </row>
    <row r="1266" spans="1:11" x14ac:dyDescent="0.35">
      <c r="A1266" t="s">
        <v>680</v>
      </c>
      <c r="B1266" t="s">
        <v>1015</v>
      </c>
      <c r="C1266" t="s">
        <v>874</v>
      </c>
      <c r="D1266">
        <v>1.2500000000000001E-2</v>
      </c>
      <c r="E1266" t="s">
        <v>202</v>
      </c>
      <c r="F1266">
        <v>2024</v>
      </c>
      <c r="G1266" t="str">
        <f>TRIM(RIGHT(Table156[[#This Row],[Item-Codigo]], LEN(Table156[[#This Row],[Item-Codigo]]) - FIND("|", CONCATENATE(B1266), FIND("|", CONCATENATE(B1266)) + 1)))</f>
        <v>UND</v>
      </c>
      <c r="H126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2423</v>
      </c>
      <c r="I1266" s="40">
        <v>2423</v>
      </c>
      <c r="J126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266" t="s">
        <v>779</v>
      </c>
    </row>
    <row r="1267" spans="1:11" x14ac:dyDescent="0.35">
      <c r="A1267" t="s">
        <v>196</v>
      </c>
      <c r="B1267" t="s">
        <v>214</v>
      </c>
      <c r="C1267" t="s">
        <v>215</v>
      </c>
      <c r="D1267">
        <v>337.1</v>
      </c>
      <c r="E1267" t="s">
        <v>197</v>
      </c>
      <c r="F1267">
        <v>2024</v>
      </c>
      <c r="G1267" t="str">
        <f>TRIM(RIGHT(Table156[[#This Row],[Item-Codigo]], LEN(Table156[[#This Row],[Item-Codigo]]) - FIND("|", CONCATENATE(B1267), FIND("|", CONCATENATE(B1267)) + 1)))</f>
        <v>TM</v>
      </c>
      <c r="H126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223</v>
      </c>
      <c r="I1267" s="40">
        <v>223</v>
      </c>
      <c r="J126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337.1</v>
      </c>
      <c r="K1267" t="s">
        <v>93</v>
      </c>
    </row>
    <row r="1268" spans="1:11" x14ac:dyDescent="0.35">
      <c r="A1268" t="s">
        <v>196</v>
      </c>
      <c r="B1268" t="s">
        <v>993</v>
      </c>
      <c r="C1268" t="s">
        <v>238</v>
      </c>
      <c r="D1268">
        <v>1255</v>
      </c>
      <c r="E1268" t="s">
        <v>197</v>
      </c>
      <c r="F1268">
        <v>2024</v>
      </c>
      <c r="G1268" t="str">
        <f>TRIM(RIGHT(Table156[[#This Row],[Item-Codigo]], LEN(Table156[[#This Row],[Item-Codigo]]) - FIND("|", CONCATENATE(B1268), FIND("|", CONCATENATE(B1268)) + 1)))</f>
        <v>TM</v>
      </c>
      <c r="H126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1268" s="40">
        <v>116</v>
      </c>
      <c r="J126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1255</v>
      </c>
      <c r="K1268" t="s">
        <v>99</v>
      </c>
    </row>
    <row r="1269" spans="1:11" x14ac:dyDescent="0.35">
      <c r="A1269" t="s">
        <v>196</v>
      </c>
      <c r="B1269" t="s">
        <v>993</v>
      </c>
      <c r="C1269" t="s">
        <v>239</v>
      </c>
      <c r="D1269">
        <v>1196.9593975780999</v>
      </c>
      <c r="E1269" t="s">
        <v>197</v>
      </c>
      <c r="F1269">
        <v>2024</v>
      </c>
      <c r="G1269" t="str">
        <f>TRIM(RIGHT(Table156[[#This Row],[Item-Codigo]], LEN(Table156[[#This Row],[Item-Codigo]]) - FIND("|", CONCATENATE(B1269), FIND("|", CONCATENATE(B1269)) + 1)))</f>
        <v>TM</v>
      </c>
      <c r="H126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1269" s="40">
        <v>116</v>
      </c>
      <c r="J126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1196.9593975780999</v>
      </c>
      <c r="K1269" t="s">
        <v>99</v>
      </c>
    </row>
    <row r="1270" spans="1:11" x14ac:dyDescent="0.35">
      <c r="A1270" t="s">
        <v>196</v>
      </c>
      <c r="B1270" t="s">
        <v>216</v>
      </c>
      <c r="C1270" t="s">
        <v>252</v>
      </c>
      <c r="D1270">
        <v>642.39599276189995</v>
      </c>
      <c r="E1270" t="s">
        <v>197</v>
      </c>
      <c r="F1270">
        <v>2024</v>
      </c>
      <c r="G1270" t="str">
        <f>TRIM(RIGHT(Table156[[#This Row],[Item-Codigo]], LEN(Table156[[#This Row],[Item-Codigo]]) - FIND("|", CONCATENATE(B1270), FIND("|", CONCATENATE(B1270)) + 1)))</f>
        <v>TM</v>
      </c>
      <c r="H127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122</v>
      </c>
      <c r="I1270" s="40">
        <v>122</v>
      </c>
      <c r="J127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642.39599276189995</v>
      </c>
      <c r="K1270" t="s">
        <v>180</v>
      </c>
    </row>
    <row r="1271" spans="1:11" x14ac:dyDescent="0.35">
      <c r="A1271" t="s">
        <v>196</v>
      </c>
      <c r="B1271" t="s">
        <v>216</v>
      </c>
      <c r="C1271" t="s">
        <v>253</v>
      </c>
      <c r="D1271">
        <v>585</v>
      </c>
      <c r="E1271" t="s">
        <v>197</v>
      </c>
      <c r="F1271">
        <v>2024</v>
      </c>
      <c r="G1271" t="str">
        <f>TRIM(RIGHT(Table156[[#This Row],[Item-Codigo]], LEN(Table156[[#This Row],[Item-Codigo]]) - FIND("|", CONCATENATE(B1271), FIND("|", CONCATENATE(B1271)) + 1)))</f>
        <v>TM</v>
      </c>
      <c r="H127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122</v>
      </c>
      <c r="I1271" s="40">
        <v>122</v>
      </c>
      <c r="J127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585</v>
      </c>
      <c r="K1271" t="s">
        <v>180</v>
      </c>
    </row>
    <row r="1272" spans="1:11" x14ac:dyDescent="0.35">
      <c r="A1272" t="s">
        <v>196</v>
      </c>
      <c r="B1272" t="s">
        <v>216</v>
      </c>
      <c r="C1272" t="s">
        <v>254</v>
      </c>
      <c r="D1272">
        <v>552.2848402157</v>
      </c>
      <c r="E1272" t="s">
        <v>197</v>
      </c>
      <c r="F1272">
        <v>2024</v>
      </c>
      <c r="G1272" t="str">
        <f>TRIM(RIGHT(Table156[[#This Row],[Item-Codigo]], LEN(Table156[[#This Row],[Item-Codigo]]) - FIND("|", CONCATENATE(B1272), FIND("|", CONCATENATE(B1272)) + 1)))</f>
        <v>TM</v>
      </c>
      <c r="H127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122</v>
      </c>
      <c r="I1272" s="40">
        <v>122</v>
      </c>
      <c r="J127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552.2848402157</v>
      </c>
      <c r="K1272" t="s">
        <v>180</v>
      </c>
    </row>
    <row r="1273" spans="1:11" x14ac:dyDescent="0.35">
      <c r="A1273" t="s">
        <v>196</v>
      </c>
      <c r="B1273" t="s">
        <v>216</v>
      </c>
      <c r="C1273" t="s">
        <v>251</v>
      </c>
      <c r="D1273">
        <v>540.33248029050003</v>
      </c>
      <c r="E1273" t="s">
        <v>197</v>
      </c>
      <c r="F1273">
        <v>2024</v>
      </c>
      <c r="G1273" t="str">
        <f>TRIM(RIGHT(Table156[[#This Row],[Item-Codigo]], LEN(Table156[[#This Row],[Item-Codigo]]) - FIND("|", CONCATENATE(B1273), FIND("|", CONCATENATE(B1273)) + 1)))</f>
        <v>TM</v>
      </c>
      <c r="H127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122</v>
      </c>
      <c r="I1273" s="40">
        <v>122</v>
      </c>
      <c r="J127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540.33248029050003</v>
      </c>
      <c r="K1273" t="s">
        <v>180</v>
      </c>
    </row>
    <row r="1274" spans="1:11" x14ac:dyDescent="0.35">
      <c r="A1274" t="s">
        <v>196</v>
      </c>
      <c r="B1274" t="s">
        <v>217</v>
      </c>
      <c r="C1274" t="s">
        <v>215</v>
      </c>
      <c r="D1274">
        <v>315.84862864640002</v>
      </c>
      <c r="E1274" t="s">
        <v>197</v>
      </c>
      <c r="F1274">
        <v>2024</v>
      </c>
      <c r="G1274" t="str">
        <f>TRIM(RIGHT(Table156[[#This Row],[Item-Codigo]], LEN(Table156[[#This Row],[Item-Codigo]]) - FIND("|", CONCATENATE(B1274), FIND("|", CONCATENATE(B1274)) + 1)))</f>
        <v>TM</v>
      </c>
      <c r="H127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871</v>
      </c>
      <c r="I1274" s="40">
        <v>871</v>
      </c>
      <c r="J127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315.84862864640002</v>
      </c>
      <c r="K1274" t="s">
        <v>181</v>
      </c>
    </row>
    <row r="1275" spans="1:11" x14ac:dyDescent="0.35">
      <c r="A1275" t="s">
        <v>198</v>
      </c>
      <c r="B1275" t="s">
        <v>219</v>
      </c>
      <c r="C1275" t="s">
        <v>220</v>
      </c>
      <c r="D1275">
        <v>865</v>
      </c>
      <c r="E1275" t="s">
        <v>197</v>
      </c>
      <c r="F1275">
        <v>2024</v>
      </c>
      <c r="G1275" t="str">
        <f>TRIM(RIGHT(Table156[[#This Row],[Item-Codigo]], LEN(Table156[[#This Row],[Item-Codigo]]) - FIND("|", CONCATENATE(B1275), FIND("|", CONCATENATE(B1275)) + 1)))</f>
        <v>TM</v>
      </c>
      <c r="H127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275" s="40">
        <v>42</v>
      </c>
      <c r="J127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865</v>
      </c>
      <c r="K1275" t="s">
        <v>94</v>
      </c>
    </row>
    <row r="1276" spans="1:11" x14ac:dyDescent="0.35">
      <c r="A1276" t="s">
        <v>198</v>
      </c>
      <c r="B1276" t="s">
        <v>219</v>
      </c>
      <c r="C1276" t="s">
        <v>221</v>
      </c>
      <c r="D1276">
        <v>890</v>
      </c>
      <c r="E1276" t="s">
        <v>197</v>
      </c>
      <c r="F1276">
        <v>2024</v>
      </c>
      <c r="G1276" t="str">
        <f>TRIM(RIGHT(Table156[[#This Row],[Item-Codigo]], LEN(Table156[[#This Row],[Item-Codigo]]) - FIND("|", CONCATENATE(B1276), FIND("|", CONCATENATE(B1276)) + 1)))</f>
        <v>TM</v>
      </c>
      <c r="H127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276" s="40">
        <v>42</v>
      </c>
      <c r="J127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890</v>
      </c>
      <c r="K1276" t="s">
        <v>94</v>
      </c>
    </row>
    <row r="1277" spans="1:11" x14ac:dyDescent="0.35">
      <c r="A1277" t="s">
        <v>198</v>
      </c>
      <c r="B1277" t="s">
        <v>219</v>
      </c>
      <c r="C1277" t="s">
        <v>222</v>
      </c>
      <c r="D1277">
        <v>840</v>
      </c>
      <c r="E1277" t="s">
        <v>197</v>
      </c>
      <c r="F1277">
        <v>2024</v>
      </c>
      <c r="G1277" t="str">
        <f>TRIM(RIGHT(Table156[[#This Row],[Item-Codigo]], LEN(Table156[[#This Row],[Item-Codigo]]) - FIND("|", CONCATENATE(B1277), FIND("|", CONCATENATE(B1277)) + 1)))</f>
        <v>TM</v>
      </c>
      <c r="H127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277" s="40">
        <v>42</v>
      </c>
      <c r="J127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840</v>
      </c>
      <c r="K1277" t="s">
        <v>94</v>
      </c>
    </row>
    <row r="1278" spans="1:11" x14ac:dyDescent="0.35">
      <c r="A1278" t="s">
        <v>198</v>
      </c>
      <c r="B1278" t="s">
        <v>224</v>
      </c>
      <c r="C1278" t="s">
        <v>223</v>
      </c>
      <c r="D1278">
        <v>1778</v>
      </c>
      <c r="E1278" t="s">
        <v>197</v>
      </c>
      <c r="F1278">
        <v>2024</v>
      </c>
      <c r="G1278" t="str">
        <f>TRIM(RIGHT(Table156[[#This Row],[Item-Codigo]], LEN(Table156[[#This Row],[Item-Codigo]]) - FIND("|", CONCATENATE(B1278), FIND("|", CONCATENATE(B1278)) + 1)))</f>
        <v>TM</v>
      </c>
      <c r="H127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40</v>
      </c>
      <c r="I1278" s="40">
        <v>40</v>
      </c>
      <c r="J127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1778</v>
      </c>
      <c r="K1278" t="s">
        <v>95</v>
      </c>
    </row>
    <row r="1279" spans="1:11" x14ac:dyDescent="0.35">
      <c r="A1279" t="s">
        <v>198</v>
      </c>
      <c r="B1279" t="s">
        <v>227</v>
      </c>
      <c r="C1279" t="s">
        <v>218</v>
      </c>
      <c r="D1279">
        <v>0.31965117904444401</v>
      </c>
      <c r="E1279" t="s">
        <v>197</v>
      </c>
      <c r="F1279">
        <v>2024</v>
      </c>
      <c r="G1279" t="str">
        <f>TRIM(RIGHT(Table156[[#This Row],[Item-Codigo]], LEN(Table156[[#This Row],[Item-Codigo]]) - FIND("|", CONCATENATE(B1279), FIND("|", CONCATENATE(B1279)) + 1)))</f>
        <v>KG</v>
      </c>
      <c r="H127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1279" s="40">
        <v>200</v>
      </c>
      <c r="J127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319.65117904444401</v>
      </c>
      <c r="K1279" t="s">
        <v>97</v>
      </c>
    </row>
    <row r="1280" spans="1:11" x14ac:dyDescent="0.35">
      <c r="A1280" t="s">
        <v>198</v>
      </c>
      <c r="B1280" t="s">
        <v>230</v>
      </c>
      <c r="C1280" t="s">
        <v>231</v>
      </c>
      <c r="D1280">
        <v>4.5999999999999999E-2</v>
      </c>
      <c r="E1280" t="s">
        <v>197</v>
      </c>
      <c r="F1280">
        <v>2024</v>
      </c>
      <c r="G1280" t="str">
        <f>TRIM(RIGHT(Table156[[#This Row],[Item-Codigo]], LEN(Table156[[#This Row],[Item-Codigo]]) - FIND("|", CONCATENATE(B1280), FIND("|", CONCATENATE(B1280)) + 1)))</f>
        <v>KG</v>
      </c>
      <c r="H128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1280" s="40">
        <v>701</v>
      </c>
      <c r="J128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46</v>
      </c>
      <c r="K1280" t="s">
        <v>98</v>
      </c>
    </row>
    <row r="1281" spans="1:11" x14ac:dyDescent="0.35">
      <c r="A1281" t="s">
        <v>198</v>
      </c>
      <c r="B1281" t="s">
        <v>240</v>
      </c>
      <c r="C1281" t="s">
        <v>215</v>
      </c>
      <c r="D1281">
        <v>882.39901010949995</v>
      </c>
      <c r="E1281" t="s">
        <v>197</v>
      </c>
      <c r="F1281">
        <v>2024</v>
      </c>
      <c r="G1281" t="str">
        <f>TRIM(RIGHT(Table156[[#This Row],[Item-Codigo]], LEN(Table156[[#This Row],[Item-Codigo]]) - FIND("|", CONCATENATE(B1281), FIND("|", CONCATENATE(B1281)) + 1)))</f>
        <v>TM</v>
      </c>
      <c r="H128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111</v>
      </c>
      <c r="I1281" s="40">
        <v>111</v>
      </c>
      <c r="J128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882.39901010949995</v>
      </c>
      <c r="K1281" t="s">
        <v>184</v>
      </c>
    </row>
    <row r="1282" spans="1:11" x14ac:dyDescent="0.35">
      <c r="A1282" t="s">
        <v>198</v>
      </c>
      <c r="B1282" t="s">
        <v>199</v>
      </c>
      <c r="C1282" t="s">
        <v>200</v>
      </c>
      <c r="D1282">
        <v>16.799992467799999</v>
      </c>
      <c r="E1282" t="s">
        <v>197</v>
      </c>
      <c r="F1282">
        <v>2024</v>
      </c>
      <c r="G1282" t="str">
        <f>TRIM(RIGHT(Table156[[#This Row],[Item-Codigo]], LEN(Table156[[#This Row],[Item-Codigo]]) - FIND("|", CONCATENATE(B1282), FIND("|", CONCATENATE(B1282)) + 1)))</f>
        <v>QQ</v>
      </c>
      <c r="H128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1282" s="40">
        <v>1</v>
      </c>
      <c r="J1282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369.59983429159996</v>
      </c>
      <c r="K1282" t="s">
        <v>182</v>
      </c>
    </row>
    <row r="1283" spans="1:11" x14ac:dyDescent="0.35">
      <c r="A1283" t="s">
        <v>198</v>
      </c>
      <c r="B1283" t="s">
        <v>199</v>
      </c>
      <c r="C1283" t="s">
        <v>201</v>
      </c>
      <c r="D1283">
        <v>16.749971258833298</v>
      </c>
      <c r="E1283" t="s">
        <v>197</v>
      </c>
      <c r="F1283">
        <v>2024</v>
      </c>
      <c r="G1283" t="str">
        <f>TRIM(RIGHT(Table156[[#This Row],[Item-Codigo]], LEN(Table156[[#This Row],[Item-Codigo]]) - FIND("|", CONCATENATE(B1283), FIND("|", CONCATENATE(B1283)) + 1)))</f>
        <v>QQ</v>
      </c>
      <c r="H128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1283" s="40">
        <v>1</v>
      </c>
      <c r="J1283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368.49936769433259</v>
      </c>
      <c r="K1283" t="s">
        <v>182</v>
      </c>
    </row>
    <row r="1284" spans="1:11" x14ac:dyDescent="0.35">
      <c r="A1284" t="s">
        <v>198</v>
      </c>
      <c r="B1284" t="s">
        <v>199</v>
      </c>
      <c r="C1284" t="s">
        <v>203</v>
      </c>
      <c r="D1284">
        <v>16.799958880775002</v>
      </c>
      <c r="E1284" t="s">
        <v>197</v>
      </c>
      <c r="F1284">
        <v>2024</v>
      </c>
      <c r="G1284" t="str">
        <f>TRIM(RIGHT(Table156[[#This Row],[Item-Codigo]], LEN(Table156[[#This Row],[Item-Codigo]]) - FIND("|", CONCATENATE(B1284), FIND("|", CONCATENATE(B1284)) + 1)))</f>
        <v>QQ</v>
      </c>
      <c r="H128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1284" s="40">
        <v>1</v>
      </c>
      <c r="J1284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369.59909537705005</v>
      </c>
      <c r="K1284" t="s">
        <v>182</v>
      </c>
    </row>
    <row r="1285" spans="1:11" x14ac:dyDescent="0.35">
      <c r="A1285" t="s">
        <v>198</v>
      </c>
      <c r="B1285" t="s">
        <v>245</v>
      </c>
      <c r="C1285" t="s">
        <v>244</v>
      </c>
      <c r="D1285">
        <v>245</v>
      </c>
      <c r="E1285" t="s">
        <v>197</v>
      </c>
      <c r="F1285">
        <v>2024</v>
      </c>
      <c r="G1285" t="str">
        <f>TRIM(RIGHT(Table156[[#This Row],[Item-Codigo]], LEN(Table156[[#This Row],[Item-Codigo]]) - FIND("|", CONCATENATE(B1285), FIND("|", CONCATENATE(B1285)) + 1)))</f>
        <v>TM</v>
      </c>
      <c r="H128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14</v>
      </c>
      <c r="I1285" s="40">
        <v>14</v>
      </c>
      <c r="J128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245</v>
      </c>
      <c r="K1285" t="s">
        <v>187</v>
      </c>
    </row>
    <row r="1286" spans="1:11" x14ac:dyDescent="0.35">
      <c r="A1286" t="s">
        <v>198</v>
      </c>
      <c r="B1286" t="s">
        <v>245</v>
      </c>
      <c r="C1286" t="s">
        <v>246</v>
      </c>
      <c r="D1286">
        <v>230</v>
      </c>
      <c r="E1286" t="s">
        <v>197</v>
      </c>
      <c r="F1286">
        <v>2024</v>
      </c>
      <c r="G1286" t="str">
        <f>TRIM(RIGHT(Table156[[#This Row],[Item-Codigo]], LEN(Table156[[#This Row],[Item-Codigo]]) - FIND("|", CONCATENATE(B1286), FIND("|", CONCATENATE(B1286)) + 1)))</f>
        <v>TM</v>
      </c>
      <c r="H128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14</v>
      </c>
      <c r="I1286" s="40">
        <v>14</v>
      </c>
      <c r="J128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230</v>
      </c>
      <c r="K1286" t="s">
        <v>187</v>
      </c>
    </row>
    <row r="1287" spans="1:11" x14ac:dyDescent="0.35">
      <c r="A1287" t="s">
        <v>198</v>
      </c>
      <c r="B1287" t="s">
        <v>247</v>
      </c>
      <c r="C1287" t="s">
        <v>248</v>
      </c>
      <c r="D1287">
        <v>0.2649352431</v>
      </c>
      <c r="E1287" t="s">
        <v>197</v>
      </c>
      <c r="F1287">
        <v>2024</v>
      </c>
      <c r="G1287" t="str">
        <f>TRIM(RIGHT(Table156[[#This Row],[Item-Codigo]], LEN(Table156[[#This Row],[Item-Codigo]]) - FIND("|", CONCATENATE(B1287), FIND("|", CONCATENATE(B1287)) + 1)))</f>
        <v>KG</v>
      </c>
      <c r="H128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214</v>
      </c>
      <c r="I1287" s="40">
        <v>214</v>
      </c>
      <c r="J128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264.93524309999998</v>
      </c>
      <c r="K1287" t="s">
        <v>186</v>
      </c>
    </row>
    <row r="1288" spans="1:11" x14ac:dyDescent="0.35">
      <c r="A1288" t="s">
        <v>198</v>
      </c>
      <c r="B1288" t="s">
        <v>207</v>
      </c>
      <c r="C1288" t="s">
        <v>201</v>
      </c>
      <c r="D1288">
        <v>12.49999094765</v>
      </c>
      <c r="E1288" t="s">
        <v>197</v>
      </c>
      <c r="F1288">
        <v>2024</v>
      </c>
      <c r="G1288" t="str">
        <f>TRIM(RIGHT(Table156[[#This Row],[Item-Codigo]], LEN(Table156[[#This Row],[Item-Codigo]]) - FIND("|", CONCATENATE(B1288), FIND("|", CONCATENATE(B1288)) + 1)))</f>
        <v>QQ</v>
      </c>
      <c r="H128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288" s="40">
        <v>410</v>
      </c>
      <c r="J1288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274.99980084829997</v>
      </c>
      <c r="K1288" t="s">
        <v>183</v>
      </c>
    </row>
    <row r="1289" spans="1:11" x14ac:dyDescent="0.35">
      <c r="A1289" t="s">
        <v>198</v>
      </c>
      <c r="B1289" t="s">
        <v>207</v>
      </c>
      <c r="C1289" t="s">
        <v>209</v>
      </c>
      <c r="D1289">
        <v>11.9999557511667</v>
      </c>
      <c r="E1289" t="s">
        <v>197</v>
      </c>
      <c r="F1289">
        <v>2024</v>
      </c>
      <c r="G1289" t="str">
        <f>TRIM(RIGHT(Table156[[#This Row],[Item-Codigo]], LEN(Table156[[#This Row],[Item-Codigo]]) - FIND("|", CONCATENATE(B1289), FIND("|", CONCATENATE(B1289)) + 1)))</f>
        <v>QQ</v>
      </c>
      <c r="H128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289" s="40">
        <v>410</v>
      </c>
      <c r="J1289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263.99902652566743</v>
      </c>
      <c r="K1289" t="s">
        <v>183</v>
      </c>
    </row>
    <row r="1290" spans="1:11" x14ac:dyDescent="0.35">
      <c r="A1290" t="s">
        <v>198</v>
      </c>
      <c r="B1290" t="s">
        <v>207</v>
      </c>
      <c r="C1290" t="s">
        <v>212</v>
      </c>
      <c r="D1290">
        <v>11.9999986242</v>
      </c>
      <c r="E1290" t="s">
        <v>197</v>
      </c>
      <c r="F1290">
        <v>2024</v>
      </c>
      <c r="G1290" t="str">
        <f>TRIM(RIGHT(Table156[[#This Row],[Item-Codigo]], LEN(Table156[[#This Row],[Item-Codigo]]) - FIND("|", CONCATENATE(B1290), FIND("|", CONCATENATE(B1290)) + 1)))</f>
        <v>QQ</v>
      </c>
      <c r="H129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290" s="40">
        <v>410</v>
      </c>
      <c r="J1290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263.99996973240002</v>
      </c>
      <c r="K1290" t="s">
        <v>183</v>
      </c>
    </row>
    <row r="1291" spans="1:11" x14ac:dyDescent="0.35">
      <c r="A1291" t="s">
        <v>198</v>
      </c>
      <c r="B1291" t="s">
        <v>207</v>
      </c>
      <c r="C1291" t="s">
        <v>213</v>
      </c>
      <c r="D1291">
        <v>11.9999742592933</v>
      </c>
      <c r="E1291" t="s">
        <v>197</v>
      </c>
      <c r="F1291">
        <v>2024</v>
      </c>
      <c r="G1291" t="str">
        <f>TRIM(RIGHT(Table156[[#This Row],[Item-Codigo]], LEN(Table156[[#This Row],[Item-Codigo]]) - FIND("|", CONCATENATE(B1291), FIND("|", CONCATENATE(B1291)) + 1)))</f>
        <v>QQ</v>
      </c>
      <c r="H129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291" s="40">
        <v>410</v>
      </c>
      <c r="J1291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263.9994337044526</v>
      </c>
      <c r="K1291" t="s">
        <v>183</v>
      </c>
    </row>
    <row r="1292" spans="1:11" x14ac:dyDescent="0.35">
      <c r="A1292" t="s">
        <v>256</v>
      </c>
      <c r="B1292" t="s">
        <v>261</v>
      </c>
      <c r="C1292" t="s">
        <v>262</v>
      </c>
      <c r="D1292">
        <v>0.14500013249999999</v>
      </c>
      <c r="E1292" t="s">
        <v>197</v>
      </c>
      <c r="F1292">
        <v>2024</v>
      </c>
      <c r="G1292" t="str">
        <f>TRIM(RIGHT(Table156[[#This Row],[Item-Codigo]], LEN(Table156[[#This Row],[Item-Codigo]]) - FIND("|", CONCATENATE(B1292), FIND("|", CONCATENATE(B1292)) + 1)))</f>
        <v>UND</v>
      </c>
      <c r="H129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1292" s="40" t="s">
        <v>500</v>
      </c>
      <c r="J129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0.14500013249999999</v>
      </c>
      <c r="K1292" t="s">
        <v>43</v>
      </c>
    </row>
    <row r="1293" spans="1:11" x14ac:dyDescent="0.35">
      <c r="A1293" t="s">
        <v>256</v>
      </c>
      <c r="B1293" t="s">
        <v>261</v>
      </c>
      <c r="C1293" t="s">
        <v>263</v>
      </c>
      <c r="D1293">
        <v>0.1487989556</v>
      </c>
      <c r="E1293" t="s">
        <v>197</v>
      </c>
      <c r="F1293">
        <v>2024</v>
      </c>
      <c r="G1293" t="str">
        <f>TRIM(RIGHT(Table156[[#This Row],[Item-Codigo]], LEN(Table156[[#This Row],[Item-Codigo]]) - FIND("|", CONCATENATE(B1293), FIND("|", CONCATENATE(B1293)) + 1)))</f>
        <v>UND</v>
      </c>
      <c r="H129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1293" s="40" t="s">
        <v>500</v>
      </c>
      <c r="J129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0.1487989556</v>
      </c>
      <c r="K1293" t="s">
        <v>43</v>
      </c>
    </row>
    <row r="1294" spans="1:11" x14ac:dyDescent="0.35">
      <c r="A1294" t="s">
        <v>256</v>
      </c>
      <c r="B1294" t="s">
        <v>264</v>
      </c>
      <c r="C1294" t="s">
        <v>262</v>
      </c>
      <c r="D1294">
        <v>0.14500051459999999</v>
      </c>
      <c r="E1294" t="s">
        <v>197</v>
      </c>
      <c r="F1294">
        <v>2024</v>
      </c>
      <c r="G1294" t="str">
        <f>TRIM(RIGHT(Table156[[#This Row],[Item-Codigo]], LEN(Table156[[#This Row],[Item-Codigo]]) - FIND("|", CONCATENATE(B1294), FIND("|", CONCATENATE(B1294)) + 1)))</f>
        <v>UND</v>
      </c>
      <c r="H129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1024-ME</v>
      </c>
      <c r="I1294" s="40" t="s">
        <v>501</v>
      </c>
      <c r="J129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0.14500051459999999</v>
      </c>
      <c r="K1294" t="s">
        <v>44</v>
      </c>
    </row>
    <row r="1295" spans="1:11" x14ac:dyDescent="0.35">
      <c r="A1295" t="s">
        <v>256</v>
      </c>
      <c r="B1295" t="s">
        <v>264</v>
      </c>
      <c r="C1295" t="s">
        <v>263</v>
      </c>
      <c r="D1295">
        <v>0.14879985900000001</v>
      </c>
      <c r="E1295" t="s">
        <v>197</v>
      </c>
      <c r="F1295">
        <v>2024</v>
      </c>
      <c r="G1295" t="str">
        <f>TRIM(RIGHT(Table156[[#This Row],[Item-Codigo]], LEN(Table156[[#This Row],[Item-Codigo]]) - FIND("|", CONCATENATE(B1295), FIND("|", CONCATENATE(B1295)) + 1)))</f>
        <v>UND</v>
      </c>
      <c r="H129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1024-ME</v>
      </c>
      <c r="I1295" s="40" t="s">
        <v>501</v>
      </c>
      <c r="J129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0.14879985900000001</v>
      </c>
      <c r="K1295" t="s">
        <v>44</v>
      </c>
    </row>
    <row r="1296" spans="1:11" x14ac:dyDescent="0.35">
      <c r="A1296" t="s">
        <v>256</v>
      </c>
      <c r="B1296" t="s">
        <v>265</v>
      </c>
      <c r="C1296" t="s">
        <v>263</v>
      </c>
      <c r="D1296">
        <v>0.14879999999999999</v>
      </c>
      <c r="E1296" t="s">
        <v>197</v>
      </c>
      <c r="F1296">
        <v>2024</v>
      </c>
      <c r="G1296" t="str">
        <f>TRIM(RIGHT(Table156[[#This Row],[Item-Codigo]], LEN(Table156[[#This Row],[Item-Codigo]]) - FIND("|", CONCATENATE(B1296), FIND("|", CONCATENATE(B1296)) + 1)))</f>
        <v>UND</v>
      </c>
      <c r="H129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1025-ME</v>
      </c>
      <c r="I1296" s="40" t="s">
        <v>502</v>
      </c>
      <c r="J129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0.14879999999999999</v>
      </c>
      <c r="K1296" t="s">
        <v>45</v>
      </c>
    </row>
    <row r="1297" spans="1:11" x14ac:dyDescent="0.35">
      <c r="A1297" t="s">
        <v>256</v>
      </c>
      <c r="B1297" t="s">
        <v>269</v>
      </c>
      <c r="C1297" t="s">
        <v>263</v>
      </c>
      <c r="D1297">
        <v>14.2</v>
      </c>
      <c r="E1297" t="s">
        <v>197</v>
      </c>
      <c r="F1297">
        <v>2024</v>
      </c>
      <c r="G1297" t="str">
        <f>TRIM(RIGHT(Table156[[#This Row],[Item-Codigo]], LEN(Table156[[#This Row],[Item-Codigo]]) - FIND("|", CONCATENATE(B1297), FIND("|", CONCATENATE(B1297)) + 1)))</f>
        <v>UND</v>
      </c>
      <c r="H129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1021-ME</v>
      </c>
      <c r="I1297" s="40" t="s">
        <v>498</v>
      </c>
      <c r="J129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14.2</v>
      </c>
      <c r="K1297" t="s">
        <v>49</v>
      </c>
    </row>
    <row r="1298" spans="1:11" x14ac:dyDescent="0.35">
      <c r="A1298" t="s">
        <v>256</v>
      </c>
      <c r="B1298" t="s">
        <v>272</v>
      </c>
      <c r="C1298" t="s">
        <v>263</v>
      </c>
      <c r="D1298">
        <v>0.14879996249999999</v>
      </c>
      <c r="E1298" t="s">
        <v>197</v>
      </c>
      <c r="F1298">
        <v>2024</v>
      </c>
      <c r="G1298" t="str">
        <f>TRIM(RIGHT(Table156[[#This Row],[Item-Codigo]], LEN(Table156[[#This Row],[Item-Codigo]]) - FIND("|", CONCATENATE(B1298), FIND("|", CONCATENATE(B1298)) + 1)))</f>
        <v>UND</v>
      </c>
      <c r="H129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1029-ME</v>
      </c>
      <c r="I1298" s="40" t="s">
        <v>506</v>
      </c>
      <c r="J129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0.14879996249999999</v>
      </c>
      <c r="K1298" t="s">
        <v>51</v>
      </c>
    </row>
    <row r="1299" spans="1:11" x14ac:dyDescent="0.35">
      <c r="A1299" t="s">
        <v>256</v>
      </c>
      <c r="B1299" t="s">
        <v>273</v>
      </c>
      <c r="C1299" t="s">
        <v>263</v>
      </c>
      <c r="D1299">
        <v>0.1487999482</v>
      </c>
      <c r="E1299" t="s">
        <v>197</v>
      </c>
      <c r="F1299">
        <v>2024</v>
      </c>
      <c r="G1299" t="str">
        <f>TRIM(RIGHT(Table156[[#This Row],[Item-Codigo]], LEN(Table156[[#This Row],[Item-Codigo]]) - FIND("|", CONCATENATE(B1299), FIND("|", CONCATENATE(B1299)) + 1)))</f>
        <v>UND</v>
      </c>
      <c r="H129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1030-ME</v>
      </c>
      <c r="I1299" s="40" t="s">
        <v>507</v>
      </c>
      <c r="J129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0.1487999482</v>
      </c>
      <c r="K1299" t="s">
        <v>52</v>
      </c>
    </row>
    <row r="1300" spans="1:11" x14ac:dyDescent="0.35">
      <c r="A1300" t="s">
        <v>256</v>
      </c>
      <c r="B1300" t="s">
        <v>274</v>
      </c>
      <c r="C1300" t="s">
        <v>263</v>
      </c>
      <c r="D1300">
        <v>0.14880028714999999</v>
      </c>
      <c r="E1300" t="s">
        <v>197</v>
      </c>
      <c r="F1300">
        <v>2024</v>
      </c>
      <c r="G1300" t="str">
        <f>TRIM(RIGHT(Table156[[#This Row],[Item-Codigo]], LEN(Table156[[#This Row],[Item-Codigo]]) - FIND("|", CONCATENATE(B1300), FIND("|", CONCATENATE(B1300)) + 1)))</f>
        <v>UND</v>
      </c>
      <c r="H130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1031-ME</v>
      </c>
      <c r="I1300" s="40" t="s">
        <v>508</v>
      </c>
      <c r="J130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0.14880028714999999</v>
      </c>
      <c r="K1300" t="s">
        <v>53</v>
      </c>
    </row>
    <row r="1301" spans="1:11" x14ac:dyDescent="0.35">
      <c r="A1301" t="s">
        <v>256</v>
      </c>
      <c r="B1301" t="s">
        <v>284</v>
      </c>
      <c r="C1301" t="s">
        <v>286</v>
      </c>
      <c r="D1301">
        <v>11.8899333333</v>
      </c>
      <c r="E1301" t="s">
        <v>197</v>
      </c>
      <c r="F1301">
        <v>2024</v>
      </c>
      <c r="G1301" t="str">
        <f>TRIM(RIGHT(Table156[[#This Row],[Item-Codigo]], LEN(Table156[[#This Row],[Item-Codigo]]) - FIND("|", CONCATENATE(B1301), FIND("|", CONCATENATE(B1301)) + 1)))</f>
        <v>UND</v>
      </c>
      <c r="H130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PIOLA (UNID)</v>
      </c>
      <c r="I1301" s="40" t="s">
        <v>558</v>
      </c>
      <c r="J130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11.8899333333</v>
      </c>
      <c r="K1301" t="s">
        <v>127</v>
      </c>
    </row>
    <row r="1302" spans="1:11" x14ac:dyDescent="0.35">
      <c r="A1302" t="s">
        <v>256</v>
      </c>
      <c r="B1302" t="s">
        <v>290</v>
      </c>
      <c r="C1302" t="s">
        <v>267</v>
      </c>
      <c r="D1302">
        <v>0.22389999999999999</v>
      </c>
      <c r="E1302" t="s">
        <v>197</v>
      </c>
      <c r="F1302">
        <v>2024</v>
      </c>
      <c r="G1302" t="str">
        <f>TRIM(RIGHT(Table156[[#This Row],[Item-Codigo]], LEN(Table156[[#This Row],[Item-Codigo]]) - FIND("|", CONCATENATE(B1302), FIND("|", CONCATENATE(B1302)) + 1)))</f>
        <v>UND</v>
      </c>
      <c r="H130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0995-ME</v>
      </c>
      <c r="I1302" s="40" t="s">
        <v>492</v>
      </c>
      <c r="J130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0.22389999999999999</v>
      </c>
      <c r="K1302" t="s">
        <v>108</v>
      </c>
    </row>
    <row r="1303" spans="1:11" x14ac:dyDescent="0.35">
      <c r="A1303" t="s">
        <v>256</v>
      </c>
      <c r="B1303" t="s">
        <v>293</v>
      </c>
      <c r="C1303" t="s">
        <v>267</v>
      </c>
      <c r="D1303">
        <v>0.2059001047</v>
      </c>
      <c r="E1303" t="s">
        <v>197</v>
      </c>
      <c r="F1303">
        <v>2024</v>
      </c>
      <c r="G1303" t="str">
        <f>TRIM(RIGHT(Table156[[#This Row],[Item-Codigo]], LEN(Table156[[#This Row],[Item-Codigo]]) - FIND("|", CONCATENATE(B1303), FIND("|", CONCATENATE(B1303)) + 1)))</f>
        <v>UND</v>
      </c>
      <c r="H130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0201-ME</v>
      </c>
      <c r="I1303" s="40" t="s">
        <v>478</v>
      </c>
      <c r="J130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0.2059001047</v>
      </c>
      <c r="K1303" t="s">
        <v>105</v>
      </c>
    </row>
    <row r="1304" spans="1:11" x14ac:dyDescent="0.35">
      <c r="A1304" t="s">
        <v>256</v>
      </c>
      <c r="B1304" t="s">
        <v>296</v>
      </c>
      <c r="C1304" t="s">
        <v>262</v>
      </c>
      <c r="D1304">
        <v>0.221</v>
      </c>
      <c r="E1304" t="s">
        <v>197</v>
      </c>
      <c r="F1304">
        <v>2024</v>
      </c>
      <c r="G1304" t="str">
        <f>TRIM(RIGHT(Table156[[#This Row],[Item-Codigo]], LEN(Table156[[#This Row],[Item-Codigo]]) - FIND("|", CONCATENATE(B1304), FIND("|", CONCATENATE(B1304)) + 1)))</f>
        <v>UND</v>
      </c>
      <c r="H130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1018-ME</v>
      </c>
      <c r="I1304" s="40" t="s">
        <v>496</v>
      </c>
      <c r="J130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0.221</v>
      </c>
      <c r="K1304" t="s">
        <v>109</v>
      </c>
    </row>
    <row r="1305" spans="1:11" x14ac:dyDescent="0.35">
      <c r="A1305" t="s">
        <v>256</v>
      </c>
      <c r="B1305" t="s">
        <v>299</v>
      </c>
      <c r="C1305" t="s">
        <v>267</v>
      </c>
      <c r="D1305">
        <v>0.21510042600000001</v>
      </c>
      <c r="E1305" t="s">
        <v>197</v>
      </c>
      <c r="F1305">
        <v>2024</v>
      </c>
      <c r="G1305" t="str">
        <f>TRIM(RIGHT(Table156[[#This Row],[Item-Codigo]], LEN(Table156[[#This Row],[Item-Codigo]]) - FIND("|", CONCATENATE(B1305), FIND("|", CONCATENATE(B1305)) + 1)))</f>
        <v>UND</v>
      </c>
      <c r="H130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0112-ME</v>
      </c>
      <c r="I1305" s="40" t="s">
        <v>473</v>
      </c>
      <c r="J130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0.21510042600000001</v>
      </c>
      <c r="K1305" t="s">
        <v>124</v>
      </c>
    </row>
    <row r="1306" spans="1:11" x14ac:dyDescent="0.35">
      <c r="A1306" t="s">
        <v>256</v>
      </c>
      <c r="B1306" t="s">
        <v>300</v>
      </c>
      <c r="C1306" t="s">
        <v>262</v>
      </c>
      <c r="D1306">
        <v>0.221</v>
      </c>
      <c r="E1306" t="s">
        <v>197</v>
      </c>
      <c r="F1306">
        <v>2024</v>
      </c>
      <c r="G1306" t="str">
        <f>TRIM(RIGHT(Table156[[#This Row],[Item-Codigo]], LEN(Table156[[#This Row],[Item-Codigo]]) - FIND("|", CONCATENATE(B1306), FIND("|", CONCATENATE(B1306)) + 1)))</f>
        <v>UND</v>
      </c>
      <c r="H130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0751-ME</v>
      </c>
      <c r="I1306" s="40" t="s">
        <v>480</v>
      </c>
      <c r="J130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0.221</v>
      </c>
      <c r="K1306" t="s">
        <v>110</v>
      </c>
    </row>
    <row r="1307" spans="1:11" x14ac:dyDescent="0.35">
      <c r="A1307" t="s">
        <v>256</v>
      </c>
      <c r="B1307" t="s">
        <v>301</v>
      </c>
      <c r="C1307" t="s">
        <v>267</v>
      </c>
      <c r="D1307">
        <v>0.22599974170000001</v>
      </c>
      <c r="E1307" t="s">
        <v>197</v>
      </c>
      <c r="F1307">
        <v>2024</v>
      </c>
      <c r="G1307" t="str">
        <f>TRIM(RIGHT(Table156[[#This Row],[Item-Codigo]], LEN(Table156[[#This Row],[Item-Codigo]]) - FIND("|", CONCATENATE(B1307), FIND("|", CONCATENATE(B1307)) + 1)))</f>
        <v>UND</v>
      </c>
      <c r="H130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0171-ME</v>
      </c>
      <c r="I1307" s="40" t="s">
        <v>476</v>
      </c>
      <c r="J130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0.22599974170000001</v>
      </c>
      <c r="K1307" t="s">
        <v>107</v>
      </c>
    </row>
    <row r="1308" spans="1:11" x14ac:dyDescent="0.35">
      <c r="A1308" t="s">
        <v>305</v>
      </c>
      <c r="B1308" t="s">
        <v>306</v>
      </c>
      <c r="C1308" t="s">
        <v>307</v>
      </c>
      <c r="D1308">
        <v>5.6</v>
      </c>
      <c r="E1308" t="s">
        <v>197</v>
      </c>
      <c r="F1308">
        <v>2024</v>
      </c>
      <c r="G1308" t="str">
        <f>TRIM(RIGHT(Table156[[#This Row],[Item-Codigo]], LEN(Table156[[#This Row],[Item-Codigo]]) - FIND("|", CONCATENATE(B1308), FIND("|", CONCATENATE(B1308)) + 1)))</f>
        <v>KG</v>
      </c>
      <c r="H130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732</v>
      </c>
      <c r="I1308" s="40">
        <v>732</v>
      </c>
      <c r="J130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1308" t="s">
        <v>1227</v>
      </c>
    </row>
    <row r="1309" spans="1:11" x14ac:dyDescent="0.35">
      <c r="A1309" t="s">
        <v>305</v>
      </c>
      <c r="B1309" t="s">
        <v>310</v>
      </c>
      <c r="C1309" t="s">
        <v>311</v>
      </c>
      <c r="D1309">
        <v>1.92</v>
      </c>
      <c r="E1309" t="s">
        <v>197</v>
      </c>
      <c r="F1309">
        <v>2024</v>
      </c>
      <c r="G1309" t="str">
        <f>TRIM(RIGHT(Table156[[#This Row],[Item-Codigo]], LEN(Table156[[#This Row],[Item-Codigo]]) - FIND("|", CONCATENATE(B1309), FIND("|", CONCATENATE(B1309)) + 1)))</f>
        <v>KG</v>
      </c>
      <c r="H130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1010</v>
      </c>
      <c r="I1309" s="40">
        <v>1010</v>
      </c>
      <c r="J130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1920</v>
      </c>
      <c r="K1309" t="s">
        <v>68</v>
      </c>
    </row>
    <row r="1310" spans="1:11" x14ac:dyDescent="0.35">
      <c r="A1310" t="s">
        <v>305</v>
      </c>
      <c r="B1310" t="s">
        <v>312</v>
      </c>
      <c r="C1310" t="s">
        <v>313</v>
      </c>
      <c r="D1310">
        <v>7.24</v>
      </c>
      <c r="E1310" t="s">
        <v>197</v>
      </c>
      <c r="F1310">
        <v>2024</v>
      </c>
      <c r="G1310" t="str">
        <f>TRIM(RIGHT(Table156[[#This Row],[Item-Codigo]], LEN(Table156[[#This Row],[Item-Codigo]]) - FIND("|", CONCATENATE(B1310), FIND("|", CONCATENATE(B1310)) + 1)))</f>
        <v>KG</v>
      </c>
      <c r="H131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317</v>
      </c>
      <c r="I1310" s="40">
        <v>317</v>
      </c>
      <c r="J131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7240</v>
      </c>
      <c r="K1310" t="s">
        <v>69</v>
      </c>
    </row>
    <row r="1311" spans="1:11" x14ac:dyDescent="0.35">
      <c r="A1311" t="s">
        <v>305</v>
      </c>
      <c r="B1311" t="s">
        <v>316</v>
      </c>
      <c r="C1311" t="s">
        <v>317</v>
      </c>
      <c r="D1311">
        <v>65</v>
      </c>
      <c r="E1311" t="s">
        <v>197</v>
      </c>
      <c r="F1311">
        <v>2024</v>
      </c>
      <c r="G1311" t="str">
        <f>TRIM(RIGHT(Table156[[#This Row],[Item-Codigo]], LEN(Table156[[#This Row],[Item-Codigo]]) - FIND("|", CONCATENATE(B1311), FIND("|", CONCATENATE(B1311)) + 1)))</f>
        <v>KG</v>
      </c>
      <c r="H131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929</v>
      </c>
      <c r="I1311" s="40">
        <v>929</v>
      </c>
      <c r="J131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65000</v>
      </c>
      <c r="K1311" t="s">
        <v>71</v>
      </c>
    </row>
    <row r="1312" spans="1:11" x14ac:dyDescent="0.35">
      <c r="A1312" t="s">
        <v>305</v>
      </c>
      <c r="B1312" t="s">
        <v>318</v>
      </c>
      <c r="C1312" t="s">
        <v>319</v>
      </c>
      <c r="D1312">
        <v>5.52</v>
      </c>
      <c r="E1312" t="s">
        <v>197</v>
      </c>
      <c r="F1312">
        <v>2024</v>
      </c>
      <c r="G1312" t="str">
        <f>TRIM(RIGHT(Table156[[#This Row],[Item-Codigo]], LEN(Table156[[#This Row],[Item-Codigo]]) - FIND("|", CONCATENATE(B1312), FIND("|", CONCATENATE(B1312)) + 1)))</f>
        <v>KG</v>
      </c>
      <c r="H131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900</v>
      </c>
      <c r="I1312" s="40">
        <v>900</v>
      </c>
      <c r="J131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5520</v>
      </c>
      <c r="K1312" t="s">
        <v>72</v>
      </c>
    </row>
    <row r="1313" spans="1:11" x14ac:dyDescent="0.35">
      <c r="A1313" t="s">
        <v>305</v>
      </c>
      <c r="B1313" t="s">
        <v>320</v>
      </c>
      <c r="C1313" t="s">
        <v>321</v>
      </c>
      <c r="D1313">
        <v>8.75</v>
      </c>
      <c r="E1313" t="s">
        <v>197</v>
      </c>
      <c r="F1313">
        <v>2024</v>
      </c>
      <c r="G1313" t="str">
        <f>TRIM(RIGHT(Table156[[#This Row],[Item-Codigo]], LEN(Table156[[#This Row],[Item-Codigo]]) - FIND("|", CONCATENATE(B1313), FIND("|", CONCATENATE(B1313)) + 1)))</f>
        <v>KG</v>
      </c>
      <c r="H131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1009</v>
      </c>
      <c r="I1313" s="40">
        <v>1009</v>
      </c>
      <c r="J131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8750</v>
      </c>
      <c r="K1313" t="s">
        <v>73</v>
      </c>
    </row>
    <row r="1314" spans="1:11" x14ac:dyDescent="0.35">
      <c r="A1314" t="s">
        <v>305</v>
      </c>
      <c r="B1314" t="s">
        <v>324</v>
      </c>
      <c r="C1314" t="s">
        <v>323</v>
      </c>
      <c r="D1314">
        <v>4</v>
      </c>
      <c r="E1314" t="s">
        <v>197</v>
      </c>
      <c r="F1314">
        <v>2024</v>
      </c>
      <c r="G1314" t="str">
        <f>TRIM(RIGHT(Table156[[#This Row],[Item-Codigo]], LEN(Table156[[#This Row],[Item-Codigo]]) - FIND("|", CONCATENATE(B1314), FIND("|", CONCATENATE(B1314)) + 1)))</f>
        <v>KG</v>
      </c>
      <c r="H131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1070</v>
      </c>
      <c r="I1314" s="40">
        <v>1070</v>
      </c>
      <c r="J131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</v>
      </c>
      <c r="K1314" t="s">
        <v>75</v>
      </c>
    </row>
    <row r="1315" spans="1:11" x14ac:dyDescent="0.35">
      <c r="A1315" t="s">
        <v>305</v>
      </c>
      <c r="B1315" t="s">
        <v>326</v>
      </c>
      <c r="C1315" t="s">
        <v>327</v>
      </c>
      <c r="D1315">
        <v>5.85</v>
      </c>
      <c r="E1315" t="s">
        <v>197</v>
      </c>
      <c r="F1315">
        <v>2024</v>
      </c>
      <c r="G1315" t="str">
        <f>TRIM(RIGHT(Table156[[#This Row],[Item-Codigo]], LEN(Table156[[#This Row],[Item-Codigo]]) - FIND("|", CONCATENATE(B1315), FIND("|", CONCATENATE(B1315)) + 1)))</f>
        <v>KG</v>
      </c>
      <c r="H131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470.5</v>
      </c>
      <c r="I1315" s="40" t="s">
        <v>536</v>
      </c>
      <c r="J131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5850</v>
      </c>
      <c r="K1315" t="s">
        <v>77</v>
      </c>
    </row>
    <row r="1316" spans="1:11" x14ac:dyDescent="0.35">
      <c r="A1316" t="s">
        <v>305</v>
      </c>
      <c r="B1316" t="s">
        <v>330</v>
      </c>
      <c r="C1316" t="s">
        <v>331</v>
      </c>
      <c r="D1316">
        <v>1.3</v>
      </c>
      <c r="E1316" t="s">
        <v>197</v>
      </c>
      <c r="F1316">
        <v>2024</v>
      </c>
      <c r="G1316" t="str">
        <f>TRIM(RIGHT(Table156[[#This Row],[Item-Codigo]], LEN(Table156[[#This Row],[Item-Codigo]]) - FIND("|", CONCATENATE(B1316), FIND("|", CONCATENATE(B1316)) + 1)))</f>
        <v>KG</v>
      </c>
      <c r="H131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744</v>
      </c>
      <c r="I1316" s="40">
        <v>744</v>
      </c>
      <c r="J131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1300</v>
      </c>
      <c r="K1316" t="s">
        <v>80</v>
      </c>
    </row>
    <row r="1317" spans="1:11" x14ac:dyDescent="0.35">
      <c r="A1317" t="s">
        <v>305</v>
      </c>
      <c r="B1317" t="s">
        <v>332</v>
      </c>
      <c r="C1317" t="s">
        <v>333</v>
      </c>
      <c r="D1317">
        <v>1.69</v>
      </c>
      <c r="E1317" t="s">
        <v>197</v>
      </c>
      <c r="F1317">
        <v>2024</v>
      </c>
      <c r="G1317" t="str">
        <f>TRIM(RIGHT(Table156[[#This Row],[Item-Codigo]], LEN(Table156[[#This Row],[Item-Codigo]]) - FIND("|", CONCATENATE(B1317), FIND("|", CONCATENATE(B1317)) + 1)))</f>
        <v>KG</v>
      </c>
      <c r="H131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1073</v>
      </c>
      <c r="I1317" s="40">
        <v>1073</v>
      </c>
      <c r="J131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1690</v>
      </c>
      <c r="K1317" t="s">
        <v>81</v>
      </c>
    </row>
    <row r="1318" spans="1:11" x14ac:dyDescent="0.35">
      <c r="A1318" t="s">
        <v>305</v>
      </c>
      <c r="B1318" t="s">
        <v>335</v>
      </c>
      <c r="C1318" t="s">
        <v>309</v>
      </c>
      <c r="D1318">
        <v>1.45</v>
      </c>
      <c r="E1318" t="s">
        <v>197</v>
      </c>
      <c r="F1318">
        <v>2024</v>
      </c>
      <c r="G1318" t="str">
        <f>TRIM(RIGHT(Table156[[#This Row],[Item-Codigo]], LEN(Table156[[#This Row],[Item-Codigo]]) - FIND("|", CONCATENATE(B1318), FIND("|", CONCATENATE(B1318)) + 1)))</f>
        <v>KG</v>
      </c>
      <c r="H131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131.3</v>
      </c>
      <c r="I1318" s="40" t="s">
        <v>523</v>
      </c>
      <c r="J131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1450</v>
      </c>
      <c r="K1318" t="s">
        <v>83</v>
      </c>
    </row>
    <row r="1319" spans="1:11" x14ac:dyDescent="0.35">
      <c r="A1319" t="s">
        <v>305</v>
      </c>
      <c r="B1319" t="s">
        <v>337</v>
      </c>
      <c r="C1319" t="s">
        <v>307</v>
      </c>
      <c r="D1319">
        <v>12.95</v>
      </c>
      <c r="E1319" t="s">
        <v>197</v>
      </c>
      <c r="F1319">
        <v>2024</v>
      </c>
      <c r="G1319" t="str">
        <f>TRIM(RIGHT(Table156[[#This Row],[Item-Codigo]], LEN(Table156[[#This Row],[Item-Codigo]]) - FIND("|", CONCATENATE(B1319), FIND("|", CONCATENATE(B1319)) + 1)))</f>
        <v>KG</v>
      </c>
      <c r="H131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936</v>
      </c>
      <c r="I1319" s="40">
        <v>936</v>
      </c>
      <c r="J131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12950</v>
      </c>
      <c r="K1319" t="s">
        <v>85</v>
      </c>
    </row>
    <row r="1320" spans="1:11" x14ac:dyDescent="0.35">
      <c r="A1320" t="s">
        <v>305</v>
      </c>
      <c r="B1320" t="s">
        <v>341</v>
      </c>
      <c r="C1320" t="s">
        <v>342</v>
      </c>
      <c r="D1320">
        <v>0.55000000000000004</v>
      </c>
      <c r="E1320" t="s">
        <v>197</v>
      </c>
      <c r="F1320">
        <v>2024</v>
      </c>
      <c r="G1320" t="str">
        <f>TRIM(RIGHT(Table156[[#This Row],[Item-Codigo]], LEN(Table156[[#This Row],[Item-Codigo]]) - FIND("|", CONCATENATE(B1320), FIND("|", CONCATENATE(B1320)) + 1)))</f>
        <v>KG</v>
      </c>
      <c r="H132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719</v>
      </c>
      <c r="I1320" s="40">
        <v>719</v>
      </c>
      <c r="J132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550</v>
      </c>
      <c r="K1320" t="s">
        <v>1077</v>
      </c>
    </row>
    <row r="1321" spans="1:11" x14ac:dyDescent="0.35">
      <c r="A1321" t="s">
        <v>305</v>
      </c>
      <c r="B1321" t="s">
        <v>344</v>
      </c>
      <c r="C1321" t="s">
        <v>345</v>
      </c>
      <c r="D1321">
        <v>95</v>
      </c>
      <c r="E1321" t="s">
        <v>197</v>
      </c>
      <c r="F1321">
        <v>2024</v>
      </c>
      <c r="G1321" t="str">
        <f>TRIM(RIGHT(Table156[[#This Row],[Item-Codigo]], LEN(Table156[[#This Row],[Item-Codigo]]) - FIND("|", CONCATENATE(B1321), FIND("|", CONCATENATE(B1321)) + 1)))</f>
        <v>KG</v>
      </c>
      <c r="H132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912.5</v>
      </c>
      <c r="I1321" s="40" t="s">
        <v>555</v>
      </c>
      <c r="J132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95000</v>
      </c>
      <c r="K1321" t="s">
        <v>90</v>
      </c>
    </row>
    <row r="1322" spans="1:11" x14ac:dyDescent="0.35">
      <c r="A1322" t="s">
        <v>305</v>
      </c>
      <c r="B1322" t="s">
        <v>347</v>
      </c>
      <c r="C1322" t="s">
        <v>348</v>
      </c>
      <c r="D1322">
        <v>18</v>
      </c>
      <c r="E1322" t="s">
        <v>197</v>
      </c>
      <c r="F1322">
        <v>2024</v>
      </c>
      <c r="G1322" t="str">
        <f>TRIM(RIGHT(Table156[[#This Row],[Item-Codigo]], LEN(Table156[[#This Row],[Item-Codigo]]) - FIND("|", CONCATENATE(B1322), FIND("|", CONCATENATE(B1322)) + 1)))</f>
        <v>KG</v>
      </c>
      <c r="H132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550</v>
      </c>
      <c r="I1322" s="40">
        <v>550</v>
      </c>
      <c r="J132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18000</v>
      </c>
      <c r="K1322" t="s">
        <v>92</v>
      </c>
    </row>
    <row r="1323" spans="1:11" x14ac:dyDescent="0.35">
      <c r="A1323" t="s">
        <v>305</v>
      </c>
      <c r="B1323" t="s">
        <v>349</v>
      </c>
      <c r="C1323" t="s">
        <v>235</v>
      </c>
      <c r="D1323">
        <v>2.9</v>
      </c>
      <c r="E1323" t="s">
        <v>197</v>
      </c>
      <c r="F1323">
        <v>2024</v>
      </c>
      <c r="G1323" t="str">
        <f>TRIM(RIGHT(Table156[[#This Row],[Item-Codigo]], LEN(Table156[[#This Row],[Item-Codigo]]) - FIND("|", CONCATENATE(B1323), FIND("|", CONCATENATE(B1323)) + 1)))</f>
        <v>KG</v>
      </c>
      <c r="H132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160</v>
      </c>
      <c r="I1323" s="40">
        <v>160</v>
      </c>
      <c r="J132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2900</v>
      </c>
      <c r="K1323" t="s">
        <v>175</v>
      </c>
    </row>
    <row r="1324" spans="1:11" x14ac:dyDescent="0.35">
      <c r="A1324" t="s">
        <v>305</v>
      </c>
      <c r="B1324" t="s">
        <v>352</v>
      </c>
      <c r="C1324" t="s">
        <v>353</v>
      </c>
      <c r="D1324">
        <v>9.35</v>
      </c>
      <c r="E1324" t="s">
        <v>197</v>
      </c>
      <c r="F1324">
        <v>2024</v>
      </c>
      <c r="G1324" t="str">
        <f>TRIM(RIGHT(Table156[[#This Row],[Item-Codigo]], LEN(Table156[[#This Row],[Item-Codigo]]) - FIND("|", CONCATENATE(B1324), FIND("|", CONCATENATE(B1324)) + 1)))</f>
        <v>KG</v>
      </c>
      <c r="H132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742</v>
      </c>
      <c r="I1324" s="40">
        <v>742</v>
      </c>
      <c r="J132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9350</v>
      </c>
      <c r="K1324" t="s">
        <v>147</v>
      </c>
    </row>
    <row r="1325" spans="1:11" x14ac:dyDescent="0.35">
      <c r="A1325" t="s">
        <v>305</v>
      </c>
      <c r="B1325" t="s">
        <v>354</v>
      </c>
      <c r="C1325" t="s">
        <v>353</v>
      </c>
      <c r="D1325">
        <v>9.24</v>
      </c>
      <c r="E1325" t="s">
        <v>197</v>
      </c>
      <c r="F1325">
        <v>2024</v>
      </c>
      <c r="G1325" t="str">
        <f>TRIM(RIGHT(Table156[[#This Row],[Item-Codigo]], LEN(Table156[[#This Row],[Item-Codigo]]) - FIND("|", CONCATENATE(B1325), FIND("|", CONCATENATE(B1325)) + 1)))</f>
        <v>KG</v>
      </c>
      <c r="H132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741</v>
      </c>
      <c r="I1325" s="40">
        <v>741</v>
      </c>
      <c r="J132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9240</v>
      </c>
      <c r="K1325" t="s">
        <v>146</v>
      </c>
    </row>
    <row r="1326" spans="1:11" x14ac:dyDescent="0.35">
      <c r="A1326" t="s">
        <v>305</v>
      </c>
      <c r="B1326" t="s">
        <v>355</v>
      </c>
      <c r="C1326" t="s">
        <v>353</v>
      </c>
      <c r="D1326">
        <v>8.85</v>
      </c>
      <c r="E1326" t="s">
        <v>197</v>
      </c>
      <c r="F1326">
        <v>2024</v>
      </c>
      <c r="G1326" t="str">
        <f>TRIM(RIGHT(Table156[[#This Row],[Item-Codigo]], LEN(Table156[[#This Row],[Item-Codigo]]) - FIND("|", CONCATENATE(B1326), FIND("|", CONCATENATE(B1326)) + 1)))</f>
        <v>KG</v>
      </c>
      <c r="H132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740</v>
      </c>
      <c r="I1326" s="40">
        <v>740</v>
      </c>
      <c r="J132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8850</v>
      </c>
      <c r="K1326" t="s">
        <v>143</v>
      </c>
    </row>
    <row r="1327" spans="1:11" x14ac:dyDescent="0.35">
      <c r="A1327" t="s">
        <v>305</v>
      </c>
      <c r="B1327" t="s">
        <v>356</v>
      </c>
      <c r="C1327" t="s">
        <v>357</v>
      </c>
      <c r="D1327">
        <v>6.6</v>
      </c>
      <c r="E1327" t="s">
        <v>197</v>
      </c>
      <c r="F1327">
        <v>2024</v>
      </c>
      <c r="G1327" t="str">
        <f>TRIM(RIGHT(Table156[[#This Row],[Item-Codigo]], LEN(Table156[[#This Row],[Item-Codigo]]) - FIND("|", CONCATENATE(B1327), FIND("|", CONCATENATE(B1327)) + 1)))</f>
        <v>KG</v>
      </c>
      <c r="H132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1016</v>
      </c>
      <c r="I1327" s="40">
        <v>1016</v>
      </c>
      <c r="J132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6600</v>
      </c>
      <c r="K1327" t="s">
        <v>177</v>
      </c>
    </row>
    <row r="1328" spans="1:11" x14ac:dyDescent="0.35">
      <c r="A1328" t="s">
        <v>305</v>
      </c>
      <c r="B1328" t="s">
        <v>359</v>
      </c>
      <c r="C1328" t="s">
        <v>249</v>
      </c>
      <c r="D1328">
        <v>1.2</v>
      </c>
      <c r="E1328" t="s">
        <v>197</v>
      </c>
      <c r="F1328">
        <v>2024</v>
      </c>
      <c r="G1328" t="str">
        <f>TRIM(RIGHT(Table156[[#This Row],[Item-Codigo]], LEN(Table156[[#This Row],[Item-Codigo]]) - FIND("|", CONCATENATE(B1328), FIND("|", CONCATENATE(B1328)) + 1)))</f>
        <v>KG</v>
      </c>
      <c r="H132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</v>
      </c>
      <c r="I1328" s="40">
        <v>45</v>
      </c>
      <c r="J132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1200</v>
      </c>
      <c r="K1328" t="s">
        <v>131</v>
      </c>
    </row>
    <row r="1329" spans="1:11" x14ac:dyDescent="0.35">
      <c r="A1329" t="s">
        <v>305</v>
      </c>
      <c r="B1329" t="s">
        <v>359</v>
      </c>
      <c r="C1329" t="s">
        <v>329</v>
      </c>
      <c r="D1329">
        <v>1.385</v>
      </c>
      <c r="E1329" t="s">
        <v>197</v>
      </c>
      <c r="F1329">
        <v>2024</v>
      </c>
      <c r="G1329" t="str">
        <f>TRIM(RIGHT(Table156[[#This Row],[Item-Codigo]], LEN(Table156[[#This Row],[Item-Codigo]]) - FIND("|", CONCATENATE(B1329), FIND("|", CONCATENATE(B1329)) + 1)))</f>
        <v>KG</v>
      </c>
      <c r="H132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</v>
      </c>
      <c r="I1329" s="40">
        <v>45</v>
      </c>
      <c r="J132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1385</v>
      </c>
      <c r="K1329" t="s">
        <v>131</v>
      </c>
    </row>
    <row r="1330" spans="1:11" x14ac:dyDescent="0.35">
      <c r="A1330" t="s">
        <v>305</v>
      </c>
      <c r="B1330" t="s">
        <v>360</v>
      </c>
      <c r="C1330" t="s">
        <v>215</v>
      </c>
      <c r="D1330">
        <v>1037.4496267017701</v>
      </c>
      <c r="E1330" t="s">
        <v>197</v>
      </c>
      <c r="F1330">
        <v>2024</v>
      </c>
      <c r="G1330" t="str">
        <f>TRIM(RIGHT(Table156[[#This Row],[Item-Codigo]], LEN(Table156[[#This Row],[Item-Codigo]]) - FIND("|", CONCATENATE(B1330), FIND("|", CONCATENATE(B1330)) + 1)))</f>
        <v>TM</v>
      </c>
      <c r="H133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</v>
      </c>
      <c r="I1330" s="40">
        <v>45</v>
      </c>
      <c r="J133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1037.4496267017701</v>
      </c>
      <c r="K1330" t="s">
        <v>131</v>
      </c>
    </row>
    <row r="1331" spans="1:11" x14ac:dyDescent="0.35">
      <c r="A1331" t="s">
        <v>305</v>
      </c>
      <c r="B1331" t="s">
        <v>362</v>
      </c>
      <c r="C1331" t="s">
        <v>363</v>
      </c>
      <c r="D1331">
        <v>1.3148</v>
      </c>
      <c r="E1331" t="s">
        <v>197</v>
      </c>
      <c r="F1331">
        <v>2024</v>
      </c>
      <c r="G1331" t="str">
        <f>TRIM(RIGHT(Table156[[#This Row],[Item-Codigo]], LEN(Table156[[#This Row],[Item-Codigo]]) - FIND("|", CONCATENATE(B1331), FIND("|", CONCATENATE(B1331)) + 1)))</f>
        <v>KG</v>
      </c>
      <c r="H133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439</v>
      </c>
      <c r="I1331" s="40">
        <v>439</v>
      </c>
      <c r="J133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1314.8</v>
      </c>
      <c r="K1331" t="s">
        <v>137</v>
      </c>
    </row>
    <row r="1332" spans="1:11" x14ac:dyDescent="0.35">
      <c r="A1332" t="s">
        <v>305</v>
      </c>
      <c r="B1332" t="s">
        <v>364</v>
      </c>
      <c r="C1332" t="s">
        <v>365</v>
      </c>
      <c r="D1332">
        <v>1.07</v>
      </c>
      <c r="E1332" t="s">
        <v>197</v>
      </c>
      <c r="F1332">
        <v>2024</v>
      </c>
      <c r="G1332" t="str">
        <f>TRIM(RIGHT(Table156[[#This Row],[Item-Codigo]], LEN(Table156[[#This Row],[Item-Codigo]]) - FIND("|", CONCATENATE(B1332), FIND("|", CONCATENATE(B1332)) + 1)))</f>
        <v>KG</v>
      </c>
      <c r="H133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488.1</v>
      </c>
      <c r="I1332" s="40" t="s">
        <v>538</v>
      </c>
      <c r="J133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1070</v>
      </c>
      <c r="K1332" t="s">
        <v>149</v>
      </c>
    </row>
    <row r="1333" spans="1:11" x14ac:dyDescent="0.35">
      <c r="A1333" t="s">
        <v>305</v>
      </c>
      <c r="B1333" t="s">
        <v>366</v>
      </c>
      <c r="C1333" t="s">
        <v>311</v>
      </c>
      <c r="D1333">
        <v>3.09</v>
      </c>
      <c r="E1333" t="s">
        <v>197</v>
      </c>
      <c r="F1333">
        <v>2024</v>
      </c>
      <c r="G1333" t="str">
        <f>TRIM(RIGHT(Table156[[#This Row],[Item-Codigo]], LEN(Table156[[#This Row],[Item-Codigo]]) - FIND("|", CONCATENATE(B1333), FIND("|", CONCATENATE(B1333)) + 1)))</f>
        <v>KG</v>
      </c>
      <c r="H133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499.11</v>
      </c>
      <c r="I1333" s="40" t="s">
        <v>543</v>
      </c>
      <c r="J133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3090</v>
      </c>
      <c r="K1333" t="s">
        <v>142</v>
      </c>
    </row>
    <row r="1334" spans="1:11" x14ac:dyDescent="0.35">
      <c r="A1334" t="s">
        <v>305</v>
      </c>
      <c r="B1334" t="s">
        <v>368</v>
      </c>
      <c r="C1334" t="s">
        <v>348</v>
      </c>
      <c r="D1334">
        <v>4.5</v>
      </c>
      <c r="E1334" t="s">
        <v>197</v>
      </c>
      <c r="F1334">
        <v>2024</v>
      </c>
      <c r="G1334" t="str">
        <f>TRIM(RIGHT(Table156[[#This Row],[Item-Codigo]], LEN(Table156[[#This Row],[Item-Codigo]]) - FIND("|", CONCATENATE(B1334), FIND("|", CONCATENATE(B1334)) + 1)))</f>
        <v>KG</v>
      </c>
      <c r="H133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381</v>
      </c>
      <c r="I1334" s="40">
        <v>381</v>
      </c>
      <c r="J133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4500</v>
      </c>
      <c r="K1334" t="s">
        <v>74</v>
      </c>
    </row>
    <row r="1335" spans="1:11" x14ac:dyDescent="0.35">
      <c r="A1335" t="s">
        <v>305</v>
      </c>
      <c r="B1335" t="s">
        <v>369</v>
      </c>
      <c r="C1335" t="s">
        <v>363</v>
      </c>
      <c r="D1335">
        <v>1.34</v>
      </c>
      <c r="E1335" t="s">
        <v>197</v>
      </c>
      <c r="F1335">
        <v>2024</v>
      </c>
      <c r="G1335" t="str">
        <f>TRIM(RIGHT(Table156[[#This Row],[Item-Codigo]], LEN(Table156[[#This Row],[Item-Codigo]]) - FIND("|", CONCATENATE(B1335), FIND("|", CONCATENATE(B1335)) + 1)))</f>
        <v>KG</v>
      </c>
      <c r="H133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439.3</v>
      </c>
      <c r="I1335" s="40" t="s">
        <v>530</v>
      </c>
      <c r="J133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1340</v>
      </c>
      <c r="K1335" t="s">
        <v>178</v>
      </c>
    </row>
    <row r="1336" spans="1:11" x14ac:dyDescent="0.35">
      <c r="A1336" t="s">
        <v>305</v>
      </c>
      <c r="B1336" t="s">
        <v>372</v>
      </c>
      <c r="C1336" t="s">
        <v>373</v>
      </c>
      <c r="D1336">
        <v>1.2</v>
      </c>
      <c r="E1336" t="s">
        <v>197</v>
      </c>
      <c r="F1336">
        <v>2024</v>
      </c>
      <c r="G1336" t="str">
        <f>TRIM(RIGHT(Table156[[#This Row],[Item-Codigo]], LEN(Table156[[#This Row],[Item-Codigo]]) - FIND("|", CONCATENATE(B1336), FIND("|", CONCATENATE(B1336)) + 1)))</f>
        <v>KG</v>
      </c>
      <c r="H133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701.2</v>
      </c>
      <c r="I1336" s="40" t="s">
        <v>553</v>
      </c>
      <c r="J133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1200</v>
      </c>
      <c r="K1336" t="s">
        <v>140</v>
      </c>
    </row>
    <row r="1337" spans="1:11" x14ac:dyDescent="0.35">
      <c r="A1337" t="s">
        <v>305</v>
      </c>
      <c r="B1337" t="s">
        <v>374</v>
      </c>
      <c r="C1337" t="s">
        <v>317</v>
      </c>
      <c r="D1337">
        <v>15.9</v>
      </c>
      <c r="E1337" t="s">
        <v>197</v>
      </c>
      <c r="F1337">
        <v>2024</v>
      </c>
      <c r="G1337" t="str">
        <f>TRIM(RIGHT(Table156[[#This Row],[Item-Codigo]], LEN(Table156[[#This Row],[Item-Codigo]]) - FIND("|", CONCATENATE(B1337), FIND("|", CONCATENATE(B1337)) + 1)))</f>
        <v>KG</v>
      </c>
      <c r="H133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1051</v>
      </c>
      <c r="I1337" s="40">
        <v>1051</v>
      </c>
      <c r="J133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15900</v>
      </c>
      <c r="K1337" t="s">
        <v>173</v>
      </c>
    </row>
    <row r="1338" spans="1:11" x14ac:dyDescent="0.35">
      <c r="A1338" t="s">
        <v>305</v>
      </c>
      <c r="B1338" t="s">
        <v>375</v>
      </c>
      <c r="C1338" t="s">
        <v>317</v>
      </c>
      <c r="D1338">
        <v>6</v>
      </c>
      <c r="E1338" t="s">
        <v>197</v>
      </c>
      <c r="F1338">
        <v>2024</v>
      </c>
      <c r="G1338" t="str">
        <f>TRIM(RIGHT(Table156[[#This Row],[Item-Codigo]], LEN(Table156[[#This Row],[Item-Codigo]]) - FIND("|", CONCATENATE(B1338), FIND("|", CONCATENATE(B1338)) + 1)))</f>
        <v>KG</v>
      </c>
      <c r="H133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945</v>
      </c>
      <c r="I1338" s="40">
        <v>945</v>
      </c>
      <c r="J133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1338" t="s">
        <v>148</v>
      </c>
    </row>
    <row r="1339" spans="1:11" x14ac:dyDescent="0.35">
      <c r="A1339" t="s">
        <v>305</v>
      </c>
      <c r="B1339" t="s">
        <v>376</v>
      </c>
      <c r="C1339" t="s">
        <v>377</v>
      </c>
      <c r="D1339">
        <v>2.6</v>
      </c>
      <c r="E1339" t="s">
        <v>197</v>
      </c>
      <c r="F1339">
        <v>2024</v>
      </c>
      <c r="G1339" t="str">
        <f>TRIM(RIGHT(Table156[[#This Row],[Item-Codigo]], LEN(Table156[[#This Row],[Item-Codigo]]) - FIND("|", CONCATENATE(B1339), FIND("|", CONCATENATE(B1339)) + 1)))</f>
        <v>KG</v>
      </c>
      <c r="H133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311</v>
      </c>
      <c r="I1339" s="40">
        <v>311</v>
      </c>
      <c r="J133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2600</v>
      </c>
      <c r="K1339" t="s">
        <v>168</v>
      </c>
    </row>
    <row r="1340" spans="1:11" x14ac:dyDescent="0.35">
      <c r="A1340" t="s">
        <v>305</v>
      </c>
      <c r="B1340" t="s">
        <v>380</v>
      </c>
      <c r="C1340" t="s">
        <v>381</v>
      </c>
      <c r="D1340">
        <v>4</v>
      </c>
      <c r="E1340" t="s">
        <v>197</v>
      </c>
      <c r="F1340">
        <v>2024</v>
      </c>
      <c r="G1340" t="str">
        <f>TRIM(RIGHT(Table156[[#This Row],[Item-Codigo]], LEN(Table156[[#This Row],[Item-Codigo]]) - FIND("|", CONCATENATE(B1340), FIND("|", CONCATENATE(B1340)) + 1)))</f>
        <v>KG</v>
      </c>
      <c r="H134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706</v>
      </c>
      <c r="I1340" s="40">
        <v>706</v>
      </c>
      <c r="J134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</v>
      </c>
      <c r="K1340" t="s">
        <v>156</v>
      </c>
    </row>
    <row r="1341" spans="1:11" x14ac:dyDescent="0.35">
      <c r="A1341" t="s">
        <v>305</v>
      </c>
      <c r="B1341" t="s">
        <v>382</v>
      </c>
      <c r="C1341" t="s">
        <v>327</v>
      </c>
      <c r="D1341">
        <v>8</v>
      </c>
      <c r="E1341" t="s">
        <v>197</v>
      </c>
      <c r="F1341">
        <v>2024</v>
      </c>
      <c r="G1341" t="str">
        <f>TRIM(RIGHT(Table156[[#This Row],[Item-Codigo]], LEN(Table156[[#This Row],[Item-Codigo]]) - FIND("|", CONCATENATE(B1341), FIND("|", CONCATENATE(B1341)) + 1)))</f>
        <v>KG</v>
      </c>
      <c r="H134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68</v>
      </c>
      <c r="I1341" s="40">
        <v>68</v>
      </c>
      <c r="J134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8000</v>
      </c>
      <c r="K1341" t="s">
        <v>160</v>
      </c>
    </row>
    <row r="1342" spans="1:11" x14ac:dyDescent="0.35">
      <c r="A1342" t="s">
        <v>305</v>
      </c>
      <c r="B1342" t="s">
        <v>386</v>
      </c>
      <c r="C1342" t="s">
        <v>387</v>
      </c>
      <c r="D1342">
        <v>5.8</v>
      </c>
      <c r="E1342" t="s">
        <v>197</v>
      </c>
      <c r="F1342">
        <v>2024</v>
      </c>
      <c r="G1342" t="str">
        <f>TRIM(RIGHT(Table156[[#This Row],[Item-Codigo]], LEN(Table156[[#This Row],[Item-Codigo]]) - FIND("|", CONCATENATE(B1342), FIND("|", CONCATENATE(B1342)) + 1)))</f>
        <v>KG</v>
      </c>
      <c r="H134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110.2</v>
      </c>
      <c r="I1342" s="40" t="s">
        <v>522</v>
      </c>
      <c r="J134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5800</v>
      </c>
      <c r="K1342" t="s">
        <v>170</v>
      </c>
    </row>
    <row r="1343" spans="1:11" x14ac:dyDescent="0.35">
      <c r="A1343" t="s">
        <v>305</v>
      </c>
      <c r="B1343" t="s">
        <v>388</v>
      </c>
      <c r="C1343" t="s">
        <v>321</v>
      </c>
      <c r="D1343">
        <v>7.4</v>
      </c>
      <c r="E1343" t="s">
        <v>197</v>
      </c>
      <c r="F1343">
        <v>2024</v>
      </c>
      <c r="G1343" t="str">
        <f>TRIM(RIGHT(Table156[[#This Row],[Item-Codigo]], LEN(Table156[[#This Row],[Item-Codigo]]) - FIND("|", CONCATENATE(B1343), FIND("|", CONCATENATE(B1343)) + 1)))</f>
        <v>KG</v>
      </c>
      <c r="H134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1068</v>
      </c>
      <c r="I1343" s="40">
        <v>1068</v>
      </c>
      <c r="J134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7400</v>
      </c>
      <c r="K1343" t="s">
        <v>145</v>
      </c>
    </row>
    <row r="1344" spans="1:11" x14ac:dyDescent="0.35">
      <c r="A1344" t="s">
        <v>305</v>
      </c>
      <c r="B1344" t="s">
        <v>389</v>
      </c>
      <c r="C1344" t="s">
        <v>390</v>
      </c>
      <c r="D1344">
        <v>1.05</v>
      </c>
      <c r="E1344" t="s">
        <v>197</v>
      </c>
      <c r="F1344">
        <v>2024</v>
      </c>
      <c r="G1344" t="str">
        <f>TRIM(RIGHT(Table156[[#This Row],[Item-Codigo]], LEN(Table156[[#This Row],[Item-Codigo]]) - FIND("|", CONCATENATE(B1344), FIND("|", CONCATENATE(B1344)) + 1)))</f>
        <v>KG</v>
      </c>
      <c r="H134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806</v>
      </c>
      <c r="I1344" s="40">
        <v>806</v>
      </c>
      <c r="J134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1050</v>
      </c>
      <c r="K1344" t="s">
        <v>134</v>
      </c>
    </row>
    <row r="1345" spans="1:11" x14ac:dyDescent="0.35">
      <c r="A1345" t="s">
        <v>305</v>
      </c>
      <c r="B1345" t="s">
        <v>392</v>
      </c>
      <c r="C1345" t="s">
        <v>393</v>
      </c>
      <c r="D1345">
        <v>2.8</v>
      </c>
      <c r="E1345" t="s">
        <v>197</v>
      </c>
      <c r="F1345">
        <v>2024</v>
      </c>
      <c r="G1345" t="str">
        <f>TRIM(RIGHT(Table156[[#This Row],[Item-Codigo]], LEN(Table156[[#This Row],[Item-Codigo]]) - FIND("|", CONCATENATE(B1345), FIND("|", CONCATENATE(B1345)) + 1)))</f>
        <v>KG</v>
      </c>
      <c r="H134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170</v>
      </c>
      <c r="I1345" s="40">
        <v>170</v>
      </c>
      <c r="J134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2800</v>
      </c>
      <c r="K1345" t="s">
        <v>174</v>
      </c>
    </row>
    <row r="1346" spans="1:11" x14ac:dyDescent="0.35">
      <c r="A1346" t="s">
        <v>305</v>
      </c>
      <c r="B1346" t="s">
        <v>394</v>
      </c>
      <c r="C1346" t="s">
        <v>395</v>
      </c>
      <c r="D1346">
        <v>19.75</v>
      </c>
      <c r="E1346" t="s">
        <v>197</v>
      </c>
      <c r="F1346">
        <v>2024</v>
      </c>
      <c r="G1346" t="str">
        <f>TRIM(RIGHT(Table156[[#This Row],[Item-Codigo]], LEN(Table156[[#This Row],[Item-Codigo]]) - FIND("|", CONCATENATE(B1346), FIND("|", CONCATENATE(B1346)) + 1)))</f>
        <v>KG</v>
      </c>
      <c r="H134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</v>
      </c>
      <c r="I1346" s="40">
        <v>70</v>
      </c>
      <c r="J134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19750</v>
      </c>
      <c r="K1346" t="s">
        <v>159</v>
      </c>
    </row>
    <row r="1347" spans="1:11" x14ac:dyDescent="0.35">
      <c r="A1347" t="s">
        <v>305</v>
      </c>
      <c r="B1347" t="s">
        <v>396</v>
      </c>
      <c r="C1347" t="s">
        <v>345</v>
      </c>
      <c r="D1347">
        <v>13.4</v>
      </c>
      <c r="E1347" t="s">
        <v>197</v>
      </c>
      <c r="F1347">
        <v>2024</v>
      </c>
      <c r="G1347" t="str">
        <f>TRIM(RIGHT(Table156[[#This Row],[Item-Codigo]], LEN(Table156[[#This Row],[Item-Codigo]]) - FIND("|", CONCATENATE(B1347), FIND("|", CONCATENATE(B1347)) + 1)))</f>
        <v>KG</v>
      </c>
      <c r="H134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58</v>
      </c>
      <c r="I1347" s="40">
        <v>58</v>
      </c>
      <c r="J134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13400</v>
      </c>
      <c r="K1347" t="s">
        <v>172</v>
      </c>
    </row>
    <row r="1348" spans="1:11" x14ac:dyDescent="0.35">
      <c r="A1348" t="s">
        <v>305</v>
      </c>
      <c r="B1348" t="s">
        <v>397</v>
      </c>
      <c r="C1348" t="s">
        <v>327</v>
      </c>
      <c r="D1348">
        <v>9</v>
      </c>
      <c r="E1348" t="s">
        <v>197</v>
      </c>
      <c r="F1348">
        <v>2024</v>
      </c>
      <c r="G1348" t="str">
        <f>TRIM(RIGHT(Table156[[#This Row],[Item-Codigo]], LEN(Table156[[#This Row],[Item-Codigo]]) - FIND("|", CONCATENATE(B1348), FIND("|", CONCATENATE(B1348)) + 1)))</f>
        <v>KG</v>
      </c>
      <c r="H134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933</v>
      </c>
      <c r="I1348" s="40">
        <v>933</v>
      </c>
      <c r="J134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1348" t="s">
        <v>163</v>
      </c>
    </row>
    <row r="1349" spans="1:11" x14ac:dyDescent="0.35">
      <c r="A1349" t="s">
        <v>305</v>
      </c>
      <c r="B1349" t="s">
        <v>398</v>
      </c>
      <c r="C1349" t="s">
        <v>399</v>
      </c>
      <c r="D1349">
        <v>0.1642023346</v>
      </c>
      <c r="E1349" t="s">
        <v>197</v>
      </c>
      <c r="F1349">
        <v>2024</v>
      </c>
      <c r="G1349" t="str">
        <f>TRIM(RIGHT(Table156[[#This Row],[Item-Codigo]], LEN(Table156[[#This Row],[Item-Codigo]]) - FIND("|", CONCATENATE(B1349), FIND("|", CONCATENATE(B1349)) + 1)))</f>
        <v>KG</v>
      </c>
      <c r="H134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704</v>
      </c>
      <c r="I1349" s="40">
        <v>704</v>
      </c>
      <c r="J134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164.2023346</v>
      </c>
      <c r="K1349" t="s">
        <v>132</v>
      </c>
    </row>
    <row r="1350" spans="1:11" x14ac:dyDescent="0.35">
      <c r="A1350" t="s">
        <v>305</v>
      </c>
      <c r="B1350" t="s">
        <v>402</v>
      </c>
      <c r="C1350" t="s">
        <v>331</v>
      </c>
      <c r="D1350">
        <v>3</v>
      </c>
      <c r="E1350" t="s">
        <v>197</v>
      </c>
      <c r="F1350">
        <v>2024</v>
      </c>
      <c r="G1350" t="str">
        <f>TRIM(RIGHT(Table156[[#This Row],[Item-Codigo]], LEN(Table156[[#This Row],[Item-Codigo]]) - FIND("|", CONCATENATE(B1350), FIND("|", CONCATENATE(B1350)) + 1)))</f>
        <v>KG</v>
      </c>
      <c r="H135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716</v>
      </c>
      <c r="I1350" s="40">
        <v>716</v>
      </c>
      <c r="J135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3000</v>
      </c>
      <c r="K1350" t="s">
        <v>162</v>
      </c>
    </row>
    <row r="1351" spans="1:11" x14ac:dyDescent="0.35">
      <c r="A1351" t="s">
        <v>305</v>
      </c>
      <c r="B1351" t="s">
        <v>403</v>
      </c>
      <c r="C1351" t="s">
        <v>385</v>
      </c>
      <c r="D1351">
        <v>1.1499999999999999</v>
      </c>
      <c r="E1351" t="s">
        <v>197</v>
      </c>
      <c r="F1351">
        <v>2024</v>
      </c>
      <c r="G1351" t="str">
        <f>TRIM(RIGHT(Table156[[#This Row],[Item-Codigo]], LEN(Table156[[#This Row],[Item-Codigo]]) - FIND("|", CONCATENATE(B1351), FIND("|", CONCATENATE(B1351)) + 1)))</f>
        <v>KG</v>
      </c>
      <c r="H135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497.5</v>
      </c>
      <c r="I1351" s="40" t="s">
        <v>540</v>
      </c>
      <c r="J135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1150</v>
      </c>
      <c r="K1351" t="s">
        <v>133</v>
      </c>
    </row>
    <row r="1352" spans="1:11" x14ac:dyDescent="0.35">
      <c r="A1352" t="s">
        <v>305</v>
      </c>
      <c r="B1352" t="s">
        <v>406</v>
      </c>
      <c r="C1352" t="s">
        <v>327</v>
      </c>
      <c r="D1352">
        <v>55</v>
      </c>
      <c r="E1352" t="s">
        <v>197</v>
      </c>
      <c r="F1352">
        <v>2024</v>
      </c>
      <c r="G1352" t="str">
        <f>TRIM(RIGHT(Table156[[#This Row],[Item-Codigo]], LEN(Table156[[#This Row],[Item-Codigo]]) - FIND("|", CONCATENATE(B1352), FIND("|", CONCATENATE(B1352)) + 1)))</f>
        <v>KG</v>
      </c>
      <c r="H135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685</v>
      </c>
      <c r="I1352" s="40">
        <v>685</v>
      </c>
      <c r="J135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55000</v>
      </c>
      <c r="K1352" t="s">
        <v>169</v>
      </c>
    </row>
    <row r="1353" spans="1:11" x14ac:dyDescent="0.35">
      <c r="A1353" t="s">
        <v>305</v>
      </c>
      <c r="B1353" t="s">
        <v>412</v>
      </c>
      <c r="C1353" t="s">
        <v>348</v>
      </c>
      <c r="D1353">
        <v>29</v>
      </c>
      <c r="E1353" t="s">
        <v>197</v>
      </c>
      <c r="F1353">
        <v>2024</v>
      </c>
      <c r="G1353" t="str">
        <f>TRIM(RIGHT(Table156[[#This Row],[Item-Codigo]], LEN(Table156[[#This Row],[Item-Codigo]]) - FIND("|", CONCATENATE(B1353), FIND("|", CONCATENATE(B1353)) + 1)))</f>
        <v>KG</v>
      </c>
      <c r="H135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981.2</v>
      </c>
      <c r="I1353" s="40" t="s">
        <v>556</v>
      </c>
      <c r="J135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29000</v>
      </c>
      <c r="K1353" t="s">
        <v>171</v>
      </c>
    </row>
    <row r="1354" spans="1:11" x14ac:dyDescent="0.35">
      <c r="A1354" t="s">
        <v>305</v>
      </c>
      <c r="B1354" t="s">
        <v>414</v>
      </c>
      <c r="C1354" t="s">
        <v>415</v>
      </c>
      <c r="D1354">
        <v>6.96</v>
      </c>
      <c r="E1354" t="s">
        <v>197</v>
      </c>
      <c r="F1354">
        <v>2024</v>
      </c>
      <c r="G1354" t="str">
        <f>TRIM(RIGHT(Table156[[#This Row],[Item-Codigo]], LEN(Table156[[#This Row],[Item-Codigo]]) - FIND("|", CONCATENATE(B1354), FIND("|", CONCATENATE(B1354)) + 1)))</f>
        <v>KG</v>
      </c>
      <c r="H135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455.3</v>
      </c>
      <c r="I1354" s="40" t="s">
        <v>532</v>
      </c>
      <c r="J135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6960</v>
      </c>
      <c r="K1354" t="s">
        <v>150</v>
      </c>
    </row>
    <row r="1355" spans="1:11" x14ac:dyDescent="0.35">
      <c r="A1355" t="s">
        <v>305</v>
      </c>
      <c r="B1355" t="s">
        <v>416</v>
      </c>
      <c r="C1355" t="s">
        <v>327</v>
      </c>
      <c r="D1355">
        <v>2.3199999999999998</v>
      </c>
      <c r="E1355" t="s">
        <v>197</v>
      </c>
      <c r="F1355">
        <v>2024</v>
      </c>
      <c r="G1355" t="str">
        <f>TRIM(RIGHT(Table156[[#This Row],[Item-Codigo]], LEN(Table156[[#This Row],[Item-Codigo]]) - FIND("|", CONCATENATE(B1355), FIND("|", CONCATENATE(B1355)) + 1)))</f>
        <v>KG</v>
      </c>
      <c r="H135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1007.5</v>
      </c>
      <c r="I1355" s="40" t="s">
        <v>495</v>
      </c>
      <c r="J135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2320</v>
      </c>
      <c r="K1355" t="s">
        <v>141</v>
      </c>
    </row>
    <row r="1356" spans="1:11" x14ac:dyDescent="0.35">
      <c r="A1356" t="s">
        <v>305</v>
      </c>
      <c r="B1356" t="s">
        <v>417</v>
      </c>
      <c r="C1356" t="s">
        <v>365</v>
      </c>
      <c r="D1356">
        <v>6</v>
      </c>
      <c r="E1356" t="s">
        <v>197</v>
      </c>
      <c r="F1356">
        <v>2024</v>
      </c>
      <c r="G1356" t="str">
        <f>TRIM(RIGHT(Table156[[#This Row],[Item-Codigo]], LEN(Table156[[#This Row],[Item-Codigo]]) - FIND("|", CONCATENATE(B1356), FIND("|", CONCATENATE(B1356)) + 1)))</f>
        <v>KG</v>
      </c>
      <c r="H135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461</v>
      </c>
      <c r="I1356" s="40">
        <v>461</v>
      </c>
      <c r="J135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1356" t="s">
        <v>176</v>
      </c>
    </row>
    <row r="1357" spans="1:11" x14ac:dyDescent="0.35">
      <c r="A1357" t="s">
        <v>680</v>
      </c>
      <c r="B1357" t="s">
        <v>1022</v>
      </c>
      <c r="C1357" t="s">
        <v>874</v>
      </c>
      <c r="D1357">
        <v>1.2500000000000001E-2</v>
      </c>
      <c r="E1357" t="s">
        <v>197</v>
      </c>
      <c r="F1357">
        <v>2024</v>
      </c>
      <c r="G1357" t="str">
        <f>TRIM(RIGHT(Table156[[#This Row],[Item-Codigo]], LEN(Table156[[#This Row],[Item-Codigo]]) - FIND("|", CONCATENATE(B1357), FIND("|", CONCATENATE(B1357)) + 1)))</f>
        <v>UND</v>
      </c>
      <c r="H135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5400</v>
      </c>
      <c r="I1357" s="40">
        <v>5400</v>
      </c>
      <c r="J135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357" t="s">
        <v>780</v>
      </c>
    </row>
    <row r="1358" spans="1:11" x14ac:dyDescent="0.35">
      <c r="A1358" t="s">
        <v>680</v>
      </c>
      <c r="B1358" t="s">
        <v>1023</v>
      </c>
      <c r="C1358" t="s">
        <v>874</v>
      </c>
      <c r="D1358">
        <v>1.2500000000000001E-2</v>
      </c>
      <c r="E1358" t="s">
        <v>197</v>
      </c>
      <c r="F1358">
        <v>2024</v>
      </c>
      <c r="G1358" t="str">
        <f>TRIM(RIGHT(Table156[[#This Row],[Item-Codigo]], LEN(Table156[[#This Row],[Item-Codigo]]) - FIND("|", CONCATENATE(B1358), FIND("|", CONCATENATE(B1358)) + 1)))</f>
        <v>UND</v>
      </c>
      <c r="H135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5402</v>
      </c>
      <c r="I1358" s="40">
        <v>5402</v>
      </c>
      <c r="J135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358" t="s">
        <v>784</v>
      </c>
    </row>
    <row r="1359" spans="1:11" x14ac:dyDescent="0.35">
      <c r="A1359" t="s">
        <v>680</v>
      </c>
      <c r="B1359" t="s">
        <v>1026</v>
      </c>
      <c r="C1359" t="s">
        <v>874</v>
      </c>
      <c r="D1359">
        <v>1.2500000000000001E-2</v>
      </c>
      <c r="E1359" t="s">
        <v>197</v>
      </c>
      <c r="F1359">
        <v>2024</v>
      </c>
      <c r="G1359" t="str">
        <f>TRIM(RIGHT(Table156[[#This Row],[Item-Codigo]], LEN(Table156[[#This Row],[Item-Codigo]]) - FIND("|", CONCATENATE(B1359), FIND("|", CONCATENATE(B1359)) + 1)))</f>
        <v>UND</v>
      </c>
      <c r="H135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5200</v>
      </c>
      <c r="I1359" s="40">
        <v>5200</v>
      </c>
      <c r="J135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359" t="s">
        <v>805</v>
      </c>
    </row>
    <row r="1360" spans="1:11" x14ac:dyDescent="0.35">
      <c r="A1360" t="s">
        <v>680</v>
      </c>
      <c r="B1360" t="s">
        <v>1027</v>
      </c>
      <c r="C1360" t="s">
        <v>874</v>
      </c>
      <c r="D1360">
        <v>1.2500000000000001E-2</v>
      </c>
      <c r="E1360" t="s">
        <v>197</v>
      </c>
      <c r="F1360">
        <v>2024</v>
      </c>
      <c r="G1360" t="str">
        <f>TRIM(RIGHT(Table156[[#This Row],[Item-Codigo]], LEN(Table156[[#This Row],[Item-Codigo]]) - FIND("|", CONCATENATE(B1360), FIND("|", CONCATENATE(B1360)) + 1)))</f>
        <v>UND</v>
      </c>
      <c r="H136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5302</v>
      </c>
      <c r="I1360" s="40">
        <v>5302</v>
      </c>
      <c r="J136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360" t="s">
        <v>778</v>
      </c>
    </row>
    <row r="1361" spans="1:11" x14ac:dyDescent="0.35">
      <c r="A1361" t="s">
        <v>680</v>
      </c>
      <c r="B1361" t="s">
        <v>1013</v>
      </c>
      <c r="C1361" t="s">
        <v>874</v>
      </c>
      <c r="D1361">
        <v>1.2500000000000001E-2</v>
      </c>
      <c r="E1361" t="s">
        <v>197</v>
      </c>
      <c r="F1361">
        <v>2024</v>
      </c>
      <c r="G1361" t="str">
        <f>TRIM(RIGHT(Table156[[#This Row],[Item-Codigo]], LEN(Table156[[#This Row],[Item-Codigo]]) - FIND("|", CONCATENATE(B1361), FIND("|", CONCATENATE(B1361)) + 1)))</f>
        <v>UND</v>
      </c>
      <c r="H136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4300</v>
      </c>
      <c r="I1361" s="40">
        <v>4300</v>
      </c>
      <c r="J136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361" t="s">
        <v>787</v>
      </c>
    </row>
    <row r="1362" spans="1:11" x14ac:dyDescent="0.35">
      <c r="A1362" t="s">
        <v>680</v>
      </c>
      <c r="B1362" t="s">
        <v>1031</v>
      </c>
      <c r="C1362" t="s">
        <v>874</v>
      </c>
      <c r="D1362">
        <v>1.2500000000000001E-2</v>
      </c>
      <c r="E1362" t="s">
        <v>197</v>
      </c>
      <c r="F1362">
        <v>2024</v>
      </c>
      <c r="G1362" t="str">
        <f>TRIM(RIGHT(Table156[[#This Row],[Item-Codigo]], LEN(Table156[[#This Row],[Item-Codigo]]) - FIND("|", CONCATENATE(B1362), FIND("|", CONCATENATE(B1362)) + 1)))</f>
        <v>UND</v>
      </c>
      <c r="H136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3411</v>
      </c>
      <c r="I1362" s="40">
        <v>3411</v>
      </c>
      <c r="J136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362" t="s">
        <v>971</v>
      </c>
    </row>
    <row r="1363" spans="1:11" x14ac:dyDescent="0.35">
      <c r="A1363" t="s">
        <v>680</v>
      </c>
      <c r="B1363" t="s">
        <v>1016</v>
      </c>
      <c r="C1363" t="s">
        <v>874</v>
      </c>
      <c r="D1363">
        <v>1.2500000000000001E-2</v>
      </c>
      <c r="E1363" t="s">
        <v>197</v>
      </c>
      <c r="F1363">
        <v>2024</v>
      </c>
      <c r="G1363" t="str">
        <f>TRIM(RIGHT(Table156[[#This Row],[Item-Codigo]], LEN(Table156[[#This Row],[Item-Codigo]]) - FIND("|", CONCATENATE(B1363), FIND("|", CONCATENATE(B1363)) + 1)))</f>
        <v>UND</v>
      </c>
      <c r="H136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2434</v>
      </c>
      <c r="I1363" s="40">
        <v>2434</v>
      </c>
      <c r="J136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363" t="s">
        <v>777</v>
      </c>
    </row>
    <row r="1364" spans="1:11" x14ac:dyDescent="0.35">
      <c r="A1364" t="s">
        <v>680</v>
      </c>
      <c r="B1364" t="s">
        <v>1038</v>
      </c>
      <c r="C1364" t="s">
        <v>874</v>
      </c>
      <c r="D1364">
        <v>4.8000000000000001E-2</v>
      </c>
      <c r="E1364" t="s">
        <v>197</v>
      </c>
      <c r="F1364">
        <v>2024</v>
      </c>
      <c r="G1364" t="str">
        <f>TRIM(RIGHT(Table156[[#This Row],[Item-Codigo]], LEN(Table156[[#This Row],[Item-Codigo]]) - FIND("|", CONCATENATE(B1364), FIND("|", CONCATENATE(B1364)) + 1)))</f>
        <v>UND</v>
      </c>
      <c r="H136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6202-FER</v>
      </c>
      <c r="I1364" s="40" t="s">
        <v>549</v>
      </c>
      <c r="J136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4.8000000000000001E-2</v>
      </c>
      <c r="K1364" t="s">
        <v>792</v>
      </c>
    </row>
    <row r="1365" spans="1:11" x14ac:dyDescent="0.35">
      <c r="A1365" t="s">
        <v>680</v>
      </c>
      <c r="B1365" t="s">
        <v>1039</v>
      </c>
      <c r="C1365" t="s">
        <v>874</v>
      </c>
      <c r="D1365">
        <v>4.8000000000000001E-2</v>
      </c>
      <c r="E1365" t="s">
        <v>197</v>
      </c>
      <c r="F1365">
        <v>2024</v>
      </c>
      <c r="G1365" t="str">
        <f>TRIM(RIGHT(Table156[[#This Row],[Item-Codigo]], LEN(Table156[[#This Row],[Item-Codigo]]) - FIND("|", CONCATENATE(B1365), FIND("|", CONCATENATE(B1365)) + 1)))</f>
        <v>UND</v>
      </c>
      <c r="H136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6102-FER</v>
      </c>
      <c r="I1365" s="40" t="s">
        <v>548</v>
      </c>
      <c r="J136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4.8000000000000001E-2</v>
      </c>
      <c r="K1365" t="s">
        <v>802</v>
      </c>
    </row>
    <row r="1366" spans="1:11" x14ac:dyDescent="0.35">
      <c r="A1366" t="s">
        <v>196</v>
      </c>
      <c r="B1366" t="s">
        <v>993</v>
      </c>
      <c r="C1366" t="s">
        <v>238</v>
      </c>
      <c r="D1366">
        <v>1210</v>
      </c>
      <c r="E1366" t="s">
        <v>205</v>
      </c>
      <c r="F1366">
        <v>2024</v>
      </c>
      <c r="G1366" t="str">
        <f>TRIM(RIGHT(Table156[[#This Row],[Item-Codigo]], LEN(Table156[[#This Row],[Item-Codigo]]) - FIND("|", CONCATENATE(B1366), FIND("|", CONCATENATE(B1366)) + 1)))</f>
        <v>TM</v>
      </c>
      <c r="H136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1366" s="40">
        <v>116</v>
      </c>
      <c r="J136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1210</v>
      </c>
      <c r="K1366" t="s">
        <v>99</v>
      </c>
    </row>
    <row r="1367" spans="1:11" x14ac:dyDescent="0.35">
      <c r="A1367" t="s">
        <v>196</v>
      </c>
      <c r="B1367" t="s">
        <v>993</v>
      </c>
      <c r="C1367" t="s">
        <v>239</v>
      </c>
      <c r="D1367">
        <v>1189.9841017488</v>
      </c>
      <c r="E1367" t="s">
        <v>205</v>
      </c>
      <c r="F1367">
        <v>2024</v>
      </c>
      <c r="G1367" t="str">
        <f>TRIM(RIGHT(Table156[[#This Row],[Item-Codigo]], LEN(Table156[[#This Row],[Item-Codigo]]) - FIND("|", CONCATENATE(B1367), FIND("|", CONCATENATE(B1367)) + 1)))</f>
        <v>TM</v>
      </c>
      <c r="H136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1367" s="40">
        <v>116</v>
      </c>
      <c r="J136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1189.9841017488</v>
      </c>
      <c r="K1367" t="s">
        <v>99</v>
      </c>
    </row>
    <row r="1368" spans="1:11" x14ac:dyDescent="0.35">
      <c r="A1368" t="s">
        <v>196</v>
      </c>
      <c r="B1368" t="s">
        <v>250</v>
      </c>
      <c r="C1368" t="s">
        <v>251</v>
      </c>
      <c r="D1368">
        <v>263.27118730339998</v>
      </c>
      <c r="E1368" t="s">
        <v>205</v>
      </c>
      <c r="F1368">
        <v>2024</v>
      </c>
      <c r="G1368" t="str">
        <f>TRIM(RIGHT(Table156[[#This Row],[Item-Codigo]], LEN(Table156[[#This Row],[Item-Codigo]]) - FIND("|", CONCATENATE(B1368), FIND("|", CONCATENATE(B1368)) + 1)))</f>
        <v>TM</v>
      </c>
      <c r="H136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808</v>
      </c>
      <c r="I1368" s="40">
        <v>808</v>
      </c>
      <c r="J136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263.27118730339998</v>
      </c>
      <c r="K1368" t="s">
        <v>182</v>
      </c>
    </row>
    <row r="1369" spans="1:11" x14ac:dyDescent="0.35">
      <c r="A1369" t="s">
        <v>196</v>
      </c>
      <c r="B1369" t="s">
        <v>216</v>
      </c>
      <c r="C1369" t="s">
        <v>215</v>
      </c>
      <c r="D1369">
        <v>553.95346972590005</v>
      </c>
      <c r="E1369" t="s">
        <v>205</v>
      </c>
      <c r="F1369">
        <v>2024</v>
      </c>
      <c r="G1369" t="str">
        <f>TRIM(RIGHT(Table156[[#This Row],[Item-Codigo]], LEN(Table156[[#This Row],[Item-Codigo]]) - FIND("|", CONCATENATE(B1369), FIND("|", CONCATENATE(B1369)) + 1)))</f>
        <v>TM</v>
      </c>
      <c r="H136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122</v>
      </c>
      <c r="I1369" s="40">
        <v>122</v>
      </c>
      <c r="J136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553.95346972590005</v>
      </c>
      <c r="K1369" t="s">
        <v>180</v>
      </c>
    </row>
    <row r="1370" spans="1:11" x14ac:dyDescent="0.35">
      <c r="A1370" t="s">
        <v>196</v>
      </c>
      <c r="B1370" t="s">
        <v>217</v>
      </c>
      <c r="C1370" t="s">
        <v>215</v>
      </c>
      <c r="D1370">
        <v>316.72528637800002</v>
      </c>
      <c r="E1370" t="s">
        <v>205</v>
      </c>
      <c r="F1370">
        <v>2024</v>
      </c>
      <c r="G1370" t="str">
        <f>TRIM(RIGHT(Table156[[#This Row],[Item-Codigo]], LEN(Table156[[#This Row],[Item-Codigo]]) - FIND("|", CONCATENATE(B1370), FIND("|", CONCATENATE(B1370)) + 1)))</f>
        <v>TM</v>
      </c>
      <c r="H137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871</v>
      </c>
      <c r="I1370" s="40">
        <v>871</v>
      </c>
      <c r="J137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316.72528637800002</v>
      </c>
      <c r="K1370" t="s">
        <v>181</v>
      </c>
    </row>
    <row r="1371" spans="1:11" x14ac:dyDescent="0.35">
      <c r="A1371" t="s">
        <v>198</v>
      </c>
      <c r="B1371" t="s">
        <v>219</v>
      </c>
      <c r="C1371" t="s">
        <v>220</v>
      </c>
      <c r="D1371">
        <v>890</v>
      </c>
      <c r="E1371" t="s">
        <v>205</v>
      </c>
      <c r="F1371">
        <v>2024</v>
      </c>
      <c r="G1371" t="str">
        <f>TRIM(RIGHT(Table156[[#This Row],[Item-Codigo]], LEN(Table156[[#This Row],[Item-Codigo]]) - FIND("|", CONCATENATE(B1371), FIND("|", CONCATENATE(B1371)) + 1)))</f>
        <v>TM</v>
      </c>
      <c r="H137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371" s="40">
        <v>42</v>
      </c>
      <c r="J137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890</v>
      </c>
      <c r="K1371" t="s">
        <v>94</v>
      </c>
    </row>
    <row r="1372" spans="1:11" x14ac:dyDescent="0.35">
      <c r="A1372" t="s">
        <v>198</v>
      </c>
      <c r="B1372" t="s">
        <v>219</v>
      </c>
      <c r="C1372" t="s">
        <v>221</v>
      </c>
      <c r="D1372">
        <v>890</v>
      </c>
      <c r="E1372" t="s">
        <v>205</v>
      </c>
      <c r="F1372">
        <v>2024</v>
      </c>
      <c r="G1372" t="str">
        <f>TRIM(RIGHT(Table156[[#This Row],[Item-Codigo]], LEN(Table156[[#This Row],[Item-Codigo]]) - FIND("|", CONCATENATE(B1372), FIND("|", CONCATENATE(B1372)) + 1)))</f>
        <v>TM</v>
      </c>
      <c r="H137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372" s="40">
        <v>42</v>
      </c>
      <c r="J137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890</v>
      </c>
      <c r="K1372" t="s">
        <v>94</v>
      </c>
    </row>
    <row r="1373" spans="1:11" x14ac:dyDescent="0.35">
      <c r="A1373" t="s">
        <v>198</v>
      </c>
      <c r="B1373" t="s">
        <v>219</v>
      </c>
      <c r="C1373" t="s">
        <v>222</v>
      </c>
      <c r="D1373">
        <v>875</v>
      </c>
      <c r="E1373" t="s">
        <v>205</v>
      </c>
      <c r="F1373">
        <v>2024</v>
      </c>
      <c r="G1373" t="str">
        <f>TRIM(RIGHT(Table156[[#This Row],[Item-Codigo]], LEN(Table156[[#This Row],[Item-Codigo]]) - FIND("|", CONCATENATE(B1373), FIND("|", CONCATENATE(B1373)) + 1)))</f>
        <v>TM</v>
      </c>
      <c r="H137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373" s="40">
        <v>42</v>
      </c>
      <c r="J137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875</v>
      </c>
      <c r="K1373" t="s">
        <v>94</v>
      </c>
    </row>
    <row r="1374" spans="1:11" x14ac:dyDescent="0.35">
      <c r="A1374" t="s">
        <v>198</v>
      </c>
      <c r="B1374" t="s">
        <v>224</v>
      </c>
      <c r="C1374" t="s">
        <v>223</v>
      </c>
      <c r="D1374">
        <v>1778</v>
      </c>
      <c r="E1374" t="s">
        <v>205</v>
      </c>
      <c r="F1374">
        <v>2024</v>
      </c>
      <c r="G1374" t="str">
        <f>TRIM(RIGHT(Table156[[#This Row],[Item-Codigo]], LEN(Table156[[#This Row],[Item-Codigo]]) - FIND("|", CONCATENATE(B1374), FIND("|", CONCATENATE(B1374)) + 1)))</f>
        <v>TM</v>
      </c>
      <c r="H137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40</v>
      </c>
      <c r="I1374" s="40">
        <v>40</v>
      </c>
      <c r="J137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1778</v>
      </c>
      <c r="K1374" t="s">
        <v>95</v>
      </c>
    </row>
    <row r="1375" spans="1:11" x14ac:dyDescent="0.35">
      <c r="A1375" t="s">
        <v>198</v>
      </c>
      <c r="B1375" t="s">
        <v>225</v>
      </c>
      <c r="C1375" t="s">
        <v>226</v>
      </c>
      <c r="D1375">
        <v>387.00005960455002</v>
      </c>
      <c r="E1375" t="s">
        <v>205</v>
      </c>
      <c r="F1375">
        <v>2024</v>
      </c>
      <c r="G1375" t="str">
        <f>TRIM(RIGHT(Table156[[#This Row],[Item-Codigo]], LEN(Table156[[#This Row],[Item-Codigo]]) - FIND("|", CONCATENATE(B1375), FIND("|", CONCATENATE(B1375)) + 1)))</f>
        <v>TM</v>
      </c>
      <c r="H137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301</v>
      </c>
      <c r="I1375" s="40">
        <v>301</v>
      </c>
      <c r="J137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387.00005960455002</v>
      </c>
      <c r="K1375" t="s">
        <v>96</v>
      </c>
    </row>
    <row r="1376" spans="1:11" x14ac:dyDescent="0.35">
      <c r="A1376" t="s">
        <v>198</v>
      </c>
      <c r="B1376" t="s">
        <v>227</v>
      </c>
      <c r="C1376" t="s">
        <v>218</v>
      </c>
      <c r="D1376">
        <v>0.32013748069999998</v>
      </c>
      <c r="E1376" t="s">
        <v>205</v>
      </c>
      <c r="F1376">
        <v>2024</v>
      </c>
      <c r="G1376" t="str">
        <f>TRIM(RIGHT(Table156[[#This Row],[Item-Codigo]], LEN(Table156[[#This Row],[Item-Codigo]]) - FIND("|", CONCATENATE(B1376), FIND("|", CONCATENATE(B1376)) + 1)))</f>
        <v>KG</v>
      </c>
      <c r="H137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1376" s="40">
        <v>200</v>
      </c>
      <c r="J137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320.13748069999997</v>
      </c>
      <c r="K1376" t="s">
        <v>97</v>
      </c>
    </row>
    <row r="1377" spans="1:11" x14ac:dyDescent="0.35">
      <c r="A1377" t="s">
        <v>198</v>
      </c>
      <c r="B1377" t="s">
        <v>228</v>
      </c>
      <c r="C1377" t="s">
        <v>229</v>
      </c>
      <c r="D1377">
        <v>387.205645215</v>
      </c>
      <c r="E1377" t="s">
        <v>205</v>
      </c>
      <c r="F1377">
        <v>2024</v>
      </c>
      <c r="G1377" t="str">
        <f>TRIM(RIGHT(Table156[[#This Row],[Item-Codigo]], LEN(Table156[[#This Row],[Item-Codigo]]) - FIND("|", CONCATENATE(B1377), FIND("|", CONCATENATE(B1377)) + 1)))</f>
        <v>TM</v>
      </c>
      <c r="H137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1377" s="40">
        <v>200</v>
      </c>
      <c r="J137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387.205645215</v>
      </c>
      <c r="K1377" t="s">
        <v>97</v>
      </c>
    </row>
    <row r="1378" spans="1:11" x14ac:dyDescent="0.35">
      <c r="A1378" t="s">
        <v>198</v>
      </c>
      <c r="B1378" t="s">
        <v>230</v>
      </c>
      <c r="C1378" t="s">
        <v>231</v>
      </c>
      <c r="D1378">
        <v>4.5999999999999999E-2</v>
      </c>
      <c r="E1378" t="s">
        <v>205</v>
      </c>
      <c r="F1378">
        <v>2024</v>
      </c>
      <c r="G1378" t="str">
        <f>TRIM(RIGHT(Table156[[#This Row],[Item-Codigo]], LEN(Table156[[#This Row],[Item-Codigo]]) - FIND("|", CONCATENATE(B1378), FIND("|", CONCATENATE(B1378)) + 1)))</f>
        <v>KG</v>
      </c>
      <c r="H137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1378" s="40">
        <v>701</v>
      </c>
      <c r="J137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46</v>
      </c>
      <c r="K1378" t="s">
        <v>98</v>
      </c>
    </row>
    <row r="1379" spans="1:11" x14ac:dyDescent="0.35">
      <c r="A1379" t="s">
        <v>198</v>
      </c>
      <c r="B1379" t="s">
        <v>233</v>
      </c>
      <c r="C1379" t="s">
        <v>234</v>
      </c>
      <c r="D1379">
        <v>1690</v>
      </c>
      <c r="E1379" t="s">
        <v>205</v>
      </c>
      <c r="F1379">
        <v>2024</v>
      </c>
      <c r="G1379" t="str">
        <f>TRIM(RIGHT(Table156[[#This Row],[Item-Codigo]], LEN(Table156[[#This Row],[Item-Codigo]]) - FIND("|", CONCATENATE(B1379), FIND("|", CONCATENATE(B1379)) + 1)))</f>
        <v>TM</v>
      </c>
      <c r="H137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156.4</v>
      </c>
      <c r="I1379" s="40" t="s">
        <v>524</v>
      </c>
      <c r="J137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1690</v>
      </c>
      <c r="K1379" t="s">
        <v>977</v>
      </c>
    </row>
    <row r="1380" spans="1:11" x14ac:dyDescent="0.35">
      <c r="A1380" t="s">
        <v>198</v>
      </c>
      <c r="B1380" t="s">
        <v>242</v>
      </c>
      <c r="C1380" t="s">
        <v>241</v>
      </c>
      <c r="D1380">
        <v>880</v>
      </c>
      <c r="E1380" t="s">
        <v>205</v>
      </c>
      <c r="F1380">
        <v>2024</v>
      </c>
      <c r="G1380" t="str">
        <f>TRIM(RIGHT(Table156[[#This Row],[Item-Codigo]], LEN(Table156[[#This Row],[Item-Codigo]]) - FIND("|", CONCATENATE(B1380), FIND("|", CONCATENATE(B1380)) + 1)))</f>
        <v>TM</v>
      </c>
      <c r="H138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159.9</v>
      </c>
      <c r="I1380" s="40" t="s">
        <v>525</v>
      </c>
      <c r="J138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880</v>
      </c>
      <c r="K1380" t="s">
        <v>191</v>
      </c>
    </row>
    <row r="1381" spans="1:11" x14ac:dyDescent="0.35">
      <c r="A1381" t="s">
        <v>198</v>
      </c>
      <c r="B1381" t="s">
        <v>243</v>
      </c>
      <c r="C1381" t="s">
        <v>218</v>
      </c>
      <c r="D1381">
        <v>661.91108161909995</v>
      </c>
      <c r="E1381" t="s">
        <v>205</v>
      </c>
      <c r="F1381">
        <v>2024</v>
      </c>
      <c r="G1381" t="str">
        <f>TRIM(RIGHT(Table156[[#This Row],[Item-Codigo]], LEN(Table156[[#This Row],[Item-Codigo]]) - FIND("|", CONCATENATE(B1381), FIND("|", CONCATENATE(B1381)) + 1)))</f>
        <v>TM</v>
      </c>
      <c r="H138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211</v>
      </c>
      <c r="I1381" s="40">
        <v>211</v>
      </c>
      <c r="J138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661.91108161909995</v>
      </c>
      <c r="K1381" t="s">
        <v>188</v>
      </c>
    </row>
    <row r="1382" spans="1:11" x14ac:dyDescent="0.35">
      <c r="A1382" t="s">
        <v>198</v>
      </c>
      <c r="B1382" t="s">
        <v>199</v>
      </c>
      <c r="C1382" t="s">
        <v>204</v>
      </c>
      <c r="D1382">
        <v>18.008521596366698</v>
      </c>
      <c r="E1382" t="s">
        <v>205</v>
      </c>
      <c r="F1382">
        <v>2024</v>
      </c>
      <c r="G1382" t="str">
        <f>TRIM(RIGHT(Table156[[#This Row],[Item-Codigo]], LEN(Table156[[#This Row],[Item-Codigo]]) - FIND("|", CONCATENATE(B1382), FIND("|", CONCATENATE(B1382)) + 1)))</f>
        <v>QQ</v>
      </c>
      <c r="H138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1382" s="40">
        <v>1</v>
      </c>
      <c r="J1382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396.18747512006735</v>
      </c>
      <c r="K1382" t="s">
        <v>182</v>
      </c>
    </row>
    <row r="1383" spans="1:11" x14ac:dyDescent="0.35">
      <c r="A1383" t="s">
        <v>198</v>
      </c>
      <c r="B1383" t="s">
        <v>245</v>
      </c>
      <c r="C1383" t="s">
        <v>244</v>
      </c>
      <c r="D1383">
        <v>238</v>
      </c>
      <c r="E1383" t="s">
        <v>205</v>
      </c>
      <c r="F1383">
        <v>2024</v>
      </c>
      <c r="G1383" t="str">
        <f>TRIM(RIGHT(Table156[[#This Row],[Item-Codigo]], LEN(Table156[[#This Row],[Item-Codigo]]) - FIND("|", CONCATENATE(B1383), FIND("|", CONCATENATE(B1383)) + 1)))</f>
        <v>TM</v>
      </c>
      <c r="H138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14</v>
      </c>
      <c r="I1383" s="40">
        <v>14</v>
      </c>
      <c r="J138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238</v>
      </c>
      <c r="K1383" t="s">
        <v>187</v>
      </c>
    </row>
    <row r="1384" spans="1:11" x14ac:dyDescent="0.35">
      <c r="A1384" t="s">
        <v>198</v>
      </c>
      <c r="B1384" t="s">
        <v>247</v>
      </c>
      <c r="C1384" t="s">
        <v>248</v>
      </c>
      <c r="D1384">
        <v>0.26481779</v>
      </c>
      <c r="E1384" t="s">
        <v>205</v>
      </c>
      <c r="F1384">
        <v>2024</v>
      </c>
      <c r="G1384" t="str">
        <f>TRIM(RIGHT(Table156[[#This Row],[Item-Codigo]], LEN(Table156[[#This Row],[Item-Codigo]]) - FIND("|", CONCATENATE(B1384), FIND("|", CONCATENATE(B1384)) + 1)))</f>
        <v>KG</v>
      </c>
      <c r="H138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214</v>
      </c>
      <c r="I1384" s="40">
        <v>214</v>
      </c>
      <c r="J138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264.81779</v>
      </c>
      <c r="K1384" t="s">
        <v>186</v>
      </c>
    </row>
    <row r="1385" spans="1:11" x14ac:dyDescent="0.35">
      <c r="A1385" t="s">
        <v>198</v>
      </c>
      <c r="B1385" t="s">
        <v>207</v>
      </c>
      <c r="C1385" t="s">
        <v>201</v>
      </c>
      <c r="D1385">
        <v>13.666649273533301</v>
      </c>
      <c r="E1385" t="s">
        <v>205</v>
      </c>
      <c r="F1385">
        <v>2024</v>
      </c>
      <c r="G1385" t="str">
        <f>TRIM(RIGHT(Table156[[#This Row],[Item-Codigo]], LEN(Table156[[#This Row],[Item-Codigo]]) - FIND("|", CONCATENATE(B1385), FIND("|", CONCATENATE(B1385)) + 1)))</f>
        <v>QQ</v>
      </c>
      <c r="H138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385" s="40">
        <v>410</v>
      </c>
      <c r="J1385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300.66628401773261</v>
      </c>
      <c r="K1385" t="s">
        <v>183</v>
      </c>
    </row>
    <row r="1386" spans="1:11" x14ac:dyDescent="0.35">
      <c r="A1386" t="s">
        <v>198</v>
      </c>
      <c r="B1386" t="s">
        <v>207</v>
      </c>
      <c r="C1386" t="s">
        <v>208</v>
      </c>
      <c r="D1386">
        <v>13.50005797855</v>
      </c>
      <c r="E1386" t="s">
        <v>205</v>
      </c>
      <c r="F1386">
        <v>2024</v>
      </c>
      <c r="G1386" t="str">
        <f>TRIM(RIGHT(Table156[[#This Row],[Item-Codigo]], LEN(Table156[[#This Row],[Item-Codigo]]) - FIND("|", CONCATENATE(B1386), FIND("|", CONCATENATE(B1386)) + 1)))</f>
        <v>QQ</v>
      </c>
      <c r="H138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386" s="40">
        <v>410</v>
      </c>
      <c r="J1386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297.0012755281</v>
      </c>
      <c r="K1386" t="s">
        <v>183</v>
      </c>
    </row>
    <row r="1387" spans="1:11" x14ac:dyDescent="0.35">
      <c r="A1387" t="s">
        <v>198</v>
      </c>
      <c r="B1387" t="s">
        <v>207</v>
      </c>
      <c r="C1387" t="s">
        <v>209</v>
      </c>
      <c r="D1387">
        <v>12.9999063824714</v>
      </c>
      <c r="E1387" t="s">
        <v>205</v>
      </c>
      <c r="F1387">
        <v>2024</v>
      </c>
      <c r="G1387" t="str">
        <f>TRIM(RIGHT(Table156[[#This Row],[Item-Codigo]], LEN(Table156[[#This Row],[Item-Codigo]]) - FIND("|", CONCATENATE(B1387), FIND("|", CONCATENATE(B1387)) + 1)))</f>
        <v>QQ</v>
      </c>
      <c r="H138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387" s="40">
        <v>410</v>
      </c>
      <c r="J1387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285.99794041437082</v>
      </c>
      <c r="K1387" t="s">
        <v>183</v>
      </c>
    </row>
    <row r="1388" spans="1:11" x14ac:dyDescent="0.35">
      <c r="A1388" t="s">
        <v>198</v>
      </c>
      <c r="B1388" t="s">
        <v>207</v>
      </c>
      <c r="C1388" t="s">
        <v>210</v>
      </c>
      <c r="D1388">
        <v>13.00001578218</v>
      </c>
      <c r="E1388" t="s">
        <v>205</v>
      </c>
      <c r="F1388">
        <v>2024</v>
      </c>
      <c r="G1388" t="str">
        <f>TRIM(RIGHT(Table156[[#This Row],[Item-Codigo]], LEN(Table156[[#This Row],[Item-Codigo]]) - FIND("|", CONCATENATE(B1388), FIND("|", CONCATENATE(B1388)) + 1)))</f>
        <v>QQ</v>
      </c>
      <c r="H138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388" s="40">
        <v>410</v>
      </c>
      <c r="J1388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286.00034720795998</v>
      </c>
      <c r="K1388" t="s">
        <v>183</v>
      </c>
    </row>
    <row r="1389" spans="1:11" x14ac:dyDescent="0.35">
      <c r="A1389" t="s">
        <v>198</v>
      </c>
      <c r="B1389" t="s">
        <v>207</v>
      </c>
      <c r="C1389" t="s">
        <v>211</v>
      </c>
      <c r="D1389">
        <v>13.0000669813</v>
      </c>
      <c r="E1389" t="s">
        <v>205</v>
      </c>
      <c r="F1389">
        <v>2024</v>
      </c>
      <c r="G1389" t="str">
        <f>TRIM(RIGHT(Table156[[#This Row],[Item-Codigo]], LEN(Table156[[#This Row],[Item-Codigo]]) - FIND("|", CONCATENATE(B1389), FIND("|", CONCATENATE(B1389)) + 1)))</f>
        <v>QQ</v>
      </c>
      <c r="H138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389" s="40">
        <v>410</v>
      </c>
      <c r="J1389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286.00147358859999</v>
      </c>
      <c r="K1389" t="s">
        <v>183</v>
      </c>
    </row>
    <row r="1390" spans="1:11" x14ac:dyDescent="0.35">
      <c r="A1390" t="s">
        <v>198</v>
      </c>
      <c r="B1390" t="s">
        <v>207</v>
      </c>
      <c r="C1390" t="s">
        <v>212</v>
      </c>
      <c r="D1390">
        <v>13.500024317579999</v>
      </c>
      <c r="E1390" t="s">
        <v>205</v>
      </c>
      <c r="F1390">
        <v>2024</v>
      </c>
      <c r="G1390" t="str">
        <f>TRIM(RIGHT(Table156[[#This Row],[Item-Codigo]], LEN(Table156[[#This Row],[Item-Codigo]]) - FIND("|", CONCATENATE(B1390), FIND("|", CONCATENATE(B1390)) + 1)))</f>
        <v>QQ</v>
      </c>
      <c r="H139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390" s="40">
        <v>410</v>
      </c>
      <c r="J1390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297.00053498675999</v>
      </c>
      <c r="K1390" t="s">
        <v>183</v>
      </c>
    </row>
    <row r="1391" spans="1:11" x14ac:dyDescent="0.35">
      <c r="A1391" t="s">
        <v>198</v>
      </c>
      <c r="B1391" t="s">
        <v>207</v>
      </c>
      <c r="C1391" t="s">
        <v>213</v>
      </c>
      <c r="D1391">
        <v>13.8000165754167</v>
      </c>
      <c r="E1391" t="s">
        <v>205</v>
      </c>
      <c r="F1391">
        <v>2024</v>
      </c>
      <c r="G1391" t="str">
        <f>TRIM(RIGHT(Table156[[#This Row],[Item-Codigo]], LEN(Table156[[#This Row],[Item-Codigo]]) - FIND("|", CONCATENATE(B1391), FIND("|", CONCATENATE(B1391)) + 1)))</f>
        <v>QQ</v>
      </c>
      <c r="H139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391" s="40">
        <v>410</v>
      </c>
      <c r="J1391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303.60036465916738</v>
      </c>
      <c r="K1391" t="s">
        <v>183</v>
      </c>
    </row>
    <row r="1392" spans="1:11" x14ac:dyDescent="0.35">
      <c r="A1392" t="s">
        <v>256</v>
      </c>
      <c r="B1392" t="s">
        <v>261</v>
      </c>
      <c r="C1392" t="s">
        <v>262</v>
      </c>
      <c r="D1392">
        <v>0.14499999999999999</v>
      </c>
      <c r="E1392" t="s">
        <v>205</v>
      </c>
      <c r="F1392">
        <v>2024</v>
      </c>
      <c r="G1392" t="str">
        <f>TRIM(RIGHT(Table156[[#This Row],[Item-Codigo]], LEN(Table156[[#This Row],[Item-Codigo]]) - FIND("|", CONCATENATE(B1392), FIND("|", CONCATENATE(B1392)) + 1)))</f>
        <v>UND</v>
      </c>
      <c r="H139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1392" s="40" t="s">
        <v>500</v>
      </c>
      <c r="J139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0.14499999999999999</v>
      </c>
      <c r="K1392" t="s">
        <v>43</v>
      </c>
    </row>
    <row r="1393" spans="1:11" x14ac:dyDescent="0.35">
      <c r="A1393" t="s">
        <v>256</v>
      </c>
      <c r="B1393" t="s">
        <v>264</v>
      </c>
      <c r="C1393" t="s">
        <v>263</v>
      </c>
      <c r="D1393">
        <v>0.14480004399999999</v>
      </c>
      <c r="E1393" t="s">
        <v>205</v>
      </c>
      <c r="F1393">
        <v>2024</v>
      </c>
      <c r="G1393" t="str">
        <f>TRIM(RIGHT(Table156[[#This Row],[Item-Codigo]], LEN(Table156[[#This Row],[Item-Codigo]]) - FIND("|", CONCATENATE(B1393), FIND("|", CONCATENATE(B1393)) + 1)))</f>
        <v>UND</v>
      </c>
      <c r="H139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1024-ME</v>
      </c>
      <c r="I1393" s="40" t="s">
        <v>501</v>
      </c>
      <c r="J139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0.14480004399999999</v>
      </c>
      <c r="K1393" t="s">
        <v>44</v>
      </c>
    </row>
    <row r="1394" spans="1:11" x14ac:dyDescent="0.35">
      <c r="A1394" t="s">
        <v>256</v>
      </c>
      <c r="B1394" t="s">
        <v>265</v>
      </c>
      <c r="C1394" t="s">
        <v>263</v>
      </c>
      <c r="D1394">
        <v>0.1447809702</v>
      </c>
      <c r="E1394" t="s">
        <v>205</v>
      </c>
      <c r="F1394">
        <v>2024</v>
      </c>
      <c r="G1394" t="str">
        <f>TRIM(RIGHT(Table156[[#This Row],[Item-Codigo]], LEN(Table156[[#This Row],[Item-Codigo]]) - FIND("|", CONCATENATE(B1394), FIND("|", CONCATENATE(B1394)) + 1)))</f>
        <v>UND</v>
      </c>
      <c r="H139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1025-ME</v>
      </c>
      <c r="I1394" s="40" t="s">
        <v>502</v>
      </c>
      <c r="J139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0.1447809702</v>
      </c>
      <c r="K1394" t="s">
        <v>45</v>
      </c>
    </row>
    <row r="1395" spans="1:11" x14ac:dyDescent="0.35">
      <c r="A1395" t="s">
        <v>256</v>
      </c>
      <c r="B1395" t="s">
        <v>266</v>
      </c>
      <c r="C1395" t="s">
        <v>267</v>
      </c>
      <c r="D1395">
        <v>0.1682997987</v>
      </c>
      <c r="E1395" t="s">
        <v>205</v>
      </c>
      <c r="F1395">
        <v>2024</v>
      </c>
      <c r="G1395" t="str">
        <f>TRIM(RIGHT(Table156[[#This Row],[Item-Codigo]], LEN(Table156[[#This Row],[Item-Codigo]]) - FIND("|", CONCATENATE(B1395), FIND("|", CONCATENATE(B1395)) + 1)))</f>
        <v>UND</v>
      </c>
      <c r="H139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1026-ME</v>
      </c>
      <c r="I1395" s="40" t="s">
        <v>503</v>
      </c>
      <c r="J139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0.1682997987</v>
      </c>
      <c r="K1395" t="s">
        <v>46</v>
      </c>
    </row>
    <row r="1396" spans="1:11" x14ac:dyDescent="0.35">
      <c r="A1396" t="s">
        <v>256</v>
      </c>
      <c r="B1396" t="s">
        <v>270</v>
      </c>
      <c r="C1396" t="s">
        <v>271</v>
      </c>
      <c r="D1396">
        <v>2</v>
      </c>
      <c r="E1396" t="s">
        <v>205</v>
      </c>
      <c r="F1396">
        <v>2024</v>
      </c>
      <c r="G1396" t="str">
        <f>TRIM(RIGHT(Table156[[#This Row],[Item-Codigo]], LEN(Table156[[#This Row],[Item-Codigo]]) - FIND("|", CONCATENATE(B1396), FIND("|", CONCATENATE(B1396)) + 1)))</f>
        <v>UND</v>
      </c>
      <c r="H139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CINTA</v>
      </c>
      <c r="I1396" s="40" t="s">
        <v>557</v>
      </c>
      <c r="J139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</v>
      </c>
      <c r="K1396" t="s">
        <v>50</v>
      </c>
    </row>
    <row r="1397" spans="1:11" x14ac:dyDescent="0.35">
      <c r="A1397" t="s">
        <v>256</v>
      </c>
      <c r="B1397" t="s">
        <v>272</v>
      </c>
      <c r="C1397" t="s">
        <v>263</v>
      </c>
      <c r="D1397">
        <v>0.1447999633</v>
      </c>
      <c r="E1397" t="s">
        <v>205</v>
      </c>
      <c r="F1397">
        <v>2024</v>
      </c>
      <c r="G1397" t="str">
        <f>TRIM(RIGHT(Table156[[#This Row],[Item-Codigo]], LEN(Table156[[#This Row],[Item-Codigo]]) - FIND("|", CONCATENATE(B1397), FIND("|", CONCATENATE(B1397)) + 1)))</f>
        <v>UND</v>
      </c>
      <c r="H139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1029-ME</v>
      </c>
      <c r="I1397" s="40" t="s">
        <v>506</v>
      </c>
      <c r="J139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0.1447999633</v>
      </c>
      <c r="K1397" t="s">
        <v>51</v>
      </c>
    </row>
    <row r="1398" spans="1:11" x14ac:dyDescent="0.35">
      <c r="A1398" t="s">
        <v>256</v>
      </c>
      <c r="B1398" t="s">
        <v>273</v>
      </c>
      <c r="C1398" t="s">
        <v>263</v>
      </c>
      <c r="D1398">
        <v>0.14480000000000001</v>
      </c>
      <c r="E1398" t="s">
        <v>205</v>
      </c>
      <c r="F1398">
        <v>2024</v>
      </c>
      <c r="G1398" t="str">
        <f>TRIM(RIGHT(Table156[[#This Row],[Item-Codigo]], LEN(Table156[[#This Row],[Item-Codigo]]) - FIND("|", CONCATENATE(B1398), FIND("|", CONCATENATE(B1398)) + 1)))</f>
        <v>UND</v>
      </c>
      <c r="H139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1030-ME</v>
      </c>
      <c r="I1398" s="40" t="s">
        <v>507</v>
      </c>
      <c r="J139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0.14480000000000001</v>
      </c>
      <c r="K1398" t="s">
        <v>52</v>
      </c>
    </row>
    <row r="1399" spans="1:11" x14ac:dyDescent="0.35">
      <c r="A1399" t="s">
        <v>256</v>
      </c>
      <c r="B1399" t="s">
        <v>274</v>
      </c>
      <c r="C1399" t="s">
        <v>263</v>
      </c>
      <c r="D1399">
        <v>0.14480089309999999</v>
      </c>
      <c r="E1399" t="s">
        <v>205</v>
      </c>
      <c r="F1399">
        <v>2024</v>
      </c>
      <c r="G1399" t="str">
        <f>TRIM(RIGHT(Table156[[#This Row],[Item-Codigo]], LEN(Table156[[#This Row],[Item-Codigo]]) - FIND("|", CONCATENATE(B1399), FIND("|", CONCATENATE(B1399)) + 1)))</f>
        <v>UND</v>
      </c>
      <c r="H139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1031-ME</v>
      </c>
      <c r="I1399" s="40" t="s">
        <v>508</v>
      </c>
      <c r="J139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0.14480089309999999</v>
      </c>
      <c r="K1399" t="s">
        <v>53</v>
      </c>
    </row>
    <row r="1400" spans="1:11" x14ac:dyDescent="0.35">
      <c r="A1400" t="s">
        <v>256</v>
      </c>
      <c r="B1400" t="s">
        <v>281</v>
      </c>
      <c r="C1400" t="s">
        <v>282</v>
      </c>
      <c r="D1400">
        <v>0.17150000000000001</v>
      </c>
      <c r="E1400" t="s">
        <v>205</v>
      </c>
      <c r="F1400">
        <v>2024</v>
      </c>
      <c r="G1400" t="str">
        <f>TRIM(RIGHT(Table156[[#This Row],[Item-Codigo]], LEN(Table156[[#This Row],[Item-Codigo]]) - FIND("|", CONCATENATE(B1400), FIND("|", CONCATENATE(B1400)) + 1)))</f>
        <v>UND</v>
      </c>
      <c r="H140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0077-ME</v>
      </c>
      <c r="I1400" s="40" t="s">
        <v>469</v>
      </c>
      <c r="J140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0.17150000000000001</v>
      </c>
      <c r="K1400" t="s">
        <v>63</v>
      </c>
    </row>
    <row r="1401" spans="1:11" x14ac:dyDescent="0.35">
      <c r="A1401" t="s">
        <v>256</v>
      </c>
      <c r="B1401" t="s">
        <v>283</v>
      </c>
      <c r="C1401" t="s">
        <v>267</v>
      </c>
      <c r="D1401">
        <v>0.21510103089999999</v>
      </c>
      <c r="E1401" t="s">
        <v>205</v>
      </c>
      <c r="F1401">
        <v>2024</v>
      </c>
      <c r="G1401" t="str">
        <f>TRIM(RIGHT(Table156[[#This Row],[Item-Codigo]], LEN(Table156[[#This Row],[Item-Codigo]]) - FIND("|", CONCATENATE(B1401), FIND("|", CONCATENATE(B1401)) + 1)))</f>
        <v>UND</v>
      </c>
      <c r="H140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0754-ME</v>
      </c>
      <c r="I1401" s="40" t="s">
        <v>482</v>
      </c>
      <c r="J140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0.21510103089999999</v>
      </c>
      <c r="K1401" t="s">
        <v>112</v>
      </c>
    </row>
    <row r="1402" spans="1:11" x14ac:dyDescent="0.35">
      <c r="A1402" t="s">
        <v>256</v>
      </c>
      <c r="B1402" t="s">
        <v>284</v>
      </c>
      <c r="C1402" t="s">
        <v>285</v>
      </c>
      <c r="D1402">
        <v>9</v>
      </c>
      <c r="E1402" t="s">
        <v>205</v>
      </c>
      <c r="F1402">
        <v>2024</v>
      </c>
      <c r="G1402" t="str">
        <f>TRIM(RIGHT(Table156[[#This Row],[Item-Codigo]], LEN(Table156[[#This Row],[Item-Codigo]]) - FIND("|", CONCATENATE(B1402), FIND("|", CONCATENATE(B1402)) + 1)))</f>
        <v>UND</v>
      </c>
      <c r="H140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PIOLA (UNID)</v>
      </c>
      <c r="I1402" s="40" t="s">
        <v>558</v>
      </c>
      <c r="J140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</v>
      </c>
      <c r="K1402" t="s">
        <v>127</v>
      </c>
    </row>
    <row r="1403" spans="1:11" x14ac:dyDescent="0.35">
      <c r="A1403" t="s">
        <v>256</v>
      </c>
      <c r="B1403" t="s">
        <v>287</v>
      </c>
      <c r="C1403" t="s">
        <v>267</v>
      </c>
      <c r="D1403">
        <v>0.21510105260000001</v>
      </c>
      <c r="E1403" t="s">
        <v>205</v>
      </c>
      <c r="F1403">
        <v>2024</v>
      </c>
      <c r="G1403" t="str">
        <f>TRIM(RIGHT(Table156[[#This Row],[Item-Codigo]], LEN(Table156[[#This Row],[Item-Codigo]]) - FIND("|", CONCATENATE(B1403), FIND("|", CONCATENATE(B1403)) + 1)))</f>
        <v>UND</v>
      </c>
      <c r="H140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0115-ME</v>
      </c>
      <c r="I1403" s="40" t="s">
        <v>474</v>
      </c>
      <c r="J140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0.21510105260000001</v>
      </c>
      <c r="K1403" t="s">
        <v>115</v>
      </c>
    </row>
    <row r="1404" spans="1:11" x14ac:dyDescent="0.35">
      <c r="A1404" t="s">
        <v>256</v>
      </c>
      <c r="B1404" t="s">
        <v>296</v>
      </c>
      <c r="C1404" t="s">
        <v>262</v>
      </c>
      <c r="D1404">
        <v>0.21439989910000001</v>
      </c>
      <c r="E1404" t="s">
        <v>205</v>
      </c>
      <c r="F1404">
        <v>2024</v>
      </c>
      <c r="G1404" t="str">
        <f>TRIM(RIGHT(Table156[[#This Row],[Item-Codigo]], LEN(Table156[[#This Row],[Item-Codigo]]) - FIND("|", CONCATENATE(B1404), FIND("|", CONCATENATE(B1404)) + 1)))</f>
        <v>UND</v>
      </c>
      <c r="H140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1018-ME</v>
      </c>
      <c r="I1404" s="40" t="s">
        <v>496</v>
      </c>
      <c r="J140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0.21439989910000001</v>
      </c>
      <c r="K1404" t="s">
        <v>109</v>
      </c>
    </row>
    <row r="1405" spans="1:11" x14ac:dyDescent="0.35">
      <c r="A1405" t="s">
        <v>256</v>
      </c>
      <c r="B1405" t="s">
        <v>297</v>
      </c>
      <c r="C1405" t="s">
        <v>267</v>
      </c>
      <c r="D1405">
        <v>0.21510000000000001</v>
      </c>
      <c r="E1405" t="s">
        <v>205</v>
      </c>
      <c r="F1405">
        <v>2024</v>
      </c>
      <c r="G1405" t="str">
        <f>TRIM(RIGHT(Table156[[#This Row],[Item-Codigo]], LEN(Table156[[#This Row],[Item-Codigo]]) - FIND("|", CONCATENATE(B1405), FIND("|", CONCATENATE(B1405)) + 1)))</f>
        <v>UND</v>
      </c>
      <c r="H140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0982-ME</v>
      </c>
      <c r="I1405" s="40" t="s">
        <v>483</v>
      </c>
      <c r="J140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0.21510000000000001</v>
      </c>
      <c r="K1405" t="s">
        <v>114</v>
      </c>
    </row>
    <row r="1406" spans="1:11" x14ac:dyDescent="0.35">
      <c r="A1406" t="s">
        <v>256</v>
      </c>
      <c r="B1406" t="s">
        <v>298</v>
      </c>
      <c r="C1406" t="s">
        <v>262</v>
      </c>
      <c r="D1406">
        <v>0.21440000000000001</v>
      </c>
      <c r="E1406" t="s">
        <v>205</v>
      </c>
      <c r="F1406">
        <v>2024</v>
      </c>
      <c r="G1406" t="str">
        <f>TRIM(RIGHT(Table156[[#This Row],[Item-Codigo]], LEN(Table156[[#This Row],[Item-Codigo]]) - FIND("|", CONCATENATE(B1406), FIND("|", CONCATENATE(B1406)) + 1)))</f>
        <v>UND</v>
      </c>
      <c r="H140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1019-ME</v>
      </c>
      <c r="I1406" s="40" t="s">
        <v>497</v>
      </c>
      <c r="J140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0.21440000000000001</v>
      </c>
      <c r="K1406" t="s">
        <v>111</v>
      </c>
    </row>
    <row r="1407" spans="1:11" x14ac:dyDescent="0.35">
      <c r="A1407" t="s">
        <v>256</v>
      </c>
      <c r="B1407" t="s">
        <v>300</v>
      </c>
      <c r="C1407" t="s">
        <v>262</v>
      </c>
      <c r="D1407">
        <v>0.21440000000000001</v>
      </c>
      <c r="E1407" t="s">
        <v>205</v>
      </c>
      <c r="F1407">
        <v>2024</v>
      </c>
      <c r="G1407" t="str">
        <f>TRIM(RIGHT(Table156[[#This Row],[Item-Codigo]], LEN(Table156[[#This Row],[Item-Codigo]]) - FIND("|", CONCATENATE(B1407), FIND("|", CONCATENATE(B1407)) + 1)))</f>
        <v>UND</v>
      </c>
      <c r="H140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0751-ME</v>
      </c>
      <c r="I1407" s="40" t="s">
        <v>480</v>
      </c>
      <c r="J140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0.21440000000000001</v>
      </c>
      <c r="K1407" t="s">
        <v>110</v>
      </c>
    </row>
    <row r="1408" spans="1:11" x14ac:dyDescent="0.35">
      <c r="A1408" t="s">
        <v>256</v>
      </c>
      <c r="B1408" t="s">
        <v>301</v>
      </c>
      <c r="C1408" t="s">
        <v>262</v>
      </c>
      <c r="D1408">
        <v>0.22220000000000001</v>
      </c>
      <c r="E1408" t="s">
        <v>205</v>
      </c>
      <c r="F1408">
        <v>2024</v>
      </c>
      <c r="G1408" t="str">
        <f>TRIM(RIGHT(Table156[[#This Row],[Item-Codigo]], LEN(Table156[[#This Row],[Item-Codigo]]) - FIND("|", CONCATENATE(B1408), FIND("|", CONCATENATE(B1408)) + 1)))</f>
        <v>UND</v>
      </c>
      <c r="H140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0171-ME</v>
      </c>
      <c r="I1408" s="40" t="s">
        <v>476</v>
      </c>
      <c r="J140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0.22220000000000001</v>
      </c>
      <c r="K1408" t="s">
        <v>107</v>
      </c>
    </row>
    <row r="1409" spans="1:11" x14ac:dyDescent="0.35">
      <c r="A1409" t="s">
        <v>256</v>
      </c>
      <c r="B1409" t="s">
        <v>301</v>
      </c>
      <c r="C1409" t="s">
        <v>263</v>
      </c>
      <c r="D1409">
        <v>0.2327999593</v>
      </c>
      <c r="E1409" t="s">
        <v>205</v>
      </c>
      <c r="F1409">
        <v>2024</v>
      </c>
      <c r="G1409" t="str">
        <f>TRIM(RIGHT(Table156[[#This Row],[Item-Codigo]], LEN(Table156[[#This Row],[Item-Codigo]]) - FIND("|", CONCATENATE(B1409), FIND("|", CONCATENATE(B1409)) + 1)))</f>
        <v>UND</v>
      </c>
      <c r="H140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0171-ME</v>
      </c>
      <c r="I1409" s="40" t="s">
        <v>476</v>
      </c>
      <c r="J140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0.2327999593</v>
      </c>
      <c r="K1409" t="s">
        <v>107</v>
      </c>
    </row>
    <row r="1410" spans="1:11" x14ac:dyDescent="0.35">
      <c r="A1410" t="s">
        <v>305</v>
      </c>
      <c r="B1410" t="s">
        <v>306</v>
      </c>
      <c r="C1410" t="s">
        <v>307</v>
      </c>
      <c r="D1410">
        <v>5.6</v>
      </c>
      <c r="E1410" t="s">
        <v>205</v>
      </c>
      <c r="F1410">
        <v>2024</v>
      </c>
      <c r="G1410" t="str">
        <f>TRIM(RIGHT(Table156[[#This Row],[Item-Codigo]], LEN(Table156[[#This Row],[Item-Codigo]]) - FIND("|", CONCATENATE(B1410), FIND("|", CONCATENATE(B1410)) + 1)))</f>
        <v>KG</v>
      </c>
      <c r="H141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732</v>
      </c>
      <c r="I1410" s="40">
        <v>732</v>
      </c>
      <c r="J141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1410" t="s">
        <v>1227</v>
      </c>
    </row>
    <row r="1411" spans="1:11" x14ac:dyDescent="0.35">
      <c r="A1411" t="s">
        <v>305</v>
      </c>
      <c r="B1411" t="s">
        <v>314</v>
      </c>
      <c r="C1411" t="s">
        <v>315</v>
      </c>
      <c r="D1411">
        <v>6</v>
      </c>
      <c r="E1411" t="s">
        <v>205</v>
      </c>
      <c r="F1411">
        <v>2024</v>
      </c>
      <c r="G1411" t="str">
        <f>TRIM(RIGHT(Table156[[#This Row],[Item-Codigo]], LEN(Table156[[#This Row],[Item-Codigo]]) - FIND("|", CONCATENATE(B1411), FIND("|", CONCATENATE(B1411)) + 1)))</f>
        <v>KG</v>
      </c>
      <c r="H141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901</v>
      </c>
      <c r="I1411" s="40">
        <v>901</v>
      </c>
      <c r="J141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1411" t="s">
        <v>70</v>
      </c>
    </row>
    <row r="1412" spans="1:11" x14ac:dyDescent="0.35">
      <c r="A1412" t="s">
        <v>305</v>
      </c>
      <c r="B1412" t="s">
        <v>320</v>
      </c>
      <c r="C1412" t="s">
        <v>321</v>
      </c>
      <c r="D1412">
        <v>8.75</v>
      </c>
      <c r="E1412" t="s">
        <v>205</v>
      </c>
      <c r="F1412">
        <v>2024</v>
      </c>
      <c r="G1412" t="str">
        <f>TRIM(RIGHT(Table156[[#This Row],[Item-Codigo]], LEN(Table156[[#This Row],[Item-Codigo]]) - FIND("|", CONCATENATE(B1412), FIND("|", CONCATENATE(B1412)) + 1)))</f>
        <v>KG</v>
      </c>
      <c r="H141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1009</v>
      </c>
      <c r="I1412" s="40">
        <v>1009</v>
      </c>
      <c r="J141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8750</v>
      </c>
      <c r="K1412" t="s">
        <v>73</v>
      </c>
    </row>
    <row r="1413" spans="1:11" x14ac:dyDescent="0.35">
      <c r="A1413" t="s">
        <v>305</v>
      </c>
      <c r="B1413" t="s">
        <v>322</v>
      </c>
      <c r="C1413" t="s">
        <v>323</v>
      </c>
      <c r="D1413">
        <v>12.88</v>
      </c>
      <c r="E1413" t="s">
        <v>205</v>
      </c>
      <c r="F1413">
        <v>2024</v>
      </c>
      <c r="G1413" t="str">
        <f>TRIM(RIGHT(Table156[[#This Row],[Item-Codigo]], LEN(Table156[[#This Row],[Item-Codigo]]) - FIND("|", CONCATENATE(B1413), FIND("|", CONCATENATE(B1413)) + 1)))</f>
        <v>KG</v>
      </c>
      <c r="H141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388</v>
      </c>
      <c r="I1413" s="40">
        <v>388</v>
      </c>
      <c r="J141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12880</v>
      </c>
      <c r="K1413" t="s">
        <v>74</v>
      </c>
    </row>
    <row r="1414" spans="1:11" x14ac:dyDescent="0.35">
      <c r="A1414" t="s">
        <v>305</v>
      </c>
      <c r="B1414" t="s">
        <v>324</v>
      </c>
      <c r="C1414" t="s">
        <v>323</v>
      </c>
      <c r="D1414">
        <v>4</v>
      </c>
      <c r="E1414" t="s">
        <v>205</v>
      </c>
      <c r="F1414">
        <v>2024</v>
      </c>
      <c r="G1414" t="str">
        <f>TRIM(RIGHT(Table156[[#This Row],[Item-Codigo]], LEN(Table156[[#This Row],[Item-Codigo]]) - FIND("|", CONCATENATE(B1414), FIND("|", CONCATENATE(B1414)) + 1)))</f>
        <v>KG</v>
      </c>
      <c r="H141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1070</v>
      </c>
      <c r="I1414" s="40">
        <v>1070</v>
      </c>
      <c r="J141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</v>
      </c>
      <c r="K1414" t="s">
        <v>75</v>
      </c>
    </row>
    <row r="1415" spans="1:11" x14ac:dyDescent="0.35">
      <c r="A1415" t="s">
        <v>305</v>
      </c>
      <c r="B1415" t="s">
        <v>325</v>
      </c>
      <c r="C1415" t="s">
        <v>309</v>
      </c>
      <c r="D1415">
        <v>5.6</v>
      </c>
      <c r="E1415" t="s">
        <v>205</v>
      </c>
      <c r="F1415">
        <v>2024</v>
      </c>
      <c r="G1415" t="str">
        <f>TRIM(RIGHT(Table156[[#This Row],[Item-Codigo]], LEN(Table156[[#This Row],[Item-Codigo]]) - FIND("|", CONCATENATE(B1415), FIND("|", CONCATENATE(B1415)) + 1)))</f>
        <v>KG</v>
      </c>
      <c r="H141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1045</v>
      </c>
      <c r="I1415" s="40">
        <v>1045</v>
      </c>
      <c r="J141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1415" t="s">
        <v>76</v>
      </c>
    </row>
    <row r="1416" spans="1:11" x14ac:dyDescent="0.35">
      <c r="A1416" t="s">
        <v>305</v>
      </c>
      <c r="B1416" t="s">
        <v>326</v>
      </c>
      <c r="C1416" t="s">
        <v>327</v>
      </c>
      <c r="D1416">
        <v>5.85</v>
      </c>
      <c r="E1416" t="s">
        <v>205</v>
      </c>
      <c r="F1416">
        <v>2024</v>
      </c>
      <c r="G1416" t="str">
        <f>TRIM(RIGHT(Table156[[#This Row],[Item-Codigo]], LEN(Table156[[#This Row],[Item-Codigo]]) - FIND("|", CONCATENATE(B1416), FIND("|", CONCATENATE(B1416)) + 1)))</f>
        <v>KG</v>
      </c>
      <c r="H141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470.5</v>
      </c>
      <c r="I1416" s="40" t="s">
        <v>536</v>
      </c>
      <c r="J141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5850</v>
      </c>
      <c r="K1416" t="s">
        <v>77</v>
      </c>
    </row>
    <row r="1417" spans="1:11" x14ac:dyDescent="0.35">
      <c r="A1417" t="s">
        <v>305</v>
      </c>
      <c r="B1417" t="s">
        <v>328</v>
      </c>
      <c r="C1417" t="s">
        <v>329</v>
      </c>
      <c r="D1417">
        <v>1.601</v>
      </c>
      <c r="E1417" t="s">
        <v>205</v>
      </c>
      <c r="F1417">
        <v>2024</v>
      </c>
      <c r="G1417" t="str">
        <f>TRIM(RIGHT(Table156[[#This Row],[Item-Codigo]], LEN(Table156[[#This Row],[Item-Codigo]]) - FIND("|", CONCATENATE(B1417), FIND("|", CONCATENATE(B1417)) + 1)))</f>
        <v>KG</v>
      </c>
      <c r="H141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495</v>
      </c>
      <c r="I1417" s="40">
        <v>495</v>
      </c>
      <c r="J141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1601</v>
      </c>
      <c r="K1417" t="s">
        <v>78</v>
      </c>
    </row>
    <row r="1418" spans="1:11" x14ac:dyDescent="0.35">
      <c r="A1418" t="s">
        <v>305</v>
      </c>
      <c r="B1418" t="s">
        <v>332</v>
      </c>
      <c r="C1418" t="s">
        <v>333</v>
      </c>
      <c r="D1418">
        <v>1.69</v>
      </c>
      <c r="E1418" t="s">
        <v>205</v>
      </c>
      <c r="F1418">
        <v>2024</v>
      </c>
      <c r="G1418" t="str">
        <f>TRIM(RIGHT(Table156[[#This Row],[Item-Codigo]], LEN(Table156[[#This Row],[Item-Codigo]]) - FIND("|", CONCATENATE(B1418), FIND("|", CONCATENATE(B1418)) + 1)))</f>
        <v>KG</v>
      </c>
      <c r="H141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1073</v>
      </c>
      <c r="I1418" s="40">
        <v>1073</v>
      </c>
      <c r="J141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1690</v>
      </c>
      <c r="K1418" t="s">
        <v>81</v>
      </c>
    </row>
    <row r="1419" spans="1:11" x14ac:dyDescent="0.35">
      <c r="A1419" t="s">
        <v>305</v>
      </c>
      <c r="B1419" t="s">
        <v>334</v>
      </c>
      <c r="C1419" t="s">
        <v>323</v>
      </c>
      <c r="D1419">
        <v>4.08</v>
      </c>
      <c r="E1419" t="s">
        <v>205</v>
      </c>
      <c r="F1419">
        <v>2024</v>
      </c>
      <c r="G1419" t="str">
        <f>TRIM(RIGHT(Table156[[#This Row],[Item-Codigo]], LEN(Table156[[#This Row],[Item-Codigo]]) - FIND("|", CONCATENATE(B1419), FIND("|", CONCATENATE(B1419)) + 1)))</f>
        <v>KG</v>
      </c>
      <c r="H141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475</v>
      </c>
      <c r="I1419" s="40">
        <v>475</v>
      </c>
      <c r="J141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4080</v>
      </c>
      <c r="K1419" t="s">
        <v>82</v>
      </c>
    </row>
    <row r="1420" spans="1:11" x14ac:dyDescent="0.35">
      <c r="A1420" t="s">
        <v>305</v>
      </c>
      <c r="B1420" t="s">
        <v>335</v>
      </c>
      <c r="C1420" t="s">
        <v>309</v>
      </c>
      <c r="D1420">
        <v>1.45</v>
      </c>
      <c r="E1420" t="s">
        <v>205</v>
      </c>
      <c r="F1420">
        <v>2024</v>
      </c>
      <c r="G1420" t="str">
        <f>TRIM(RIGHT(Table156[[#This Row],[Item-Codigo]], LEN(Table156[[#This Row],[Item-Codigo]]) - FIND("|", CONCATENATE(B1420), FIND("|", CONCATENATE(B1420)) + 1)))</f>
        <v>KG</v>
      </c>
      <c r="H142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131.3</v>
      </c>
      <c r="I1420" s="40" t="s">
        <v>523</v>
      </c>
      <c r="J142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1450</v>
      </c>
      <c r="K1420" t="s">
        <v>83</v>
      </c>
    </row>
    <row r="1421" spans="1:11" x14ac:dyDescent="0.35">
      <c r="A1421" t="s">
        <v>305</v>
      </c>
      <c r="B1421" t="s">
        <v>336</v>
      </c>
      <c r="C1421" t="s">
        <v>327</v>
      </c>
      <c r="D1421">
        <v>5</v>
      </c>
      <c r="E1421" t="s">
        <v>205</v>
      </c>
      <c r="F1421">
        <v>2024</v>
      </c>
      <c r="G1421" t="str">
        <f>TRIM(RIGHT(Table156[[#This Row],[Item-Codigo]], LEN(Table156[[#This Row],[Item-Codigo]]) - FIND("|", CONCATENATE(B1421), FIND("|", CONCATENATE(B1421)) + 1)))</f>
        <v>KG</v>
      </c>
      <c r="H142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340.1</v>
      </c>
      <c r="I1421" s="40" t="s">
        <v>529</v>
      </c>
      <c r="J142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5000</v>
      </c>
      <c r="K1421" t="s">
        <v>84</v>
      </c>
    </row>
    <row r="1422" spans="1:11" x14ac:dyDescent="0.35">
      <c r="A1422" t="s">
        <v>305</v>
      </c>
      <c r="B1422" t="s">
        <v>337</v>
      </c>
      <c r="C1422" t="s">
        <v>307</v>
      </c>
      <c r="D1422">
        <v>12.95</v>
      </c>
      <c r="E1422" t="s">
        <v>205</v>
      </c>
      <c r="F1422">
        <v>2024</v>
      </c>
      <c r="G1422" t="str">
        <f>TRIM(RIGHT(Table156[[#This Row],[Item-Codigo]], LEN(Table156[[#This Row],[Item-Codigo]]) - FIND("|", CONCATENATE(B1422), FIND("|", CONCATENATE(B1422)) + 1)))</f>
        <v>KG</v>
      </c>
      <c r="H142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936</v>
      </c>
      <c r="I1422" s="40">
        <v>936</v>
      </c>
      <c r="J142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12950</v>
      </c>
      <c r="K1422" t="s">
        <v>85</v>
      </c>
    </row>
    <row r="1423" spans="1:11" x14ac:dyDescent="0.35">
      <c r="A1423" t="s">
        <v>305</v>
      </c>
      <c r="B1423" t="s">
        <v>338</v>
      </c>
      <c r="C1423" t="s">
        <v>307</v>
      </c>
      <c r="D1423">
        <v>11</v>
      </c>
      <c r="E1423" t="s">
        <v>205</v>
      </c>
      <c r="F1423">
        <v>2024</v>
      </c>
      <c r="G1423" t="str">
        <f>TRIM(RIGHT(Table156[[#This Row],[Item-Codigo]], LEN(Table156[[#This Row],[Item-Codigo]]) - FIND("|", CONCATENATE(B1423), FIND("|", CONCATENATE(B1423)) + 1)))</f>
        <v>KG</v>
      </c>
      <c r="H142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937</v>
      </c>
      <c r="I1423" s="40">
        <v>937</v>
      </c>
      <c r="J142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11000</v>
      </c>
      <c r="K1423" t="s">
        <v>86</v>
      </c>
    </row>
    <row r="1424" spans="1:11" x14ac:dyDescent="0.35">
      <c r="A1424" t="s">
        <v>305</v>
      </c>
      <c r="B1424" t="s">
        <v>339</v>
      </c>
      <c r="C1424" t="s">
        <v>327</v>
      </c>
      <c r="D1424">
        <v>50</v>
      </c>
      <c r="E1424" t="s">
        <v>205</v>
      </c>
      <c r="F1424">
        <v>2024</v>
      </c>
      <c r="G1424" t="str">
        <f>TRIM(RIGHT(Table156[[#This Row],[Item-Codigo]], LEN(Table156[[#This Row],[Item-Codigo]]) - FIND("|", CONCATENATE(B1424), FIND("|", CONCATENATE(B1424)) + 1)))</f>
        <v>KG</v>
      </c>
      <c r="H142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520.5</v>
      </c>
      <c r="I1424" s="40" t="s">
        <v>546</v>
      </c>
      <c r="J142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50000</v>
      </c>
      <c r="K1424" t="s">
        <v>87</v>
      </c>
    </row>
    <row r="1425" spans="1:11" x14ac:dyDescent="0.35">
      <c r="A1425" t="s">
        <v>305</v>
      </c>
      <c r="B1425" t="s">
        <v>340</v>
      </c>
      <c r="C1425" t="s">
        <v>327</v>
      </c>
      <c r="D1425">
        <v>11.25</v>
      </c>
      <c r="E1425" t="s">
        <v>205</v>
      </c>
      <c r="F1425">
        <v>2024</v>
      </c>
      <c r="G1425" t="str">
        <f>TRIM(RIGHT(Table156[[#This Row],[Item-Codigo]], LEN(Table156[[#This Row],[Item-Codigo]]) - FIND("|", CONCATENATE(B1425), FIND("|", CONCATENATE(B1425)) + 1)))</f>
        <v>KG</v>
      </c>
      <c r="H142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877</v>
      </c>
      <c r="I1425" s="40">
        <v>877</v>
      </c>
      <c r="J142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11250</v>
      </c>
      <c r="K1425" t="s">
        <v>1074</v>
      </c>
    </row>
    <row r="1426" spans="1:11" x14ac:dyDescent="0.35">
      <c r="A1426" t="s">
        <v>305</v>
      </c>
      <c r="B1426" t="s">
        <v>341</v>
      </c>
      <c r="C1426" t="s">
        <v>342</v>
      </c>
      <c r="D1426">
        <v>0.52</v>
      </c>
      <c r="E1426" t="s">
        <v>205</v>
      </c>
      <c r="F1426">
        <v>2024</v>
      </c>
      <c r="G1426" t="str">
        <f>TRIM(RIGHT(Table156[[#This Row],[Item-Codigo]], LEN(Table156[[#This Row],[Item-Codigo]]) - FIND("|", CONCATENATE(B1426), FIND("|", CONCATENATE(B1426)) + 1)))</f>
        <v>KG</v>
      </c>
      <c r="H142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719</v>
      </c>
      <c r="I1426" s="40">
        <v>719</v>
      </c>
      <c r="J142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520</v>
      </c>
      <c r="K1426" t="s">
        <v>1077</v>
      </c>
    </row>
    <row r="1427" spans="1:11" x14ac:dyDescent="0.35">
      <c r="A1427" t="s">
        <v>305</v>
      </c>
      <c r="B1427" t="s">
        <v>343</v>
      </c>
      <c r="C1427" t="s">
        <v>215</v>
      </c>
      <c r="D1427">
        <v>515</v>
      </c>
      <c r="E1427" t="s">
        <v>205</v>
      </c>
      <c r="F1427">
        <v>2024</v>
      </c>
      <c r="G1427" t="str">
        <f>TRIM(RIGHT(Table156[[#This Row],[Item-Codigo]], LEN(Table156[[#This Row],[Item-Codigo]]) - FIND("|", CONCATENATE(B1427), FIND("|", CONCATENATE(B1427)) + 1)))</f>
        <v>TM</v>
      </c>
      <c r="H142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719</v>
      </c>
      <c r="I1427" s="40">
        <v>719</v>
      </c>
      <c r="J142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515</v>
      </c>
      <c r="K1427" t="s">
        <v>1077</v>
      </c>
    </row>
    <row r="1428" spans="1:11" x14ac:dyDescent="0.35">
      <c r="A1428" t="s">
        <v>305</v>
      </c>
      <c r="B1428" t="s">
        <v>346</v>
      </c>
      <c r="C1428" t="s">
        <v>327</v>
      </c>
      <c r="D1428">
        <v>8.5</v>
      </c>
      <c r="E1428" t="s">
        <v>205</v>
      </c>
      <c r="F1428">
        <v>2024</v>
      </c>
      <c r="G1428" t="str">
        <f>TRIM(RIGHT(Table156[[#This Row],[Item-Codigo]], LEN(Table156[[#This Row],[Item-Codigo]]) - FIND("|", CONCATENATE(B1428), FIND("|", CONCATENATE(B1428)) + 1)))</f>
        <v>KG</v>
      </c>
      <c r="H142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492.12</v>
      </c>
      <c r="I1428" s="40" t="s">
        <v>539</v>
      </c>
      <c r="J142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8500</v>
      </c>
      <c r="K1428" t="s">
        <v>91</v>
      </c>
    </row>
    <row r="1429" spans="1:11" x14ac:dyDescent="0.35">
      <c r="A1429" t="s">
        <v>305</v>
      </c>
      <c r="B1429" t="s">
        <v>350</v>
      </c>
      <c r="C1429" t="s">
        <v>351</v>
      </c>
      <c r="D1429">
        <v>1.8</v>
      </c>
      <c r="E1429" t="s">
        <v>205</v>
      </c>
      <c r="F1429">
        <v>2024</v>
      </c>
      <c r="G1429" t="str">
        <f>TRIM(RIGHT(Table156[[#This Row],[Item-Codigo]], LEN(Table156[[#This Row],[Item-Codigo]]) - FIND("|", CONCATENATE(B1429), FIND("|", CONCATENATE(B1429)) + 1)))</f>
        <v>KG</v>
      </c>
      <c r="H142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173</v>
      </c>
      <c r="I1429" s="40">
        <v>173</v>
      </c>
      <c r="J142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1800</v>
      </c>
      <c r="K1429" t="s">
        <v>138</v>
      </c>
    </row>
    <row r="1430" spans="1:11" x14ac:dyDescent="0.35">
      <c r="A1430" t="s">
        <v>305</v>
      </c>
      <c r="B1430" t="s">
        <v>354</v>
      </c>
      <c r="C1430" t="s">
        <v>353</v>
      </c>
      <c r="D1430">
        <v>9.24</v>
      </c>
      <c r="E1430" t="s">
        <v>205</v>
      </c>
      <c r="F1430">
        <v>2024</v>
      </c>
      <c r="G1430" t="str">
        <f>TRIM(RIGHT(Table156[[#This Row],[Item-Codigo]], LEN(Table156[[#This Row],[Item-Codigo]]) - FIND("|", CONCATENATE(B1430), FIND("|", CONCATENATE(B1430)) + 1)))</f>
        <v>KG</v>
      </c>
      <c r="H143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741</v>
      </c>
      <c r="I1430" s="40">
        <v>741</v>
      </c>
      <c r="J143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9240</v>
      </c>
      <c r="K1430" t="s">
        <v>146</v>
      </c>
    </row>
    <row r="1431" spans="1:11" x14ac:dyDescent="0.35">
      <c r="A1431" t="s">
        <v>305</v>
      </c>
      <c r="B1431" t="s">
        <v>355</v>
      </c>
      <c r="C1431" t="s">
        <v>353</v>
      </c>
      <c r="D1431">
        <v>8.85</v>
      </c>
      <c r="E1431" t="s">
        <v>205</v>
      </c>
      <c r="F1431">
        <v>2024</v>
      </c>
      <c r="G1431" t="str">
        <f>TRIM(RIGHT(Table156[[#This Row],[Item-Codigo]], LEN(Table156[[#This Row],[Item-Codigo]]) - FIND("|", CONCATENATE(B1431), FIND("|", CONCATENATE(B1431)) + 1)))</f>
        <v>KG</v>
      </c>
      <c r="H143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740</v>
      </c>
      <c r="I1431" s="40">
        <v>740</v>
      </c>
      <c r="J143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8850</v>
      </c>
      <c r="K1431" t="s">
        <v>143</v>
      </c>
    </row>
    <row r="1432" spans="1:11" x14ac:dyDescent="0.35">
      <c r="A1432" t="s">
        <v>305</v>
      </c>
      <c r="B1432" t="s">
        <v>358</v>
      </c>
      <c r="C1432" t="s">
        <v>357</v>
      </c>
      <c r="D1432">
        <v>165</v>
      </c>
      <c r="E1432" t="s">
        <v>205</v>
      </c>
      <c r="F1432">
        <v>2024</v>
      </c>
      <c r="G1432" t="str">
        <f>TRIM(RIGHT(Table156[[#This Row],[Item-Codigo]], LEN(Table156[[#This Row],[Item-Codigo]]) - FIND("|", CONCATENATE(B1432), FIND("|", CONCATENATE(B1432)) + 1)))</f>
        <v>S 25KG</v>
      </c>
      <c r="H143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1016</v>
      </c>
      <c r="I1432" s="40">
        <v>1016</v>
      </c>
      <c r="J143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165000</v>
      </c>
      <c r="K1432" t="s">
        <v>177</v>
      </c>
    </row>
    <row r="1433" spans="1:11" x14ac:dyDescent="0.35">
      <c r="A1433" t="s">
        <v>305</v>
      </c>
      <c r="B1433" t="s">
        <v>360</v>
      </c>
      <c r="C1433" t="s">
        <v>249</v>
      </c>
      <c r="D1433">
        <v>1250</v>
      </c>
      <c r="E1433" t="s">
        <v>205</v>
      </c>
      <c r="F1433">
        <v>2024</v>
      </c>
      <c r="G1433" t="str">
        <f>TRIM(RIGHT(Table156[[#This Row],[Item-Codigo]], LEN(Table156[[#This Row],[Item-Codigo]]) - FIND("|", CONCATENATE(B1433), FIND("|", CONCATENATE(B1433)) + 1)))</f>
        <v>TM</v>
      </c>
      <c r="H143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</v>
      </c>
      <c r="I1433" s="40">
        <v>45</v>
      </c>
      <c r="J143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1250</v>
      </c>
      <c r="K1433" t="s">
        <v>131</v>
      </c>
    </row>
    <row r="1434" spans="1:11" x14ac:dyDescent="0.35">
      <c r="A1434" t="s">
        <v>305</v>
      </c>
      <c r="B1434" t="s">
        <v>360</v>
      </c>
      <c r="C1434" t="s">
        <v>215</v>
      </c>
      <c r="D1434">
        <v>1011.0978260869</v>
      </c>
      <c r="E1434" t="s">
        <v>205</v>
      </c>
      <c r="F1434">
        <v>2024</v>
      </c>
      <c r="G1434" t="str">
        <f>TRIM(RIGHT(Table156[[#This Row],[Item-Codigo]], LEN(Table156[[#This Row],[Item-Codigo]]) - FIND("|", CONCATENATE(B1434), FIND("|", CONCATENATE(B1434)) + 1)))</f>
        <v>TM</v>
      </c>
      <c r="H143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</v>
      </c>
      <c r="I1434" s="40">
        <v>45</v>
      </c>
      <c r="J143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1011.0978260869</v>
      </c>
      <c r="K1434" t="s">
        <v>131</v>
      </c>
    </row>
    <row r="1435" spans="1:11" x14ac:dyDescent="0.35">
      <c r="A1435" t="s">
        <v>305</v>
      </c>
      <c r="B1435" t="s">
        <v>364</v>
      </c>
      <c r="C1435" t="s">
        <v>365</v>
      </c>
      <c r="D1435">
        <v>1.07</v>
      </c>
      <c r="E1435" t="s">
        <v>205</v>
      </c>
      <c r="F1435">
        <v>2024</v>
      </c>
      <c r="G1435" t="str">
        <f>TRIM(RIGHT(Table156[[#This Row],[Item-Codigo]], LEN(Table156[[#This Row],[Item-Codigo]]) - FIND("|", CONCATENATE(B1435), FIND("|", CONCATENATE(B1435)) + 1)))</f>
        <v>KG</v>
      </c>
      <c r="H143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488.1</v>
      </c>
      <c r="I1435" s="40" t="s">
        <v>538</v>
      </c>
      <c r="J143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1070</v>
      </c>
      <c r="K1435" t="s">
        <v>149</v>
      </c>
    </row>
    <row r="1436" spans="1:11" x14ac:dyDescent="0.35">
      <c r="A1436" t="s">
        <v>305</v>
      </c>
      <c r="B1436" t="s">
        <v>367</v>
      </c>
      <c r="C1436" t="s">
        <v>321</v>
      </c>
      <c r="D1436">
        <v>2.15</v>
      </c>
      <c r="E1436" t="s">
        <v>205</v>
      </c>
      <c r="F1436">
        <v>2024</v>
      </c>
      <c r="G1436" t="str">
        <f>TRIM(RIGHT(Table156[[#This Row],[Item-Codigo]], LEN(Table156[[#This Row],[Item-Codigo]]) - FIND("|", CONCATENATE(B1436), FIND("|", CONCATENATE(B1436)) + 1)))</f>
        <v>KG</v>
      </c>
      <c r="H143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910</v>
      </c>
      <c r="I1436" s="40">
        <v>910</v>
      </c>
      <c r="J143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2150</v>
      </c>
      <c r="K1436" t="s">
        <v>136</v>
      </c>
    </row>
    <row r="1437" spans="1:11" x14ac:dyDescent="0.35">
      <c r="A1437" t="s">
        <v>305</v>
      </c>
      <c r="B1437" t="s">
        <v>372</v>
      </c>
      <c r="C1437" t="s">
        <v>373</v>
      </c>
      <c r="D1437">
        <v>1.2</v>
      </c>
      <c r="E1437" t="s">
        <v>205</v>
      </c>
      <c r="F1437">
        <v>2024</v>
      </c>
      <c r="G1437" t="str">
        <f>TRIM(RIGHT(Table156[[#This Row],[Item-Codigo]], LEN(Table156[[#This Row],[Item-Codigo]]) - FIND("|", CONCATENATE(B1437), FIND("|", CONCATENATE(B1437)) + 1)))</f>
        <v>KG</v>
      </c>
      <c r="H143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701.2</v>
      </c>
      <c r="I1437" s="40" t="s">
        <v>553</v>
      </c>
      <c r="J143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1200</v>
      </c>
      <c r="K1437" t="s">
        <v>140</v>
      </c>
    </row>
    <row r="1438" spans="1:11" x14ac:dyDescent="0.35">
      <c r="A1438" t="s">
        <v>305</v>
      </c>
      <c r="B1438" t="s">
        <v>375</v>
      </c>
      <c r="C1438" t="s">
        <v>317</v>
      </c>
      <c r="D1438">
        <v>6</v>
      </c>
      <c r="E1438" t="s">
        <v>205</v>
      </c>
      <c r="F1438">
        <v>2024</v>
      </c>
      <c r="G1438" t="str">
        <f>TRIM(RIGHT(Table156[[#This Row],[Item-Codigo]], LEN(Table156[[#This Row],[Item-Codigo]]) - FIND("|", CONCATENATE(B1438), FIND("|", CONCATENATE(B1438)) + 1)))</f>
        <v>KG</v>
      </c>
      <c r="H143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945</v>
      </c>
      <c r="I1438" s="40">
        <v>945</v>
      </c>
      <c r="J143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1438" t="s">
        <v>148</v>
      </c>
    </row>
    <row r="1439" spans="1:11" x14ac:dyDescent="0.35">
      <c r="A1439" t="s">
        <v>305</v>
      </c>
      <c r="B1439" t="s">
        <v>378</v>
      </c>
      <c r="C1439" t="s">
        <v>379</v>
      </c>
      <c r="D1439">
        <v>1.9</v>
      </c>
      <c r="E1439" t="s">
        <v>205</v>
      </c>
      <c r="F1439">
        <v>2024</v>
      </c>
      <c r="G1439" t="str">
        <f>TRIM(RIGHT(Table156[[#This Row],[Item-Codigo]], LEN(Table156[[#This Row],[Item-Codigo]]) - FIND("|", CONCATENATE(B1439), FIND("|", CONCATENATE(B1439)) + 1)))</f>
        <v>KG</v>
      </c>
      <c r="H143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316</v>
      </c>
      <c r="I1439" s="40">
        <v>316</v>
      </c>
      <c r="J143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1900</v>
      </c>
      <c r="K1439" t="s">
        <v>165</v>
      </c>
    </row>
    <row r="1440" spans="1:11" x14ac:dyDescent="0.35">
      <c r="A1440" t="s">
        <v>305</v>
      </c>
      <c r="B1440" t="s">
        <v>382</v>
      </c>
      <c r="C1440" t="s">
        <v>327</v>
      </c>
      <c r="D1440">
        <v>8</v>
      </c>
      <c r="E1440" t="s">
        <v>205</v>
      </c>
      <c r="F1440">
        <v>2024</v>
      </c>
      <c r="G1440" t="str">
        <f>TRIM(RIGHT(Table156[[#This Row],[Item-Codigo]], LEN(Table156[[#This Row],[Item-Codigo]]) - FIND("|", CONCATENATE(B1440), FIND("|", CONCATENATE(B1440)) + 1)))</f>
        <v>KG</v>
      </c>
      <c r="H144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68</v>
      </c>
      <c r="I1440" s="40">
        <v>68</v>
      </c>
      <c r="J144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8000</v>
      </c>
      <c r="K1440" t="s">
        <v>160</v>
      </c>
    </row>
    <row r="1441" spans="1:11" x14ac:dyDescent="0.35">
      <c r="A1441" t="s">
        <v>305</v>
      </c>
      <c r="B1441" t="s">
        <v>384</v>
      </c>
      <c r="C1441" t="s">
        <v>385</v>
      </c>
      <c r="D1441">
        <v>40</v>
      </c>
      <c r="E1441" t="s">
        <v>205</v>
      </c>
      <c r="F1441">
        <v>2024</v>
      </c>
      <c r="G1441" t="str">
        <f>TRIM(RIGHT(Table156[[#This Row],[Item-Codigo]], LEN(Table156[[#This Row],[Item-Codigo]]) - FIND("|", CONCATENATE(B1441), FIND("|", CONCATENATE(B1441)) + 1)))</f>
        <v>KG</v>
      </c>
      <c r="H144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527.1</v>
      </c>
      <c r="I1441" s="40" t="s">
        <v>547</v>
      </c>
      <c r="J144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40000</v>
      </c>
      <c r="K1441" t="s">
        <v>1078</v>
      </c>
    </row>
    <row r="1442" spans="1:11" x14ac:dyDescent="0.35">
      <c r="A1442" t="s">
        <v>305</v>
      </c>
      <c r="B1442" t="s">
        <v>386</v>
      </c>
      <c r="C1442" t="s">
        <v>387</v>
      </c>
      <c r="D1442">
        <v>5.98</v>
      </c>
      <c r="E1442" t="s">
        <v>205</v>
      </c>
      <c r="F1442">
        <v>2024</v>
      </c>
      <c r="G1442" t="str">
        <f>TRIM(RIGHT(Table156[[#This Row],[Item-Codigo]], LEN(Table156[[#This Row],[Item-Codigo]]) - FIND("|", CONCATENATE(B1442), FIND("|", CONCATENATE(B1442)) + 1)))</f>
        <v>KG</v>
      </c>
      <c r="H144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110.2</v>
      </c>
      <c r="I1442" s="40" t="s">
        <v>522</v>
      </c>
      <c r="J144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5980</v>
      </c>
      <c r="K1442" t="s">
        <v>170</v>
      </c>
    </row>
    <row r="1443" spans="1:11" x14ac:dyDescent="0.35">
      <c r="A1443" t="s">
        <v>305</v>
      </c>
      <c r="B1443" t="s">
        <v>386</v>
      </c>
      <c r="C1443" t="s">
        <v>351</v>
      </c>
      <c r="D1443">
        <v>5.9</v>
      </c>
      <c r="E1443" t="s">
        <v>205</v>
      </c>
      <c r="F1443">
        <v>2024</v>
      </c>
      <c r="G1443" t="str">
        <f>TRIM(RIGHT(Table156[[#This Row],[Item-Codigo]], LEN(Table156[[#This Row],[Item-Codigo]]) - FIND("|", CONCATENATE(B1443), FIND("|", CONCATENATE(B1443)) + 1)))</f>
        <v>KG</v>
      </c>
      <c r="H144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110.2</v>
      </c>
      <c r="I1443" s="40" t="s">
        <v>522</v>
      </c>
      <c r="J144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5900</v>
      </c>
      <c r="K1443" t="s">
        <v>170</v>
      </c>
    </row>
    <row r="1444" spans="1:11" x14ac:dyDescent="0.35">
      <c r="A1444" t="s">
        <v>305</v>
      </c>
      <c r="B1444" t="s">
        <v>388</v>
      </c>
      <c r="C1444" t="s">
        <v>321</v>
      </c>
      <c r="D1444">
        <v>7.4</v>
      </c>
      <c r="E1444" t="s">
        <v>205</v>
      </c>
      <c r="F1444">
        <v>2024</v>
      </c>
      <c r="G1444" t="str">
        <f>TRIM(RIGHT(Table156[[#This Row],[Item-Codigo]], LEN(Table156[[#This Row],[Item-Codigo]]) - FIND("|", CONCATENATE(B1444), FIND("|", CONCATENATE(B1444)) + 1)))</f>
        <v>KG</v>
      </c>
      <c r="H144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1068</v>
      </c>
      <c r="I1444" s="40">
        <v>1068</v>
      </c>
      <c r="J144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7400</v>
      </c>
      <c r="K1444" t="s">
        <v>145</v>
      </c>
    </row>
    <row r="1445" spans="1:11" x14ac:dyDescent="0.35">
      <c r="A1445" t="s">
        <v>305</v>
      </c>
      <c r="B1445" t="s">
        <v>391</v>
      </c>
      <c r="C1445" t="s">
        <v>390</v>
      </c>
      <c r="D1445">
        <v>2</v>
      </c>
      <c r="E1445" t="s">
        <v>205</v>
      </c>
      <c r="F1445">
        <v>2024</v>
      </c>
      <c r="G1445" t="str">
        <f>TRIM(RIGHT(Table156[[#This Row],[Item-Codigo]], LEN(Table156[[#This Row],[Item-Codigo]]) - FIND("|", CONCATENATE(B1445), FIND("|", CONCATENATE(B1445)) + 1)))</f>
        <v>KG</v>
      </c>
      <c r="H144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810</v>
      </c>
      <c r="I1445" s="40">
        <v>810</v>
      </c>
      <c r="J144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2000</v>
      </c>
      <c r="K1445" t="s">
        <v>144</v>
      </c>
    </row>
    <row r="1446" spans="1:11" x14ac:dyDescent="0.35">
      <c r="A1446" t="s">
        <v>305</v>
      </c>
      <c r="B1446" t="s">
        <v>392</v>
      </c>
      <c r="C1446" t="s">
        <v>393</v>
      </c>
      <c r="D1446">
        <v>2.8</v>
      </c>
      <c r="E1446" t="s">
        <v>205</v>
      </c>
      <c r="F1446">
        <v>2024</v>
      </c>
      <c r="G1446" t="str">
        <f>TRIM(RIGHT(Table156[[#This Row],[Item-Codigo]], LEN(Table156[[#This Row],[Item-Codigo]]) - FIND("|", CONCATENATE(B1446), FIND("|", CONCATENATE(B1446)) + 1)))</f>
        <v>KG</v>
      </c>
      <c r="H144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170</v>
      </c>
      <c r="I1446" s="40">
        <v>170</v>
      </c>
      <c r="J144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2800</v>
      </c>
      <c r="K1446" t="s">
        <v>174</v>
      </c>
    </row>
    <row r="1447" spans="1:11" x14ac:dyDescent="0.35">
      <c r="A1447" t="s">
        <v>305</v>
      </c>
      <c r="B1447" t="s">
        <v>394</v>
      </c>
      <c r="C1447" t="s">
        <v>395</v>
      </c>
      <c r="D1447">
        <v>19.75</v>
      </c>
      <c r="E1447" t="s">
        <v>205</v>
      </c>
      <c r="F1447">
        <v>2024</v>
      </c>
      <c r="G1447" t="str">
        <f>TRIM(RIGHT(Table156[[#This Row],[Item-Codigo]], LEN(Table156[[#This Row],[Item-Codigo]]) - FIND("|", CONCATENATE(B1447), FIND("|", CONCATENATE(B1447)) + 1)))</f>
        <v>KG</v>
      </c>
      <c r="H144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</v>
      </c>
      <c r="I1447" s="40">
        <v>70</v>
      </c>
      <c r="J144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19750</v>
      </c>
      <c r="K1447" t="s">
        <v>159</v>
      </c>
    </row>
    <row r="1448" spans="1:11" x14ac:dyDescent="0.35">
      <c r="A1448" t="s">
        <v>305</v>
      </c>
      <c r="B1448" t="s">
        <v>396</v>
      </c>
      <c r="C1448" t="s">
        <v>345</v>
      </c>
      <c r="D1448">
        <v>13.4</v>
      </c>
      <c r="E1448" t="s">
        <v>205</v>
      </c>
      <c r="F1448">
        <v>2024</v>
      </c>
      <c r="G1448" t="str">
        <f>TRIM(RIGHT(Table156[[#This Row],[Item-Codigo]], LEN(Table156[[#This Row],[Item-Codigo]]) - FIND("|", CONCATENATE(B1448), FIND("|", CONCATENATE(B1448)) + 1)))</f>
        <v>KG</v>
      </c>
      <c r="H144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58</v>
      </c>
      <c r="I1448" s="40">
        <v>58</v>
      </c>
      <c r="J144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13400</v>
      </c>
      <c r="K1448" t="s">
        <v>172</v>
      </c>
    </row>
    <row r="1449" spans="1:11" x14ac:dyDescent="0.35">
      <c r="A1449" t="s">
        <v>305</v>
      </c>
      <c r="B1449" t="s">
        <v>397</v>
      </c>
      <c r="C1449" t="s">
        <v>327</v>
      </c>
      <c r="D1449">
        <v>9</v>
      </c>
      <c r="E1449" t="s">
        <v>205</v>
      </c>
      <c r="F1449">
        <v>2024</v>
      </c>
      <c r="G1449" t="str">
        <f>TRIM(RIGHT(Table156[[#This Row],[Item-Codigo]], LEN(Table156[[#This Row],[Item-Codigo]]) - FIND("|", CONCATENATE(B1449), FIND("|", CONCATENATE(B1449)) + 1)))</f>
        <v>KG</v>
      </c>
      <c r="H144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933</v>
      </c>
      <c r="I1449" s="40">
        <v>933</v>
      </c>
      <c r="J144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1449" t="s">
        <v>163</v>
      </c>
    </row>
    <row r="1450" spans="1:11" x14ac:dyDescent="0.35">
      <c r="A1450" t="s">
        <v>305</v>
      </c>
      <c r="B1450" t="s">
        <v>398</v>
      </c>
      <c r="C1450" t="s">
        <v>399</v>
      </c>
      <c r="D1450">
        <v>0.16492427940000001</v>
      </c>
      <c r="E1450" t="s">
        <v>205</v>
      </c>
      <c r="F1450">
        <v>2024</v>
      </c>
      <c r="G1450" t="str">
        <f>TRIM(RIGHT(Table156[[#This Row],[Item-Codigo]], LEN(Table156[[#This Row],[Item-Codigo]]) - FIND("|", CONCATENATE(B1450), FIND("|", CONCATENATE(B1450)) + 1)))</f>
        <v>KG</v>
      </c>
      <c r="H145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704</v>
      </c>
      <c r="I1450" s="40">
        <v>704</v>
      </c>
      <c r="J145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164.92427940000002</v>
      </c>
      <c r="K1450" t="s">
        <v>132</v>
      </c>
    </row>
    <row r="1451" spans="1:11" x14ac:dyDescent="0.35">
      <c r="A1451" t="s">
        <v>305</v>
      </c>
      <c r="B1451" t="s">
        <v>401</v>
      </c>
      <c r="C1451" t="s">
        <v>345</v>
      </c>
      <c r="D1451">
        <v>33.85</v>
      </c>
      <c r="E1451" t="s">
        <v>205</v>
      </c>
      <c r="F1451">
        <v>2024</v>
      </c>
      <c r="G1451" t="str">
        <f>TRIM(RIGHT(Table156[[#This Row],[Item-Codigo]], LEN(Table156[[#This Row],[Item-Codigo]]) - FIND("|", CONCATENATE(B1451), FIND("|", CONCATENATE(B1451)) + 1)))</f>
        <v>KG</v>
      </c>
      <c r="H145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1049</v>
      </c>
      <c r="I1451" s="40">
        <v>1049</v>
      </c>
      <c r="J145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33850</v>
      </c>
      <c r="K1451" t="s">
        <v>973</v>
      </c>
    </row>
    <row r="1452" spans="1:11" x14ac:dyDescent="0.35">
      <c r="A1452" t="s">
        <v>305</v>
      </c>
      <c r="B1452" t="s">
        <v>402</v>
      </c>
      <c r="C1452" t="s">
        <v>331</v>
      </c>
      <c r="D1452">
        <v>3</v>
      </c>
      <c r="E1452" t="s">
        <v>205</v>
      </c>
      <c r="F1452">
        <v>2024</v>
      </c>
      <c r="G1452" t="str">
        <f>TRIM(RIGHT(Table156[[#This Row],[Item-Codigo]], LEN(Table156[[#This Row],[Item-Codigo]]) - FIND("|", CONCATENATE(B1452), FIND("|", CONCATENATE(B1452)) + 1)))</f>
        <v>KG</v>
      </c>
      <c r="H145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716</v>
      </c>
      <c r="I1452" s="40">
        <v>716</v>
      </c>
      <c r="J145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3000</v>
      </c>
      <c r="K1452" t="s">
        <v>162</v>
      </c>
    </row>
    <row r="1453" spans="1:11" x14ac:dyDescent="0.35">
      <c r="A1453" t="s">
        <v>305</v>
      </c>
      <c r="B1453" t="s">
        <v>403</v>
      </c>
      <c r="C1453" t="s">
        <v>385</v>
      </c>
      <c r="D1453">
        <v>1.05</v>
      </c>
      <c r="E1453" t="s">
        <v>205</v>
      </c>
      <c r="F1453">
        <v>2024</v>
      </c>
      <c r="G1453" t="str">
        <f>TRIM(RIGHT(Table156[[#This Row],[Item-Codigo]], LEN(Table156[[#This Row],[Item-Codigo]]) - FIND("|", CONCATENATE(B1453), FIND("|", CONCATENATE(B1453)) + 1)))</f>
        <v>KG</v>
      </c>
      <c r="H145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497.5</v>
      </c>
      <c r="I1453" s="40" t="s">
        <v>540</v>
      </c>
      <c r="J145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1050</v>
      </c>
      <c r="K1453" t="s">
        <v>133</v>
      </c>
    </row>
    <row r="1454" spans="1:11" x14ac:dyDescent="0.35">
      <c r="A1454" t="s">
        <v>305</v>
      </c>
      <c r="B1454" t="s">
        <v>403</v>
      </c>
      <c r="C1454" t="s">
        <v>404</v>
      </c>
      <c r="D1454">
        <v>0.98</v>
      </c>
      <c r="E1454" t="s">
        <v>205</v>
      </c>
      <c r="F1454">
        <v>2024</v>
      </c>
      <c r="G1454" t="str">
        <f>TRIM(RIGHT(Table156[[#This Row],[Item-Codigo]], LEN(Table156[[#This Row],[Item-Codigo]]) - FIND("|", CONCATENATE(B1454), FIND("|", CONCATENATE(B1454)) + 1)))</f>
        <v>KG</v>
      </c>
      <c r="H145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497.5</v>
      </c>
      <c r="I1454" s="40" t="s">
        <v>540</v>
      </c>
      <c r="J145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980</v>
      </c>
      <c r="K1454" t="s">
        <v>133</v>
      </c>
    </row>
    <row r="1455" spans="1:11" x14ac:dyDescent="0.35">
      <c r="A1455" t="s">
        <v>305</v>
      </c>
      <c r="B1455" t="s">
        <v>405</v>
      </c>
      <c r="C1455" t="s">
        <v>215</v>
      </c>
      <c r="D1455">
        <v>805</v>
      </c>
      <c r="E1455" t="s">
        <v>205</v>
      </c>
      <c r="F1455">
        <v>2024</v>
      </c>
      <c r="G1455" t="str">
        <f>TRIM(RIGHT(Table156[[#This Row],[Item-Codigo]], LEN(Table156[[#This Row],[Item-Codigo]]) - FIND("|", CONCATENATE(B1455), FIND("|", CONCATENATE(B1455)) + 1)))</f>
        <v>TM</v>
      </c>
      <c r="H145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497.5</v>
      </c>
      <c r="I1455" s="40" t="s">
        <v>540</v>
      </c>
      <c r="J145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805</v>
      </c>
      <c r="K1455" t="s">
        <v>133</v>
      </c>
    </row>
    <row r="1456" spans="1:11" x14ac:dyDescent="0.35">
      <c r="A1456" t="s">
        <v>305</v>
      </c>
      <c r="B1456" t="s">
        <v>407</v>
      </c>
      <c r="C1456" t="s">
        <v>390</v>
      </c>
      <c r="D1456">
        <v>1.18</v>
      </c>
      <c r="E1456" t="s">
        <v>205</v>
      </c>
      <c r="F1456">
        <v>2024</v>
      </c>
      <c r="G1456" t="str">
        <f>TRIM(RIGHT(Table156[[#This Row],[Item-Codigo]], LEN(Table156[[#This Row],[Item-Codigo]]) - FIND("|", CONCATENATE(B1456), FIND("|", CONCATENATE(B1456)) + 1)))</f>
        <v>KG</v>
      </c>
      <c r="H145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46.5</v>
      </c>
      <c r="I1456" s="40" t="s">
        <v>535</v>
      </c>
      <c r="J145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1180</v>
      </c>
      <c r="K1456" t="s">
        <v>161</v>
      </c>
    </row>
    <row r="1457" spans="1:11" x14ac:dyDescent="0.35">
      <c r="A1457" t="s">
        <v>305</v>
      </c>
      <c r="B1457" t="s">
        <v>409</v>
      </c>
      <c r="C1457" t="s">
        <v>215</v>
      </c>
      <c r="D1457">
        <v>1.61</v>
      </c>
      <c r="E1457" t="s">
        <v>205</v>
      </c>
      <c r="F1457">
        <v>2024</v>
      </c>
      <c r="G1457" t="str">
        <f>TRIM(RIGHT(Table156[[#This Row],[Item-Codigo]], LEN(Table156[[#This Row],[Item-Codigo]]) - FIND("|", CONCATENATE(B1457), FIND("|", CONCATENATE(B1457)) + 1)))</f>
        <v>TM</v>
      </c>
      <c r="H145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379</v>
      </c>
      <c r="I1457" s="40">
        <v>379</v>
      </c>
      <c r="J145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1.61</v>
      </c>
      <c r="K1457" t="s">
        <v>139</v>
      </c>
    </row>
    <row r="1458" spans="1:11" x14ac:dyDescent="0.35">
      <c r="A1458" t="s">
        <v>305</v>
      </c>
      <c r="B1458" t="s">
        <v>410</v>
      </c>
      <c r="C1458" t="s">
        <v>385</v>
      </c>
      <c r="D1458">
        <v>4</v>
      </c>
      <c r="E1458" t="s">
        <v>205</v>
      </c>
      <c r="F1458">
        <v>2024</v>
      </c>
      <c r="G1458" t="str">
        <f>TRIM(RIGHT(Table156[[#This Row],[Item-Codigo]], LEN(Table156[[#This Row],[Item-Codigo]]) - FIND("|", CONCATENATE(B1458), FIND("|", CONCATENATE(B1458)) + 1)))</f>
        <v>KG</v>
      </c>
      <c r="H145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508</v>
      </c>
      <c r="I1458" s="40">
        <v>508</v>
      </c>
      <c r="J145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</v>
      </c>
      <c r="K1458" t="s">
        <v>154</v>
      </c>
    </row>
    <row r="1459" spans="1:11" x14ac:dyDescent="0.35">
      <c r="A1459" t="s">
        <v>305</v>
      </c>
      <c r="B1459" t="s">
        <v>411</v>
      </c>
      <c r="C1459" t="s">
        <v>215</v>
      </c>
      <c r="D1459">
        <v>2285</v>
      </c>
      <c r="E1459" t="s">
        <v>205</v>
      </c>
      <c r="F1459">
        <v>2024</v>
      </c>
      <c r="G1459" t="str">
        <f>TRIM(RIGHT(Table156[[#This Row],[Item-Codigo]], LEN(Table156[[#This Row],[Item-Codigo]]) - FIND("|", CONCATENATE(B1459), FIND("|", CONCATENATE(B1459)) + 1)))</f>
        <v>TM</v>
      </c>
      <c r="H145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508</v>
      </c>
      <c r="I1459" s="40">
        <v>508</v>
      </c>
      <c r="J145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2285</v>
      </c>
      <c r="K1459" t="s">
        <v>154</v>
      </c>
    </row>
    <row r="1460" spans="1:11" x14ac:dyDescent="0.35">
      <c r="A1460" t="s">
        <v>305</v>
      </c>
      <c r="B1460" t="s">
        <v>412</v>
      </c>
      <c r="C1460" t="s">
        <v>348</v>
      </c>
      <c r="D1460">
        <v>29</v>
      </c>
      <c r="E1460" t="s">
        <v>205</v>
      </c>
      <c r="F1460">
        <v>2024</v>
      </c>
      <c r="G1460" t="str">
        <f>TRIM(RIGHT(Table156[[#This Row],[Item-Codigo]], LEN(Table156[[#This Row],[Item-Codigo]]) - FIND("|", CONCATENATE(B1460), FIND("|", CONCATENATE(B1460)) + 1)))</f>
        <v>KG</v>
      </c>
      <c r="H146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981.2</v>
      </c>
      <c r="I1460" s="40" t="s">
        <v>556</v>
      </c>
      <c r="J146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29000</v>
      </c>
      <c r="K1460" t="s">
        <v>171</v>
      </c>
    </row>
    <row r="1461" spans="1:11" x14ac:dyDescent="0.35">
      <c r="A1461" t="s">
        <v>305</v>
      </c>
      <c r="B1461" t="s">
        <v>414</v>
      </c>
      <c r="C1461" t="s">
        <v>415</v>
      </c>
      <c r="D1461">
        <v>6.96</v>
      </c>
      <c r="E1461" t="s">
        <v>205</v>
      </c>
      <c r="F1461">
        <v>2024</v>
      </c>
      <c r="G1461" t="str">
        <f>TRIM(RIGHT(Table156[[#This Row],[Item-Codigo]], LEN(Table156[[#This Row],[Item-Codigo]]) - FIND("|", CONCATENATE(B1461), FIND("|", CONCATENATE(B1461)) + 1)))</f>
        <v>KG</v>
      </c>
      <c r="H146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455.3</v>
      </c>
      <c r="I1461" s="40" t="s">
        <v>532</v>
      </c>
      <c r="J146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6960</v>
      </c>
      <c r="K1461" t="s">
        <v>150</v>
      </c>
    </row>
    <row r="1462" spans="1:11" x14ac:dyDescent="0.35">
      <c r="A1462" t="s">
        <v>305</v>
      </c>
      <c r="B1462" t="s">
        <v>416</v>
      </c>
      <c r="C1462" t="s">
        <v>323</v>
      </c>
      <c r="D1462">
        <v>2.25</v>
      </c>
      <c r="E1462" t="s">
        <v>205</v>
      </c>
      <c r="F1462">
        <v>2024</v>
      </c>
      <c r="G1462" t="str">
        <f>TRIM(RIGHT(Table156[[#This Row],[Item-Codigo]], LEN(Table156[[#This Row],[Item-Codigo]]) - FIND("|", CONCATENATE(B1462), FIND("|", CONCATENATE(B1462)) + 1)))</f>
        <v>KG</v>
      </c>
      <c r="H146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1007.5</v>
      </c>
      <c r="I1462" s="40" t="s">
        <v>495</v>
      </c>
      <c r="J146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2250</v>
      </c>
      <c r="K1462" t="s">
        <v>141</v>
      </c>
    </row>
    <row r="1463" spans="1:11" x14ac:dyDescent="0.35">
      <c r="A1463" t="s">
        <v>305</v>
      </c>
      <c r="B1463" t="s">
        <v>417</v>
      </c>
      <c r="C1463" t="s">
        <v>365</v>
      </c>
      <c r="D1463">
        <v>6</v>
      </c>
      <c r="E1463" t="s">
        <v>205</v>
      </c>
      <c r="F1463">
        <v>2024</v>
      </c>
      <c r="G1463" t="str">
        <f>TRIM(RIGHT(Table156[[#This Row],[Item-Codigo]], LEN(Table156[[#This Row],[Item-Codigo]]) - FIND("|", CONCATENATE(B1463), FIND("|", CONCATENATE(B1463)) + 1)))</f>
        <v>KG</v>
      </c>
      <c r="H146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461</v>
      </c>
      <c r="I1463" s="40">
        <v>461</v>
      </c>
      <c r="J146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1463" t="s">
        <v>176</v>
      </c>
    </row>
    <row r="1464" spans="1:11" x14ac:dyDescent="0.35">
      <c r="A1464" t="s">
        <v>680</v>
      </c>
      <c r="B1464" t="s">
        <v>1022</v>
      </c>
      <c r="C1464" t="s">
        <v>874</v>
      </c>
      <c r="D1464">
        <v>1.2500000000000001E-2</v>
      </c>
      <c r="E1464" t="s">
        <v>205</v>
      </c>
      <c r="F1464">
        <v>2024</v>
      </c>
      <c r="G1464" t="str">
        <f>TRIM(RIGHT(Table156[[#This Row],[Item-Codigo]], LEN(Table156[[#This Row],[Item-Codigo]]) - FIND("|", CONCATENATE(B1464), FIND("|", CONCATENATE(B1464)) + 1)))</f>
        <v>UND</v>
      </c>
      <c r="H146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5400</v>
      </c>
      <c r="I1464" s="40">
        <v>5400</v>
      </c>
      <c r="J146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464" t="s">
        <v>780</v>
      </c>
    </row>
    <row r="1465" spans="1:11" x14ac:dyDescent="0.35">
      <c r="A1465" t="s">
        <v>680</v>
      </c>
      <c r="B1465" t="s">
        <v>1023</v>
      </c>
      <c r="C1465" t="s">
        <v>874</v>
      </c>
      <c r="D1465">
        <v>1.2500000000000001E-2</v>
      </c>
      <c r="E1465" t="s">
        <v>205</v>
      </c>
      <c r="F1465">
        <v>2024</v>
      </c>
      <c r="G1465" t="str">
        <f>TRIM(RIGHT(Table156[[#This Row],[Item-Codigo]], LEN(Table156[[#This Row],[Item-Codigo]]) - FIND("|", CONCATENATE(B1465), FIND("|", CONCATENATE(B1465)) + 1)))</f>
        <v>UND</v>
      </c>
      <c r="H146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5402</v>
      </c>
      <c r="I1465" s="40">
        <v>5402</v>
      </c>
      <c r="J146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465" t="s">
        <v>784</v>
      </c>
    </row>
    <row r="1466" spans="1:11" x14ac:dyDescent="0.35">
      <c r="A1466" t="s">
        <v>680</v>
      </c>
      <c r="B1466" t="s">
        <v>1026</v>
      </c>
      <c r="C1466" t="s">
        <v>874</v>
      </c>
      <c r="D1466">
        <v>1.2500000000000001E-2</v>
      </c>
      <c r="E1466" t="s">
        <v>205</v>
      </c>
      <c r="F1466">
        <v>2024</v>
      </c>
      <c r="G1466" t="str">
        <f>TRIM(RIGHT(Table156[[#This Row],[Item-Codigo]], LEN(Table156[[#This Row],[Item-Codigo]]) - FIND("|", CONCATENATE(B1466), FIND("|", CONCATENATE(B1466)) + 1)))</f>
        <v>UND</v>
      </c>
      <c r="H146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5200</v>
      </c>
      <c r="I1466" s="40">
        <v>5200</v>
      </c>
      <c r="J146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466" t="s">
        <v>805</v>
      </c>
    </row>
    <row r="1467" spans="1:11" x14ac:dyDescent="0.35">
      <c r="A1467" t="s">
        <v>680</v>
      </c>
      <c r="B1467" t="s">
        <v>1027</v>
      </c>
      <c r="C1467" t="s">
        <v>874</v>
      </c>
      <c r="D1467">
        <v>1.2500000000000001E-2</v>
      </c>
      <c r="E1467" t="s">
        <v>205</v>
      </c>
      <c r="F1467">
        <v>2024</v>
      </c>
      <c r="G1467" t="str">
        <f>TRIM(RIGHT(Table156[[#This Row],[Item-Codigo]], LEN(Table156[[#This Row],[Item-Codigo]]) - FIND("|", CONCATENATE(B1467), FIND("|", CONCATENATE(B1467)) + 1)))</f>
        <v>UND</v>
      </c>
      <c r="H146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5302</v>
      </c>
      <c r="I1467" s="40">
        <v>5302</v>
      </c>
      <c r="J146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467" t="s">
        <v>778</v>
      </c>
    </row>
    <row r="1468" spans="1:11" x14ac:dyDescent="0.35">
      <c r="A1468" t="s">
        <v>680</v>
      </c>
      <c r="B1468" t="s">
        <v>1012</v>
      </c>
      <c r="C1468" t="s">
        <v>874</v>
      </c>
      <c r="D1468">
        <v>1.2500000000000001E-2</v>
      </c>
      <c r="E1468" t="s">
        <v>205</v>
      </c>
      <c r="F1468">
        <v>2024</v>
      </c>
      <c r="G1468" t="str">
        <f>TRIM(RIGHT(Table156[[#This Row],[Item-Codigo]], LEN(Table156[[#This Row],[Item-Codigo]]) - FIND("|", CONCATENATE(B1468), FIND("|", CONCATENATE(B1468)) + 1)))</f>
        <v>UND</v>
      </c>
      <c r="H146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4200</v>
      </c>
      <c r="I1468" s="40">
        <v>4200</v>
      </c>
      <c r="J146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468" t="s">
        <v>790</v>
      </c>
    </row>
    <row r="1469" spans="1:11" x14ac:dyDescent="0.35">
      <c r="A1469" t="s">
        <v>680</v>
      </c>
      <c r="B1469" t="s">
        <v>1013</v>
      </c>
      <c r="C1469" t="s">
        <v>874</v>
      </c>
      <c r="D1469">
        <v>1.2500000000000001E-2</v>
      </c>
      <c r="E1469" t="s">
        <v>205</v>
      </c>
      <c r="F1469">
        <v>2024</v>
      </c>
      <c r="G1469" t="str">
        <f>TRIM(RIGHT(Table156[[#This Row],[Item-Codigo]], LEN(Table156[[#This Row],[Item-Codigo]]) - FIND("|", CONCATENATE(B1469), FIND("|", CONCATENATE(B1469)) + 1)))</f>
        <v>UND</v>
      </c>
      <c r="H146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4300</v>
      </c>
      <c r="I1469" s="40">
        <v>4300</v>
      </c>
      <c r="J146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469" t="s">
        <v>787</v>
      </c>
    </row>
    <row r="1470" spans="1:11" x14ac:dyDescent="0.35">
      <c r="A1470" t="s">
        <v>680</v>
      </c>
      <c r="B1470" t="s">
        <v>1029</v>
      </c>
      <c r="C1470" t="s">
        <v>874</v>
      </c>
      <c r="D1470">
        <v>1.2500000000000001E-2</v>
      </c>
      <c r="E1470" t="s">
        <v>205</v>
      </c>
      <c r="F1470">
        <v>2024</v>
      </c>
      <c r="G1470" t="str">
        <f>TRIM(RIGHT(Table156[[#This Row],[Item-Codigo]], LEN(Table156[[#This Row],[Item-Codigo]]) - FIND("|", CONCATENATE(B1470), FIND("|", CONCATENATE(B1470)) + 1)))</f>
        <v>UND</v>
      </c>
      <c r="H147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4301</v>
      </c>
      <c r="I1470" s="40">
        <v>4301</v>
      </c>
      <c r="J147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470" t="s">
        <v>1029</v>
      </c>
    </row>
    <row r="1471" spans="1:11" x14ac:dyDescent="0.35">
      <c r="A1471" t="s">
        <v>680</v>
      </c>
      <c r="B1471" t="s">
        <v>1030</v>
      </c>
      <c r="C1471" t="s">
        <v>874</v>
      </c>
      <c r="D1471">
        <v>1.2500000000000001E-2</v>
      </c>
      <c r="E1471" t="s">
        <v>205</v>
      </c>
      <c r="F1471">
        <v>2024</v>
      </c>
      <c r="G1471" t="str">
        <f>TRIM(RIGHT(Table156[[#This Row],[Item-Codigo]], LEN(Table156[[#This Row],[Item-Codigo]]) - FIND("|", CONCATENATE(B1471), FIND("|", CONCATENATE(B1471)) + 1)))</f>
        <v>UND</v>
      </c>
      <c r="H147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4101</v>
      </c>
      <c r="I1471" s="40">
        <v>4101</v>
      </c>
      <c r="J147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471" t="s">
        <v>811</v>
      </c>
    </row>
    <row r="1472" spans="1:11" x14ac:dyDescent="0.35">
      <c r="A1472" t="s">
        <v>680</v>
      </c>
      <c r="B1472" t="s">
        <v>1031</v>
      </c>
      <c r="C1472" t="s">
        <v>874</v>
      </c>
      <c r="D1472">
        <v>1.2500000000000001E-2</v>
      </c>
      <c r="E1472" t="s">
        <v>205</v>
      </c>
      <c r="F1472">
        <v>2024</v>
      </c>
      <c r="G1472" t="str">
        <f>TRIM(RIGHT(Table156[[#This Row],[Item-Codigo]], LEN(Table156[[#This Row],[Item-Codigo]]) - FIND("|", CONCATENATE(B1472), FIND("|", CONCATENATE(B1472)) + 1)))</f>
        <v>UND</v>
      </c>
      <c r="H147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3411</v>
      </c>
      <c r="I1472" s="40">
        <v>3411</v>
      </c>
      <c r="J147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472" t="s">
        <v>971</v>
      </c>
    </row>
    <row r="1473" spans="1:11" x14ac:dyDescent="0.35">
      <c r="A1473" t="s">
        <v>680</v>
      </c>
      <c r="B1473" t="s">
        <v>1033</v>
      </c>
      <c r="C1473" t="s">
        <v>874</v>
      </c>
      <c r="D1473">
        <v>1.2500000000000001E-2</v>
      </c>
      <c r="E1473" t="s">
        <v>205</v>
      </c>
      <c r="F1473">
        <v>2024</v>
      </c>
      <c r="G1473" t="str">
        <f>TRIM(RIGHT(Table156[[#This Row],[Item-Codigo]], LEN(Table156[[#This Row],[Item-Codigo]]) - FIND("|", CONCATENATE(B1473), FIND("|", CONCATENATE(B1473)) + 1)))</f>
        <v>UND</v>
      </c>
      <c r="H147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3110</v>
      </c>
      <c r="I1473" s="40">
        <v>3110</v>
      </c>
      <c r="J147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473" t="s">
        <v>788</v>
      </c>
    </row>
    <row r="1474" spans="1:11" x14ac:dyDescent="0.35">
      <c r="A1474" t="s">
        <v>680</v>
      </c>
      <c r="B1474" t="s">
        <v>1016</v>
      </c>
      <c r="C1474" t="s">
        <v>874</v>
      </c>
      <c r="D1474">
        <v>1.2500000000000001E-2</v>
      </c>
      <c r="E1474" t="s">
        <v>205</v>
      </c>
      <c r="F1474">
        <v>2024</v>
      </c>
      <c r="G1474" t="str">
        <f>TRIM(RIGHT(Table156[[#This Row],[Item-Codigo]], LEN(Table156[[#This Row],[Item-Codigo]]) - FIND("|", CONCATENATE(B1474), FIND("|", CONCATENATE(B1474)) + 1)))</f>
        <v>UND</v>
      </c>
      <c r="H147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2434</v>
      </c>
      <c r="I1474" s="40">
        <v>2434</v>
      </c>
      <c r="J147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474" t="s">
        <v>777</v>
      </c>
    </row>
    <row r="1475" spans="1:11" x14ac:dyDescent="0.35">
      <c r="A1475" t="s">
        <v>680</v>
      </c>
      <c r="B1475" t="s">
        <v>1038</v>
      </c>
      <c r="C1475" t="s">
        <v>874</v>
      </c>
      <c r="D1475">
        <v>4.8000000000000001E-2</v>
      </c>
      <c r="E1475" t="s">
        <v>205</v>
      </c>
      <c r="F1475">
        <v>2024</v>
      </c>
      <c r="G1475" t="str">
        <f>TRIM(RIGHT(Table156[[#This Row],[Item-Codigo]], LEN(Table156[[#This Row],[Item-Codigo]]) - FIND("|", CONCATENATE(B1475), FIND("|", CONCATENATE(B1475)) + 1)))</f>
        <v>UND</v>
      </c>
      <c r="H147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6202-FER</v>
      </c>
      <c r="I1475" s="40" t="s">
        <v>549</v>
      </c>
      <c r="J147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4.8000000000000001E-2</v>
      </c>
      <c r="K1475" t="s">
        <v>792</v>
      </c>
    </row>
    <row r="1476" spans="1:11" x14ac:dyDescent="0.35">
      <c r="A1476" t="s">
        <v>680</v>
      </c>
      <c r="B1476" t="s">
        <v>1039</v>
      </c>
      <c r="C1476" t="s">
        <v>874</v>
      </c>
      <c r="D1476">
        <v>4.8000000000000001E-2</v>
      </c>
      <c r="E1476" t="s">
        <v>205</v>
      </c>
      <c r="F1476">
        <v>2024</v>
      </c>
      <c r="G1476" t="str">
        <f>TRIM(RIGHT(Table156[[#This Row],[Item-Codigo]], LEN(Table156[[#This Row],[Item-Codigo]]) - FIND("|", CONCATENATE(B1476), FIND("|", CONCATENATE(B1476)) + 1)))</f>
        <v>UND</v>
      </c>
      <c r="H147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6102-FER</v>
      </c>
      <c r="I1476" s="40" t="s">
        <v>548</v>
      </c>
      <c r="J147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4.8000000000000001E-2</v>
      </c>
      <c r="K1476" t="s">
        <v>802</v>
      </c>
    </row>
    <row r="1477" spans="1:11" x14ac:dyDescent="0.35">
      <c r="A1477" t="s">
        <v>196</v>
      </c>
      <c r="B1477" t="s">
        <v>993</v>
      </c>
      <c r="C1477" t="s">
        <v>238</v>
      </c>
      <c r="D1477">
        <v>1104.8059190304</v>
      </c>
      <c r="E1477" t="s">
        <v>820</v>
      </c>
      <c r="F1477">
        <v>2024</v>
      </c>
      <c r="G1477" t="str">
        <f>TRIM(RIGHT(Table156[[#This Row],[Item-Codigo]], LEN(Table156[[#This Row],[Item-Codigo]]) - FIND("|", CONCATENATE(B1477), FIND("|", CONCATENATE(B1477)) + 1)))</f>
        <v>TM</v>
      </c>
      <c r="H147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1477" s="40">
        <v>116</v>
      </c>
      <c r="J147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1104.8059190304</v>
      </c>
      <c r="K1477" t="s">
        <v>99</v>
      </c>
    </row>
    <row r="1478" spans="1:11" x14ac:dyDescent="0.35">
      <c r="A1478" t="s">
        <v>196</v>
      </c>
      <c r="B1478" t="s">
        <v>993</v>
      </c>
      <c r="C1478" t="s">
        <v>239</v>
      </c>
      <c r="D1478">
        <v>1159.4319651886999</v>
      </c>
      <c r="E1478" t="s">
        <v>820</v>
      </c>
      <c r="F1478">
        <v>2024</v>
      </c>
      <c r="G1478" t="str">
        <f>TRIM(RIGHT(Table156[[#This Row],[Item-Codigo]], LEN(Table156[[#This Row],[Item-Codigo]]) - FIND("|", CONCATENATE(B1478), FIND("|", CONCATENATE(B1478)) + 1)))</f>
        <v>TM</v>
      </c>
      <c r="H147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1478" s="40">
        <v>116</v>
      </c>
      <c r="J147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1159.4319651886999</v>
      </c>
      <c r="K1478" t="s">
        <v>99</v>
      </c>
    </row>
    <row r="1479" spans="1:11" x14ac:dyDescent="0.35">
      <c r="A1479" t="s">
        <v>198</v>
      </c>
      <c r="B1479" t="s">
        <v>219</v>
      </c>
      <c r="C1479" t="s">
        <v>221</v>
      </c>
      <c r="D1479">
        <v>946.66666666666697</v>
      </c>
      <c r="E1479" t="s">
        <v>820</v>
      </c>
      <c r="F1479">
        <v>2024</v>
      </c>
      <c r="G1479" t="str">
        <f>TRIM(RIGHT(Table156[[#This Row],[Item-Codigo]], LEN(Table156[[#This Row],[Item-Codigo]]) - FIND("|", CONCATENATE(B1479), FIND("|", CONCATENATE(B1479)) + 1)))</f>
        <v>TM</v>
      </c>
      <c r="H147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479" s="40">
        <v>42</v>
      </c>
      <c r="J147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946.66666666666697</v>
      </c>
      <c r="K1479" t="s">
        <v>94</v>
      </c>
    </row>
    <row r="1480" spans="1:11" x14ac:dyDescent="0.35">
      <c r="A1480" t="s">
        <v>198</v>
      </c>
      <c r="B1480" t="s">
        <v>219</v>
      </c>
      <c r="C1480" t="s">
        <v>222</v>
      </c>
      <c r="D1480">
        <v>945</v>
      </c>
      <c r="E1480" t="s">
        <v>820</v>
      </c>
      <c r="F1480">
        <v>2024</v>
      </c>
      <c r="G1480" t="str">
        <f>TRIM(RIGHT(Table156[[#This Row],[Item-Codigo]], LEN(Table156[[#This Row],[Item-Codigo]]) - FIND("|", CONCATENATE(B1480), FIND("|", CONCATENATE(B1480)) + 1)))</f>
        <v>TM</v>
      </c>
      <c r="H148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480" s="40">
        <v>42</v>
      </c>
      <c r="J148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945</v>
      </c>
      <c r="K1480" t="s">
        <v>94</v>
      </c>
    </row>
    <row r="1481" spans="1:11" x14ac:dyDescent="0.35">
      <c r="A1481" t="s">
        <v>198</v>
      </c>
      <c r="B1481" t="s">
        <v>224</v>
      </c>
      <c r="C1481" t="s">
        <v>223</v>
      </c>
      <c r="D1481">
        <v>1750</v>
      </c>
      <c r="E1481" t="s">
        <v>820</v>
      </c>
      <c r="F1481">
        <v>2024</v>
      </c>
      <c r="G1481" t="str">
        <f>TRIM(RIGHT(Table156[[#This Row],[Item-Codigo]], LEN(Table156[[#This Row],[Item-Codigo]]) - FIND("|", CONCATENATE(B1481), FIND("|", CONCATENATE(B1481)) + 1)))</f>
        <v>TM</v>
      </c>
      <c r="H148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40</v>
      </c>
      <c r="I1481" s="40">
        <v>40</v>
      </c>
      <c r="J148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1750</v>
      </c>
      <c r="K1481" t="s">
        <v>95</v>
      </c>
    </row>
    <row r="1482" spans="1:11" x14ac:dyDescent="0.35">
      <c r="A1482" t="s">
        <v>198</v>
      </c>
      <c r="B1482" t="s">
        <v>228</v>
      </c>
      <c r="C1482" t="s">
        <v>218</v>
      </c>
      <c r="D1482">
        <v>317.67094535119998</v>
      </c>
      <c r="E1482" t="s">
        <v>820</v>
      </c>
      <c r="F1482">
        <v>2024</v>
      </c>
      <c r="G1482" t="str">
        <f>TRIM(RIGHT(Table156[[#This Row],[Item-Codigo]], LEN(Table156[[#This Row],[Item-Codigo]]) - FIND("|", CONCATENATE(B1482), FIND("|", CONCATENATE(B1482)) + 1)))</f>
        <v>TM</v>
      </c>
      <c r="H148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1482" s="40">
        <v>200</v>
      </c>
      <c r="J148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317.67094535119998</v>
      </c>
      <c r="K1482" t="s">
        <v>97</v>
      </c>
    </row>
    <row r="1483" spans="1:11" x14ac:dyDescent="0.35">
      <c r="A1483" t="s">
        <v>198</v>
      </c>
      <c r="B1483" t="s">
        <v>232</v>
      </c>
      <c r="C1483" t="s">
        <v>231</v>
      </c>
      <c r="D1483">
        <v>46</v>
      </c>
      <c r="E1483" t="s">
        <v>820</v>
      </c>
      <c r="F1483">
        <v>2024</v>
      </c>
      <c r="G1483" t="str">
        <f>TRIM(RIGHT(Table156[[#This Row],[Item-Codigo]], LEN(Table156[[#This Row],[Item-Codigo]]) - FIND("|", CONCATENATE(B1483), FIND("|", CONCATENATE(B1483)) + 1)))</f>
        <v>TM</v>
      </c>
      <c r="H148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1483" s="40">
        <v>701</v>
      </c>
      <c r="J148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46</v>
      </c>
      <c r="K1483" t="s">
        <v>98</v>
      </c>
    </row>
    <row r="1484" spans="1:11" x14ac:dyDescent="0.35">
      <c r="A1484" t="s">
        <v>198</v>
      </c>
      <c r="B1484" t="s">
        <v>233</v>
      </c>
      <c r="C1484" t="s">
        <v>235</v>
      </c>
      <c r="D1484">
        <v>1550</v>
      </c>
      <c r="E1484" t="s">
        <v>820</v>
      </c>
      <c r="F1484">
        <v>2024</v>
      </c>
      <c r="G1484" t="str">
        <f>TRIM(RIGHT(Table156[[#This Row],[Item-Codigo]], LEN(Table156[[#This Row],[Item-Codigo]]) - FIND("|", CONCATENATE(B1484), FIND("|", CONCATENATE(B1484)) + 1)))</f>
        <v>TM</v>
      </c>
      <c r="H148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156.4</v>
      </c>
      <c r="I1484" s="40" t="s">
        <v>524</v>
      </c>
      <c r="J148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1550</v>
      </c>
      <c r="K1484" t="s">
        <v>977</v>
      </c>
    </row>
    <row r="1485" spans="1:11" x14ac:dyDescent="0.35">
      <c r="A1485" t="s">
        <v>198</v>
      </c>
      <c r="B1485" t="s">
        <v>240</v>
      </c>
      <c r="C1485" t="s">
        <v>215</v>
      </c>
      <c r="D1485">
        <v>780.28395378690004</v>
      </c>
      <c r="E1485" t="s">
        <v>820</v>
      </c>
      <c r="F1485">
        <v>2024</v>
      </c>
      <c r="G1485" t="str">
        <f>TRIM(RIGHT(Table156[[#This Row],[Item-Codigo]], LEN(Table156[[#This Row],[Item-Codigo]]) - FIND("|", CONCATENATE(B1485), FIND("|", CONCATENATE(B1485)) + 1)))</f>
        <v>TM</v>
      </c>
      <c r="H148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111</v>
      </c>
      <c r="I1485" s="40">
        <v>111</v>
      </c>
      <c r="J148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780.28395378690004</v>
      </c>
      <c r="K1485" t="s">
        <v>184</v>
      </c>
    </row>
    <row r="1486" spans="1:11" x14ac:dyDescent="0.35">
      <c r="A1486" t="s">
        <v>198</v>
      </c>
      <c r="B1486" t="s">
        <v>199</v>
      </c>
      <c r="C1486" t="s">
        <v>201</v>
      </c>
      <c r="D1486">
        <v>16.7900108253857</v>
      </c>
      <c r="E1486" t="s">
        <v>820</v>
      </c>
      <c r="F1486">
        <v>2024</v>
      </c>
      <c r="G1486" t="str">
        <f>TRIM(RIGHT(Table156[[#This Row],[Item-Codigo]], LEN(Table156[[#This Row],[Item-Codigo]]) - FIND("|", CONCATENATE(B1486), FIND("|", CONCATENATE(B1486)) + 1)))</f>
        <v>QQ</v>
      </c>
      <c r="H148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1486" s="40">
        <v>1</v>
      </c>
      <c r="J1486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369.38023815848538</v>
      </c>
      <c r="K1486" t="s">
        <v>182</v>
      </c>
    </row>
    <row r="1487" spans="1:11" x14ac:dyDescent="0.35">
      <c r="A1487" t="s">
        <v>198</v>
      </c>
      <c r="B1487" t="s">
        <v>199</v>
      </c>
      <c r="C1487" t="s">
        <v>203</v>
      </c>
      <c r="D1487">
        <v>16.7900032685077</v>
      </c>
      <c r="E1487" t="s">
        <v>820</v>
      </c>
      <c r="F1487">
        <v>2024</v>
      </c>
      <c r="G1487" t="str">
        <f>TRIM(RIGHT(Table156[[#This Row],[Item-Codigo]], LEN(Table156[[#This Row],[Item-Codigo]]) - FIND("|", CONCATENATE(B1487), FIND("|", CONCATENATE(B1487)) + 1)))</f>
        <v>QQ</v>
      </c>
      <c r="H148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1487" s="40">
        <v>1</v>
      </c>
      <c r="J1487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369.38007190716939</v>
      </c>
      <c r="K1487" t="s">
        <v>182</v>
      </c>
    </row>
    <row r="1488" spans="1:11" x14ac:dyDescent="0.35">
      <c r="A1488" t="s">
        <v>198</v>
      </c>
      <c r="B1488" t="s">
        <v>245</v>
      </c>
      <c r="C1488" t="s">
        <v>851</v>
      </c>
      <c r="D1488">
        <v>230</v>
      </c>
      <c r="E1488" t="s">
        <v>820</v>
      </c>
      <c r="F1488">
        <v>2024</v>
      </c>
      <c r="G1488" t="str">
        <f>TRIM(RIGHT(Table156[[#This Row],[Item-Codigo]], LEN(Table156[[#This Row],[Item-Codigo]]) - FIND("|", CONCATENATE(B1488), FIND("|", CONCATENATE(B1488)) + 1)))</f>
        <v>TM</v>
      </c>
      <c r="H148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14</v>
      </c>
      <c r="I1488" s="40">
        <v>14</v>
      </c>
      <c r="J148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230</v>
      </c>
      <c r="K1488" t="s">
        <v>187</v>
      </c>
    </row>
    <row r="1489" spans="1:11" x14ac:dyDescent="0.35">
      <c r="A1489" t="s">
        <v>198</v>
      </c>
      <c r="B1489" t="s">
        <v>854</v>
      </c>
      <c r="C1489" t="s">
        <v>248</v>
      </c>
      <c r="D1489">
        <v>308.64962238273301</v>
      </c>
      <c r="E1489" t="s">
        <v>820</v>
      </c>
      <c r="F1489">
        <v>2024</v>
      </c>
      <c r="G1489" t="str">
        <f>TRIM(RIGHT(Table156[[#This Row],[Item-Codigo]], LEN(Table156[[#This Row],[Item-Codigo]]) - FIND("|", CONCATENATE(B1489), FIND("|", CONCATENATE(B1489)) + 1)))</f>
        <v>TM</v>
      </c>
      <c r="H148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214</v>
      </c>
      <c r="I1489" s="40">
        <v>214</v>
      </c>
      <c r="J148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308.64962238273301</v>
      </c>
      <c r="K1489" t="s">
        <v>186</v>
      </c>
    </row>
    <row r="1490" spans="1:11" x14ac:dyDescent="0.35">
      <c r="A1490" t="s">
        <v>198</v>
      </c>
      <c r="B1490" t="s">
        <v>207</v>
      </c>
      <c r="C1490" t="s">
        <v>994</v>
      </c>
      <c r="D1490">
        <v>12.999979734849999</v>
      </c>
      <c r="E1490" t="s">
        <v>820</v>
      </c>
      <c r="F1490">
        <v>2024</v>
      </c>
      <c r="G1490" t="str">
        <f>TRIM(RIGHT(Table156[[#This Row],[Item-Codigo]], LEN(Table156[[#This Row],[Item-Codigo]]) - FIND("|", CONCATENATE(B1490), FIND("|", CONCATENATE(B1490)) + 1)))</f>
        <v>QQ</v>
      </c>
      <c r="H149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490" s="40">
        <v>410</v>
      </c>
      <c r="J1490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285.99955416669997</v>
      </c>
      <c r="K1490" t="s">
        <v>183</v>
      </c>
    </row>
    <row r="1491" spans="1:11" x14ac:dyDescent="0.35">
      <c r="A1491" t="s">
        <v>198</v>
      </c>
      <c r="B1491" t="s">
        <v>207</v>
      </c>
      <c r="C1491" t="s">
        <v>201</v>
      </c>
      <c r="D1491">
        <v>13.999948850199999</v>
      </c>
      <c r="E1491" t="s">
        <v>820</v>
      </c>
      <c r="F1491">
        <v>2024</v>
      </c>
      <c r="G1491" t="str">
        <f>TRIM(RIGHT(Table156[[#This Row],[Item-Codigo]], LEN(Table156[[#This Row],[Item-Codigo]]) - FIND("|", CONCATENATE(B1491), FIND("|", CONCATENATE(B1491)) + 1)))</f>
        <v>QQ</v>
      </c>
      <c r="H149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491" s="40">
        <v>410</v>
      </c>
      <c r="J1491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307.99887470440001</v>
      </c>
      <c r="K1491" t="s">
        <v>183</v>
      </c>
    </row>
    <row r="1492" spans="1:11" x14ac:dyDescent="0.35">
      <c r="A1492" t="s">
        <v>198</v>
      </c>
      <c r="B1492" t="s">
        <v>207</v>
      </c>
      <c r="C1492" t="s">
        <v>209</v>
      </c>
      <c r="D1492">
        <v>13.0000709743667</v>
      </c>
      <c r="E1492" t="s">
        <v>820</v>
      </c>
      <c r="F1492">
        <v>2024</v>
      </c>
      <c r="G1492" t="str">
        <f>TRIM(RIGHT(Table156[[#This Row],[Item-Codigo]], LEN(Table156[[#This Row],[Item-Codigo]]) - FIND("|", CONCATENATE(B1492), FIND("|", CONCATENATE(B1492)) + 1)))</f>
        <v>QQ</v>
      </c>
      <c r="H149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492" s="40">
        <v>410</v>
      </c>
      <c r="J1492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286.00156143606739</v>
      </c>
      <c r="K1492" t="s">
        <v>183</v>
      </c>
    </row>
    <row r="1493" spans="1:11" x14ac:dyDescent="0.35">
      <c r="A1493" t="s">
        <v>198</v>
      </c>
      <c r="B1493" t="s">
        <v>207</v>
      </c>
      <c r="C1493" t="s">
        <v>210</v>
      </c>
      <c r="D1493">
        <v>12.9998884744889</v>
      </c>
      <c r="E1493" t="s">
        <v>820</v>
      </c>
      <c r="F1493">
        <v>2024</v>
      </c>
      <c r="G1493" t="str">
        <f>TRIM(RIGHT(Table156[[#This Row],[Item-Codigo]], LEN(Table156[[#This Row],[Item-Codigo]]) - FIND("|", CONCATENATE(B1493), FIND("|", CONCATENATE(B1493)) + 1)))</f>
        <v>QQ</v>
      </c>
      <c r="H149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493" s="40">
        <v>410</v>
      </c>
      <c r="J1493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285.99754643875582</v>
      </c>
      <c r="K1493" t="s">
        <v>183</v>
      </c>
    </row>
    <row r="1494" spans="1:11" x14ac:dyDescent="0.35">
      <c r="A1494" t="s">
        <v>198</v>
      </c>
      <c r="B1494" t="s">
        <v>207</v>
      </c>
      <c r="C1494" t="s">
        <v>212</v>
      </c>
      <c r="D1494">
        <v>12.9999232453563</v>
      </c>
      <c r="E1494" t="s">
        <v>820</v>
      </c>
      <c r="F1494">
        <v>2024</v>
      </c>
      <c r="G1494" t="str">
        <f>TRIM(RIGHT(Table156[[#This Row],[Item-Codigo]], LEN(Table156[[#This Row],[Item-Codigo]]) - FIND("|", CONCATENATE(B1494), FIND("|", CONCATENATE(B1494)) + 1)))</f>
        <v>QQ</v>
      </c>
      <c r="H149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494" s="40">
        <v>410</v>
      </c>
      <c r="J1494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285.99831139783862</v>
      </c>
      <c r="K1494" t="s">
        <v>183</v>
      </c>
    </row>
    <row r="1495" spans="1:11" x14ac:dyDescent="0.35">
      <c r="A1495" t="s">
        <v>198</v>
      </c>
      <c r="B1495" t="s">
        <v>207</v>
      </c>
      <c r="C1495" t="s">
        <v>213</v>
      </c>
      <c r="D1495">
        <v>12.99997908568</v>
      </c>
      <c r="E1495" t="s">
        <v>820</v>
      </c>
      <c r="F1495">
        <v>2024</v>
      </c>
      <c r="G1495" t="str">
        <f>TRIM(RIGHT(Table156[[#This Row],[Item-Codigo]], LEN(Table156[[#This Row],[Item-Codigo]]) - FIND("|", CONCATENATE(B1495), FIND("|", CONCATENATE(B1495)) + 1)))</f>
        <v>QQ</v>
      </c>
      <c r="H149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495" s="40">
        <v>410</v>
      </c>
      <c r="J1495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285.99953988495997</v>
      </c>
      <c r="K1495" t="s">
        <v>183</v>
      </c>
    </row>
    <row r="1496" spans="1:11" x14ac:dyDescent="0.35">
      <c r="A1496" t="s">
        <v>256</v>
      </c>
      <c r="B1496" t="s">
        <v>261</v>
      </c>
      <c r="C1496" t="s">
        <v>263</v>
      </c>
      <c r="D1496">
        <v>0.14479992024999999</v>
      </c>
      <c r="E1496" t="s">
        <v>820</v>
      </c>
      <c r="F1496">
        <v>2024</v>
      </c>
      <c r="G1496" t="str">
        <f>TRIM(RIGHT(Table156[[#This Row],[Item-Codigo]], LEN(Table156[[#This Row],[Item-Codigo]]) - FIND("|", CONCATENATE(B1496), FIND("|", CONCATENATE(B1496)) + 1)))</f>
        <v>UND</v>
      </c>
      <c r="H149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1496" s="40" t="s">
        <v>500</v>
      </c>
      <c r="J149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0.14479992024999999</v>
      </c>
      <c r="K1496" t="s">
        <v>43</v>
      </c>
    </row>
    <row r="1497" spans="1:11" x14ac:dyDescent="0.35">
      <c r="A1497" t="s">
        <v>256</v>
      </c>
      <c r="B1497" t="s">
        <v>265</v>
      </c>
      <c r="C1497" t="s">
        <v>262</v>
      </c>
      <c r="D1497">
        <v>0.1449</v>
      </c>
      <c r="E1497" t="s">
        <v>820</v>
      </c>
      <c r="F1497">
        <v>2024</v>
      </c>
      <c r="G1497" t="str">
        <f>TRIM(RIGHT(Table156[[#This Row],[Item-Codigo]], LEN(Table156[[#This Row],[Item-Codigo]]) - FIND("|", CONCATENATE(B1497), FIND("|", CONCATENATE(B1497)) + 1)))</f>
        <v>UND</v>
      </c>
      <c r="H149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1025-ME</v>
      </c>
      <c r="I1497" s="40" t="s">
        <v>502</v>
      </c>
      <c r="J149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0.1449</v>
      </c>
      <c r="K1497" t="s">
        <v>45</v>
      </c>
    </row>
    <row r="1498" spans="1:11" x14ac:dyDescent="0.35">
      <c r="A1498" t="s">
        <v>256</v>
      </c>
      <c r="B1498" t="s">
        <v>265</v>
      </c>
      <c r="C1498" t="s">
        <v>263</v>
      </c>
      <c r="D1498">
        <v>0.1444</v>
      </c>
      <c r="E1498" t="s">
        <v>820</v>
      </c>
      <c r="F1498">
        <v>2024</v>
      </c>
      <c r="G1498" t="str">
        <f>TRIM(RIGHT(Table156[[#This Row],[Item-Codigo]], LEN(Table156[[#This Row],[Item-Codigo]]) - FIND("|", CONCATENATE(B1498), FIND("|", CONCATENATE(B1498)) + 1)))</f>
        <v>UND</v>
      </c>
      <c r="H149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1025-ME</v>
      </c>
      <c r="I1498" s="40" t="s">
        <v>502</v>
      </c>
      <c r="J149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0.1444</v>
      </c>
      <c r="K1498" t="s">
        <v>45</v>
      </c>
    </row>
    <row r="1499" spans="1:11" x14ac:dyDescent="0.35">
      <c r="A1499" t="s">
        <v>256</v>
      </c>
      <c r="B1499" t="s">
        <v>272</v>
      </c>
      <c r="C1499" t="s">
        <v>263</v>
      </c>
      <c r="D1499">
        <v>0.1444</v>
      </c>
      <c r="E1499" t="s">
        <v>820</v>
      </c>
      <c r="F1499">
        <v>2024</v>
      </c>
      <c r="G1499" t="str">
        <f>TRIM(RIGHT(Table156[[#This Row],[Item-Codigo]], LEN(Table156[[#This Row],[Item-Codigo]]) - FIND("|", CONCATENATE(B1499), FIND("|", CONCATENATE(B1499)) + 1)))</f>
        <v>UND</v>
      </c>
      <c r="H149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1029-ME</v>
      </c>
      <c r="I1499" s="40" t="s">
        <v>506</v>
      </c>
      <c r="J149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0.1444</v>
      </c>
      <c r="K1499" t="s">
        <v>51</v>
      </c>
    </row>
    <row r="1500" spans="1:11" x14ac:dyDescent="0.35">
      <c r="A1500" t="s">
        <v>256</v>
      </c>
      <c r="B1500" t="s">
        <v>995</v>
      </c>
      <c r="C1500" t="s">
        <v>874</v>
      </c>
      <c r="D1500">
        <v>0.09</v>
      </c>
      <c r="E1500" t="s">
        <v>820</v>
      </c>
      <c r="F1500">
        <v>2024</v>
      </c>
      <c r="G1500" t="str">
        <f>TRIM(RIGHT(Table156[[#This Row],[Item-Codigo]], LEN(Table156[[#This Row],[Item-Codigo]]) - FIND("|", CONCATENATE(B1500), FIND("|", CONCATENATE(B1500)) + 1)))</f>
        <v>UND</v>
      </c>
      <c r="H150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9539</v>
      </c>
      <c r="I1500" s="40">
        <v>9539</v>
      </c>
      <c r="J150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0.09</v>
      </c>
      <c r="K1500" t="s">
        <v>1051</v>
      </c>
    </row>
    <row r="1501" spans="1:11" x14ac:dyDescent="0.35">
      <c r="A1501" t="s">
        <v>256</v>
      </c>
      <c r="B1501" t="s">
        <v>996</v>
      </c>
      <c r="C1501" t="s">
        <v>874</v>
      </c>
      <c r="D1501">
        <v>0.09</v>
      </c>
      <c r="E1501" t="s">
        <v>820</v>
      </c>
      <c r="F1501">
        <v>2024</v>
      </c>
      <c r="G1501" t="str">
        <f>TRIM(RIGHT(Table156[[#This Row],[Item-Codigo]], LEN(Table156[[#This Row],[Item-Codigo]]) - FIND("|", CONCATENATE(B1501), FIND("|", CONCATENATE(B1501)) + 1)))</f>
        <v>UND</v>
      </c>
      <c r="H150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9540</v>
      </c>
      <c r="I1501" s="40">
        <v>9540</v>
      </c>
      <c r="J150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0.09</v>
      </c>
      <c r="K1501" t="s">
        <v>1052</v>
      </c>
    </row>
    <row r="1502" spans="1:11" x14ac:dyDescent="0.35">
      <c r="A1502" t="s">
        <v>256</v>
      </c>
      <c r="B1502" t="s">
        <v>997</v>
      </c>
      <c r="C1502" t="s">
        <v>874</v>
      </c>
      <c r="D1502">
        <v>0.09</v>
      </c>
      <c r="E1502" t="s">
        <v>820</v>
      </c>
      <c r="F1502">
        <v>2024</v>
      </c>
      <c r="G1502" t="str">
        <f>TRIM(RIGHT(Table156[[#This Row],[Item-Codigo]], LEN(Table156[[#This Row],[Item-Codigo]]) - FIND("|", CONCATENATE(B1502), FIND("|", CONCATENATE(B1502)) + 1)))</f>
        <v>UND</v>
      </c>
      <c r="H150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9541</v>
      </c>
      <c r="I1502" s="40">
        <v>9541</v>
      </c>
      <c r="J150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0.09</v>
      </c>
      <c r="K1502" t="s">
        <v>1053</v>
      </c>
    </row>
    <row r="1503" spans="1:11" x14ac:dyDescent="0.35">
      <c r="A1503" t="s">
        <v>256</v>
      </c>
      <c r="B1503" t="s">
        <v>998</v>
      </c>
      <c r="C1503" t="s">
        <v>263</v>
      </c>
      <c r="D1503">
        <v>0.43</v>
      </c>
      <c r="E1503" t="s">
        <v>820</v>
      </c>
      <c r="F1503">
        <v>2024</v>
      </c>
      <c r="G1503" t="str">
        <f>TRIM(RIGHT(Table156[[#This Row],[Item-Codigo]], LEN(Table156[[#This Row],[Item-Codigo]]) - FIND("|", CONCATENATE(B1503), FIND("|", CONCATENATE(B1503)) + 1)))</f>
        <v>UND</v>
      </c>
      <c r="H150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1047-ME</v>
      </c>
      <c r="I1503" s="40" t="s">
        <v>953</v>
      </c>
      <c r="J150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0.43</v>
      </c>
      <c r="K1503" t="s">
        <v>998</v>
      </c>
    </row>
    <row r="1504" spans="1:11" x14ac:dyDescent="0.35">
      <c r="A1504" t="s">
        <v>256</v>
      </c>
      <c r="B1504" t="s">
        <v>999</v>
      </c>
      <c r="C1504" t="s">
        <v>263</v>
      </c>
      <c r="D1504">
        <v>0.43</v>
      </c>
      <c r="E1504" t="s">
        <v>820</v>
      </c>
      <c r="F1504">
        <v>2024</v>
      </c>
      <c r="G1504" t="str">
        <f>TRIM(RIGHT(Table156[[#This Row],[Item-Codigo]], LEN(Table156[[#This Row],[Item-Codigo]]) - FIND("|", CONCATENATE(B1504), FIND("|", CONCATENATE(B1504)) + 1)))</f>
        <v>UND</v>
      </c>
      <c r="H150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1048-ME</v>
      </c>
      <c r="I1504" s="40" t="s">
        <v>954</v>
      </c>
      <c r="J150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0.43</v>
      </c>
      <c r="K1504" t="s">
        <v>999</v>
      </c>
    </row>
    <row r="1505" spans="1:11" x14ac:dyDescent="0.35">
      <c r="A1505" t="s">
        <v>256</v>
      </c>
      <c r="B1505" t="s">
        <v>1000</v>
      </c>
      <c r="C1505" t="s">
        <v>263</v>
      </c>
      <c r="D1505">
        <v>0.43</v>
      </c>
      <c r="E1505" t="s">
        <v>820</v>
      </c>
      <c r="F1505">
        <v>2024</v>
      </c>
      <c r="G1505" t="str">
        <f>TRIM(RIGHT(Table156[[#This Row],[Item-Codigo]], LEN(Table156[[#This Row],[Item-Codigo]]) - FIND("|", CONCATENATE(B1505), FIND("|", CONCATENATE(B1505)) + 1)))</f>
        <v>UND</v>
      </c>
      <c r="H150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1049-ME</v>
      </c>
      <c r="I1505" s="40" t="s">
        <v>955</v>
      </c>
      <c r="J150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0.43</v>
      </c>
      <c r="K1505" t="s">
        <v>1000</v>
      </c>
    </row>
    <row r="1506" spans="1:11" x14ac:dyDescent="0.35">
      <c r="A1506" t="s">
        <v>256</v>
      </c>
      <c r="B1506" t="s">
        <v>1001</v>
      </c>
      <c r="C1506" t="s">
        <v>263</v>
      </c>
      <c r="D1506">
        <v>0.43</v>
      </c>
      <c r="E1506" t="s">
        <v>820</v>
      </c>
      <c r="F1506">
        <v>2024</v>
      </c>
      <c r="G1506" t="str">
        <f>TRIM(RIGHT(Table156[[#This Row],[Item-Codigo]], LEN(Table156[[#This Row],[Item-Codigo]]) - FIND("|", CONCATENATE(B1506), FIND("|", CONCATENATE(B1506)) + 1)))</f>
        <v>UND</v>
      </c>
      <c r="H150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1050-ME</v>
      </c>
      <c r="I1506" s="40" t="s">
        <v>956</v>
      </c>
      <c r="J150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0.43</v>
      </c>
      <c r="K1506" t="s">
        <v>1001</v>
      </c>
    </row>
    <row r="1507" spans="1:11" x14ac:dyDescent="0.35">
      <c r="A1507" t="s">
        <v>256</v>
      </c>
      <c r="B1507" t="s">
        <v>288</v>
      </c>
      <c r="C1507" t="s">
        <v>262</v>
      </c>
      <c r="D1507">
        <v>0.21440000000000001</v>
      </c>
      <c r="E1507" t="s">
        <v>820</v>
      </c>
      <c r="F1507">
        <v>2024</v>
      </c>
      <c r="G1507" t="str">
        <f>TRIM(RIGHT(Table156[[#This Row],[Item-Codigo]], LEN(Table156[[#This Row],[Item-Codigo]]) - FIND("|", CONCATENATE(B1507), FIND("|", CONCATENATE(B1507)) + 1)))</f>
        <v>UND</v>
      </c>
      <c r="H150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0993-ME</v>
      </c>
      <c r="I1507" s="40" t="s">
        <v>490</v>
      </c>
      <c r="J150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0.21440000000000001</v>
      </c>
      <c r="K1507" t="s">
        <v>106</v>
      </c>
    </row>
    <row r="1508" spans="1:11" x14ac:dyDescent="0.35">
      <c r="A1508" t="s">
        <v>256</v>
      </c>
      <c r="B1508" t="s">
        <v>289</v>
      </c>
      <c r="C1508" t="s">
        <v>263</v>
      </c>
      <c r="D1508">
        <v>0.2183987906</v>
      </c>
      <c r="E1508" t="s">
        <v>820</v>
      </c>
      <c r="F1508">
        <v>2024</v>
      </c>
      <c r="G1508" t="str">
        <f>TRIM(RIGHT(Table156[[#This Row],[Item-Codigo]], LEN(Table156[[#This Row],[Item-Codigo]]) - FIND("|", CONCATENATE(B1508), FIND("|", CONCATENATE(B1508)) + 1)))</f>
        <v>UND</v>
      </c>
      <c r="H150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0994-ME</v>
      </c>
      <c r="I1508" s="40" t="s">
        <v>491</v>
      </c>
      <c r="J150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0.2183987906</v>
      </c>
      <c r="K1508" t="s">
        <v>118</v>
      </c>
    </row>
    <row r="1509" spans="1:11" x14ac:dyDescent="0.35">
      <c r="A1509" t="s">
        <v>256</v>
      </c>
      <c r="B1509" t="s">
        <v>290</v>
      </c>
      <c r="C1509" t="s">
        <v>262</v>
      </c>
      <c r="D1509">
        <v>0.2222095238</v>
      </c>
      <c r="E1509" t="s">
        <v>820</v>
      </c>
      <c r="F1509">
        <v>2024</v>
      </c>
      <c r="G1509" t="str">
        <f>TRIM(RIGHT(Table156[[#This Row],[Item-Codigo]], LEN(Table156[[#This Row],[Item-Codigo]]) - FIND("|", CONCATENATE(B1509), FIND("|", CONCATENATE(B1509)) + 1)))</f>
        <v>UND</v>
      </c>
      <c r="H150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0995-ME</v>
      </c>
      <c r="I1509" s="40" t="s">
        <v>492</v>
      </c>
      <c r="J150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0.2222095238</v>
      </c>
      <c r="K1509" t="s">
        <v>108</v>
      </c>
    </row>
    <row r="1510" spans="1:11" x14ac:dyDescent="0.35">
      <c r="A1510" t="s">
        <v>256</v>
      </c>
      <c r="B1510" t="s">
        <v>291</v>
      </c>
      <c r="C1510" t="s">
        <v>262</v>
      </c>
      <c r="D1510">
        <v>0.21441176470000001</v>
      </c>
      <c r="E1510" t="s">
        <v>820</v>
      </c>
      <c r="F1510">
        <v>2024</v>
      </c>
      <c r="G1510" t="str">
        <f>TRIM(RIGHT(Table156[[#This Row],[Item-Codigo]], LEN(Table156[[#This Row],[Item-Codigo]]) - FIND("|", CONCATENATE(B1510), FIND("|", CONCATENATE(B1510)) + 1)))</f>
        <v>UND</v>
      </c>
      <c r="H151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0988-ME</v>
      </c>
      <c r="I1510" s="40" t="s">
        <v>489</v>
      </c>
      <c r="J151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0.21441176470000001</v>
      </c>
      <c r="K1510" t="s">
        <v>119</v>
      </c>
    </row>
    <row r="1511" spans="1:11" x14ac:dyDescent="0.35">
      <c r="A1511" t="s">
        <v>256</v>
      </c>
      <c r="B1511" t="s">
        <v>292</v>
      </c>
      <c r="C1511" t="s">
        <v>262</v>
      </c>
      <c r="D1511">
        <v>0.22220812179999999</v>
      </c>
      <c r="E1511" t="s">
        <v>820</v>
      </c>
      <c r="F1511">
        <v>2024</v>
      </c>
      <c r="G1511" t="str">
        <f>TRIM(RIGHT(Table156[[#This Row],[Item-Codigo]], LEN(Table156[[#This Row],[Item-Codigo]]) - FIND("|", CONCATENATE(B1511), FIND("|", CONCATENATE(B1511)) + 1)))</f>
        <v>UND</v>
      </c>
      <c r="H151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0987-ME</v>
      </c>
      <c r="I1511" s="40" t="s">
        <v>488</v>
      </c>
      <c r="J151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0.22220812179999999</v>
      </c>
      <c r="K1511" t="s">
        <v>117</v>
      </c>
    </row>
    <row r="1512" spans="1:11" x14ac:dyDescent="0.35">
      <c r="A1512" t="s">
        <v>256</v>
      </c>
      <c r="B1512" t="s">
        <v>292</v>
      </c>
      <c r="C1512" t="s">
        <v>263</v>
      </c>
      <c r="D1512">
        <v>0.2252005202</v>
      </c>
      <c r="E1512" t="s">
        <v>820</v>
      </c>
      <c r="F1512">
        <v>2024</v>
      </c>
      <c r="G1512" t="str">
        <f>TRIM(RIGHT(Table156[[#This Row],[Item-Codigo]], LEN(Table156[[#This Row],[Item-Codigo]]) - FIND("|", CONCATENATE(B1512), FIND("|", CONCATENATE(B1512)) + 1)))</f>
        <v>UND</v>
      </c>
      <c r="H151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0987-ME</v>
      </c>
      <c r="I1512" s="40" t="s">
        <v>488</v>
      </c>
      <c r="J151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0.2252005202</v>
      </c>
      <c r="K1512" t="s">
        <v>117</v>
      </c>
    </row>
    <row r="1513" spans="1:11" x14ac:dyDescent="0.35">
      <c r="A1513" t="s">
        <v>256</v>
      </c>
      <c r="B1513" t="s">
        <v>293</v>
      </c>
      <c r="C1513" t="s">
        <v>262</v>
      </c>
      <c r="D1513">
        <v>0.21440000000000001</v>
      </c>
      <c r="E1513" t="s">
        <v>820</v>
      </c>
      <c r="F1513">
        <v>2024</v>
      </c>
      <c r="G1513" t="str">
        <f>TRIM(RIGHT(Table156[[#This Row],[Item-Codigo]], LEN(Table156[[#This Row],[Item-Codigo]]) - FIND("|", CONCATENATE(B1513), FIND("|", CONCATENATE(B1513)) + 1)))</f>
        <v>UND</v>
      </c>
      <c r="H151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0201-ME</v>
      </c>
      <c r="I1513" s="40" t="s">
        <v>478</v>
      </c>
      <c r="J151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0.21440000000000001</v>
      </c>
      <c r="K1513" t="s">
        <v>105</v>
      </c>
    </row>
    <row r="1514" spans="1:11" x14ac:dyDescent="0.35">
      <c r="A1514" t="s">
        <v>256</v>
      </c>
      <c r="B1514" t="s">
        <v>293</v>
      </c>
      <c r="C1514" t="s">
        <v>263</v>
      </c>
      <c r="D1514">
        <v>0.21</v>
      </c>
      <c r="E1514" t="s">
        <v>820</v>
      </c>
      <c r="F1514">
        <v>2024</v>
      </c>
      <c r="G1514" t="str">
        <f>TRIM(RIGHT(Table156[[#This Row],[Item-Codigo]], LEN(Table156[[#This Row],[Item-Codigo]]) - FIND("|", CONCATENATE(B1514), FIND("|", CONCATENATE(B1514)) + 1)))</f>
        <v>UND</v>
      </c>
      <c r="H151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0201-ME</v>
      </c>
      <c r="I1514" s="40" t="s">
        <v>478</v>
      </c>
      <c r="J151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</v>
      </c>
      <c r="K1514" t="s">
        <v>105</v>
      </c>
    </row>
    <row r="1515" spans="1:11" x14ac:dyDescent="0.35">
      <c r="A1515" t="s">
        <v>256</v>
      </c>
      <c r="B1515" t="s">
        <v>294</v>
      </c>
      <c r="C1515" t="s">
        <v>263</v>
      </c>
      <c r="D1515">
        <v>0.1971998922</v>
      </c>
      <c r="E1515" t="s">
        <v>820</v>
      </c>
      <c r="F1515">
        <v>2024</v>
      </c>
      <c r="G1515" t="str">
        <f>TRIM(RIGHT(Table156[[#This Row],[Item-Codigo]], LEN(Table156[[#This Row],[Item-Codigo]]) - FIND("|", CONCATENATE(B1515), FIND("|", CONCATENATE(B1515)) + 1)))</f>
        <v>UND</v>
      </c>
      <c r="H151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0111-ME</v>
      </c>
      <c r="I1515" s="40" t="s">
        <v>472</v>
      </c>
      <c r="J151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0.1971998922</v>
      </c>
      <c r="K1515" t="s">
        <v>125</v>
      </c>
    </row>
    <row r="1516" spans="1:11" x14ac:dyDescent="0.35">
      <c r="A1516" t="s">
        <v>256</v>
      </c>
      <c r="B1516" t="s">
        <v>296</v>
      </c>
      <c r="C1516" t="s">
        <v>262</v>
      </c>
      <c r="D1516">
        <v>0.21438888880000001</v>
      </c>
      <c r="E1516" t="s">
        <v>820</v>
      </c>
      <c r="F1516">
        <v>2024</v>
      </c>
      <c r="G1516" t="str">
        <f>TRIM(RIGHT(Table156[[#This Row],[Item-Codigo]], LEN(Table156[[#This Row],[Item-Codigo]]) - FIND("|", CONCATENATE(B1516), FIND("|", CONCATENATE(B1516)) + 1)))</f>
        <v>UND</v>
      </c>
      <c r="H151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1018-ME</v>
      </c>
      <c r="I1516" s="40" t="s">
        <v>496</v>
      </c>
      <c r="J151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0.21438888880000001</v>
      </c>
      <c r="K1516" t="s">
        <v>109</v>
      </c>
    </row>
    <row r="1517" spans="1:11" x14ac:dyDescent="0.35">
      <c r="A1517" t="s">
        <v>256</v>
      </c>
      <c r="B1517" t="s">
        <v>300</v>
      </c>
      <c r="C1517" t="s">
        <v>262</v>
      </c>
      <c r="D1517">
        <v>0.21439849620000001</v>
      </c>
      <c r="E1517" t="s">
        <v>820</v>
      </c>
      <c r="F1517">
        <v>2024</v>
      </c>
      <c r="G1517" t="str">
        <f>TRIM(RIGHT(Table156[[#This Row],[Item-Codigo]], LEN(Table156[[#This Row],[Item-Codigo]]) - FIND("|", CONCATENATE(B1517), FIND("|", CONCATENATE(B1517)) + 1)))</f>
        <v>UND</v>
      </c>
      <c r="H151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0751-ME</v>
      </c>
      <c r="I1517" s="40" t="s">
        <v>480</v>
      </c>
      <c r="J151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0.21439849620000001</v>
      </c>
      <c r="K1517" t="s">
        <v>110</v>
      </c>
    </row>
    <row r="1518" spans="1:11" x14ac:dyDescent="0.35">
      <c r="A1518" t="s">
        <v>256</v>
      </c>
      <c r="B1518" t="s">
        <v>301</v>
      </c>
      <c r="C1518" t="s">
        <v>262</v>
      </c>
      <c r="D1518">
        <v>0.22220000000000001</v>
      </c>
      <c r="E1518" t="s">
        <v>820</v>
      </c>
      <c r="F1518">
        <v>2024</v>
      </c>
      <c r="G1518" t="str">
        <f>TRIM(RIGHT(Table156[[#This Row],[Item-Codigo]], LEN(Table156[[#This Row],[Item-Codigo]]) - FIND("|", CONCATENATE(B1518), FIND("|", CONCATENATE(B1518)) + 1)))</f>
        <v>UND</v>
      </c>
      <c r="H151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0171-ME</v>
      </c>
      <c r="I1518" s="40" t="s">
        <v>476</v>
      </c>
      <c r="J151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0.22220000000000001</v>
      </c>
      <c r="K1518" t="s">
        <v>107</v>
      </c>
    </row>
    <row r="1519" spans="1:11" x14ac:dyDescent="0.35">
      <c r="A1519" t="s">
        <v>256</v>
      </c>
      <c r="B1519" t="s">
        <v>301</v>
      </c>
      <c r="C1519" t="s">
        <v>263</v>
      </c>
      <c r="D1519">
        <v>0.23280000000000001</v>
      </c>
      <c r="E1519" t="s">
        <v>820</v>
      </c>
      <c r="F1519">
        <v>2024</v>
      </c>
      <c r="G1519" t="str">
        <f>TRIM(RIGHT(Table156[[#This Row],[Item-Codigo]], LEN(Table156[[#This Row],[Item-Codigo]]) - FIND("|", CONCATENATE(B1519), FIND("|", CONCATENATE(B1519)) + 1)))</f>
        <v>UND</v>
      </c>
      <c r="H151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0171-ME</v>
      </c>
      <c r="I1519" s="40" t="s">
        <v>476</v>
      </c>
      <c r="J151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0.23280000000000001</v>
      </c>
      <c r="K1519" t="s">
        <v>107</v>
      </c>
    </row>
    <row r="1520" spans="1:11" x14ac:dyDescent="0.35">
      <c r="A1520" t="s">
        <v>305</v>
      </c>
      <c r="B1520" t="s">
        <v>306</v>
      </c>
      <c r="C1520" t="s">
        <v>307</v>
      </c>
      <c r="D1520">
        <v>5.6</v>
      </c>
      <c r="E1520" t="s">
        <v>820</v>
      </c>
      <c r="F1520">
        <v>2024</v>
      </c>
      <c r="G1520" t="str">
        <f>TRIM(RIGHT(Table156[[#This Row],[Item-Codigo]], LEN(Table156[[#This Row],[Item-Codigo]]) - FIND("|", CONCATENATE(B1520), FIND("|", CONCATENATE(B1520)) + 1)))</f>
        <v>KG</v>
      </c>
      <c r="H152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732</v>
      </c>
      <c r="I1520" s="40">
        <v>732</v>
      </c>
      <c r="J152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1520" t="s">
        <v>1227</v>
      </c>
    </row>
    <row r="1521" spans="1:11" x14ac:dyDescent="0.35">
      <c r="A1521" t="s">
        <v>305</v>
      </c>
      <c r="B1521" t="s">
        <v>312</v>
      </c>
      <c r="C1521" t="s">
        <v>313</v>
      </c>
      <c r="D1521">
        <v>7.24</v>
      </c>
      <c r="E1521" t="s">
        <v>820</v>
      </c>
      <c r="F1521">
        <v>2024</v>
      </c>
      <c r="G1521" t="str">
        <f>TRIM(RIGHT(Table156[[#This Row],[Item-Codigo]], LEN(Table156[[#This Row],[Item-Codigo]]) - FIND("|", CONCATENATE(B1521), FIND("|", CONCATENATE(B1521)) + 1)))</f>
        <v>KG</v>
      </c>
      <c r="H152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317</v>
      </c>
      <c r="I1521" s="40">
        <v>317</v>
      </c>
      <c r="J152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7240</v>
      </c>
      <c r="K1521" t="s">
        <v>69</v>
      </c>
    </row>
    <row r="1522" spans="1:11" x14ac:dyDescent="0.35">
      <c r="A1522" t="s">
        <v>305</v>
      </c>
      <c r="B1522" t="s">
        <v>314</v>
      </c>
      <c r="C1522" t="s">
        <v>315</v>
      </c>
      <c r="D1522">
        <v>6</v>
      </c>
      <c r="E1522" t="s">
        <v>820</v>
      </c>
      <c r="F1522">
        <v>2024</v>
      </c>
      <c r="G1522" t="str">
        <f>TRIM(RIGHT(Table156[[#This Row],[Item-Codigo]], LEN(Table156[[#This Row],[Item-Codigo]]) - FIND("|", CONCATENATE(B1522), FIND("|", CONCATENATE(B1522)) + 1)))</f>
        <v>KG</v>
      </c>
      <c r="H152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901</v>
      </c>
      <c r="I1522" s="40">
        <v>901</v>
      </c>
      <c r="J152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1522" t="s">
        <v>70</v>
      </c>
    </row>
    <row r="1523" spans="1:11" x14ac:dyDescent="0.35">
      <c r="A1523" t="s">
        <v>305</v>
      </c>
      <c r="B1523" t="s">
        <v>316</v>
      </c>
      <c r="C1523" t="s">
        <v>317</v>
      </c>
      <c r="D1523">
        <v>64.5</v>
      </c>
      <c r="E1523" t="s">
        <v>820</v>
      </c>
      <c r="F1523">
        <v>2024</v>
      </c>
      <c r="G1523" t="str">
        <f>TRIM(RIGHT(Table156[[#This Row],[Item-Codigo]], LEN(Table156[[#This Row],[Item-Codigo]]) - FIND("|", CONCATENATE(B1523), FIND("|", CONCATENATE(B1523)) + 1)))</f>
        <v>KG</v>
      </c>
      <c r="H152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929</v>
      </c>
      <c r="I1523" s="40">
        <v>929</v>
      </c>
      <c r="J152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64500</v>
      </c>
      <c r="K1523" t="s">
        <v>71</v>
      </c>
    </row>
    <row r="1524" spans="1:11" x14ac:dyDescent="0.35">
      <c r="A1524" t="s">
        <v>305</v>
      </c>
      <c r="B1524" t="s">
        <v>318</v>
      </c>
      <c r="C1524" t="s">
        <v>309</v>
      </c>
      <c r="D1524">
        <v>6</v>
      </c>
      <c r="E1524" t="s">
        <v>820</v>
      </c>
      <c r="F1524">
        <v>2024</v>
      </c>
      <c r="G1524" t="str">
        <f>TRIM(RIGHT(Table156[[#This Row],[Item-Codigo]], LEN(Table156[[#This Row],[Item-Codigo]]) - FIND("|", CONCATENATE(B1524), FIND("|", CONCATENATE(B1524)) + 1)))</f>
        <v>KG</v>
      </c>
      <c r="H152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900</v>
      </c>
      <c r="I1524" s="40">
        <v>900</v>
      </c>
      <c r="J152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1524" t="s">
        <v>72</v>
      </c>
    </row>
    <row r="1525" spans="1:11" x14ac:dyDescent="0.35">
      <c r="A1525" t="s">
        <v>305</v>
      </c>
      <c r="B1525" t="s">
        <v>320</v>
      </c>
      <c r="C1525" t="s">
        <v>321</v>
      </c>
      <c r="D1525">
        <v>8.75</v>
      </c>
      <c r="E1525" t="s">
        <v>820</v>
      </c>
      <c r="F1525">
        <v>2024</v>
      </c>
      <c r="G1525" t="str">
        <f>TRIM(RIGHT(Table156[[#This Row],[Item-Codigo]], LEN(Table156[[#This Row],[Item-Codigo]]) - FIND("|", CONCATENATE(B1525), FIND("|", CONCATENATE(B1525)) + 1)))</f>
        <v>KG</v>
      </c>
      <c r="H152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1009</v>
      </c>
      <c r="I1525" s="40">
        <v>1009</v>
      </c>
      <c r="J152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8750</v>
      </c>
      <c r="K1525" t="s">
        <v>73</v>
      </c>
    </row>
    <row r="1526" spans="1:11" x14ac:dyDescent="0.35">
      <c r="A1526" t="s">
        <v>305</v>
      </c>
      <c r="B1526" t="s">
        <v>325</v>
      </c>
      <c r="C1526" t="s">
        <v>309</v>
      </c>
      <c r="D1526">
        <v>5.6</v>
      </c>
      <c r="E1526" t="s">
        <v>820</v>
      </c>
      <c r="F1526">
        <v>2024</v>
      </c>
      <c r="G1526" t="str">
        <f>TRIM(RIGHT(Table156[[#This Row],[Item-Codigo]], LEN(Table156[[#This Row],[Item-Codigo]]) - FIND("|", CONCATENATE(B1526), FIND("|", CONCATENATE(B1526)) + 1)))</f>
        <v>KG</v>
      </c>
      <c r="H152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1045</v>
      </c>
      <c r="I1526" s="40">
        <v>1045</v>
      </c>
      <c r="J152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1526" t="s">
        <v>76</v>
      </c>
    </row>
    <row r="1527" spans="1:11" x14ac:dyDescent="0.35">
      <c r="A1527" t="s">
        <v>305</v>
      </c>
      <c r="B1527" t="s">
        <v>326</v>
      </c>
      <c r="C1527" t="s">
        <v>327</v>
      </c>
      <c r="D1527">
        <v>5.85</v>
      </c>
      <c r="E1527" t="s">
        <v>820</v>
      </c>
      <c r="F1527">
        <v>2024</v>
      </c>
      <c r="G1527" t="str">
        <f>TRIM(RIGHT(Table156[[#This Row],[Item-Codigo]], LEN(Table156[[#This Row],[Item-Codigo]]) - FIND("|", CONCATENATE(B1527), FIND("|", CONCATENATE(B1527)) + 1)))</f>
        <v>KG</v>
      </c>
      <c r="H152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470.5</v>
      </c>
      <c r="I1527" s="40" t="s">
        <v>536</v>
      </c>
      <c r="J152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5850</v>
      </c>
      <c r="K1527" t="s">
        <v>77</v>
      </c>
    </row>
    <row r="1528" spans="1:11" x14ac:dyDescent="0.35">
      <c r="A1528" t="s">
        <v>305</v>
      </c>
      <c r="B1528" t="s">
        <v>1002</v>
      </c>
      <c r="C1528" t="s">
        <v>385</v>
      </c>
      <c r="D1528">
        <v>0.9</v>
      </c>
      <c r="E1528" t="s">
        <v>820</v>
      </c>
      <c r="F1528">
        <v>2024</v>
      </c>
      <c r="G1528" t="str">
        <f>TRIM(RIGHT(Table156[[#This Row],[Item-Codigo]], LEN(Table156[[#This Row],[Item-Codigo]]) - FIND("|", CONCATENATE(B1528), FIND("|", CONCATENATE(B1528)) + 1)))</f>
        <v>KG</v>
      </c>
      <c r="H152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459</v>
      </c>
      <c r="I1528" s="40">
        <v>459</v>
      </c>
      <c r="J152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</v>
      </c>
      <c r="K1528" t="s">
        <v>981</v>
      </c>
    </row>
    <row r="1529" spans="1:11" x14ac:dyDescent="0.35">
      <c r="A1529" t="s">
        <v>305</v>
      </c>
      <c r="B1529" t="s">
        <v>328</v>
      </c>
      <c r="C1529" t="s">
        <v>385</v>
      </c>
      <c r="D1529">
        <v>1.68</v>
      </c>
      <c r="E1529" t="s">
        <v>820</v>
      </c>
      <c r="F1529">
        <v>2024</v>
      </c>
      <c r="G1529" t="str">
        <f>TRIM(RIGHT(Table156[[#This Row],[Item-Codigo]], LEN(Table156[[#This Row],[Item-Codigo]]) - FIND("|", CONCATENATE(B1529), FIND("|", CONCATENATE(B1529)) + 1)))</f>
        <v>KG</v>
      </c>
      <c r="H152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495</v>
      </c>
      <c r="I1529" s="40">
        <v>495</v>
      </c>
      <c r="J152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1680</v>
      </c>
      <c r="K1529" t="s">
        <v>78</v>
      </c>
    </row>
    <row r="1530" spans="1:11" x14ac:dyDescent="0.35">
      <c r="A1530" t="s">
        <v>305</v>
      </c>
      <c r="B1530" t="s">
        <v>328</v>
      </c>
      <c r="C1530" t="s">
        <v>329</v>
      </c>
      <c r="D1530">
        <v>1.786</v>
      </c>
      <c r="E1530" t="s">
        <v>820</v>
      </c>
      <c r="F1530">
        <v>2024</v>
      </c>
      <c r="G1530" t="str">
        <f>TRIM(RIGHT(Table156[[#This Row],[Item-Codigo]], LEN(Table156[[#This Row],[Item-Codigo]]) - FIND("|", CONCATENATE(B1530), FIND("|", CONCATENATE(B1530)) + 1)))</f>
        <v>KG</v>
      </c>
      <c r="H153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495</v>
      </c>
      <c r="I1530" s="40">
        <v>495</v>
      </c>
      <c r="J153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1786</v>
      </c>
      <c r="K1530" t="s">
        <v>78</v>
      </c>
    </row>
    <row r="1531" spans="1:11" x14ac:dyDescent="0.35">
      <c r="A1531" t="s">
        <v>305</v>
      </c>
      <c r="B1531" t="s">
        <v>330</v>
      </c>
      <c r="C1531" t="s">
        <v>331</v>
      </c>
      <c r="D1531">
        <v>1.3</v>
      </c>
      <c r="E1531" t="s">
        <v>820</v>
      </c>
      <c r="F1531">
        <v>2024</v>
      </c>
      <c r="G1531" t="str">
        <f>TRIM(RIGHT(Table156[[#This Row],[Item-Codigo]], LEN(Table156[[#This Row],[Item-Codigo]]) - FIND("|", CONCATENATE(B1531), FIND("|", CONCATENATE(B1531)) + 1)))</f>
        <v>KG</v>
      </c>
      <c r="H153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744</v>
      </c>
      <c r="I1531" s="40">
        <v>744</v>
      </c>
      <c r="J153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1300</v>
      </c>
      <c r="K1531" t="s">
        <v>80</v>
      </c>
    </row>
    <row r="1532" spans="1:11" x14ac:dyDescent="0.35">
      <c r="A1532" t="s">
        <v>305</v>
      </c>
      <c r="B1532" t="s">
        <v>332</v>
      </c>
      <c r="C1532" t="s">
        <v>333</v>
      </c>
      <c r="D1532">
        <v>1.69</v>
      </c>
      <c r="E1532" t="s">
        <v>820</v>
      </c>
      <c r="F1532">
        <v>2024</v>
      </c>
      <c r="G1532" t="str">
        <f>TRIM(RIGHT(Table156[[#This Row],[Item-Codigo]], LEN(Table156[[#This Row],[Item-Codigo]]) - FIND("|", CONCATENATE(B1532), FIND("|", CONCATENATE(B1532)) + 1)))</f>
        <v>KG</v>
      </c>
      <c r="H153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1073</v>
      </c>
      <c r="I1532" s="40">
        <v>1073</v>
      </c>
      <c r="J153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1690</v>
      </c>
      <c r="K1532" t="s">
        <v>81</v>
      </c>
    </row>
    <row r="1533" spans="1:11" x14ac:dyDescent="0.35">
      <c r="A1533" t="s">
        <v>305</v>
      </c>
      <c r="B1533" t="s">
        <v>334</v>
      </c>
      <c r="C1533" t="s">
        <v>323</v>
      </c>
      <c r="D1533">
        <v>4.5199999999999996</v>
      </c>
      <c r="E1533" t="s">
        <v>820</v>
      </c>
      <c r="F1533">
        <v>2024</v>
      </c>
      <c r="G1533" t="str">
        <f>TRIM(RIGHT(Table156[[#This Row],[Item-Codigo]], LEN(Table156[[#This Row],[Item-Codigo]]) - FIND("|", CONCATENATE(B1533), FIND("|", CONCATENATE(B1533)) + 1)))</f>
        <v>KG</v>
      </c>
      <c r="H153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475</v>
      </c>
      <c r="I1533" s="40">
        <v>475</v>
      </c>
      <c r="J153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4520</v>
      </c>
      <c r="K1533" t="s">
        <v>82</v>
      </c>
    </row>
    <row r="1534" spans="1:11" x14ac:dyDescent="0.35">
      <c r="A1534" t="s">
        <v>305</v>
      </c>
      <c r="B1534" t="s">
        <v>335</v>
      </c>
      <c r="C1534" t="s">
        <v>309</v>
      </c>
      <c r="D1534">
        <v>1.45</v>
      </c>
      <c r="E1534" t="s">
        <v>820</v>
      </c>
      <c r="F1534">
        <v>2024</v>
      </c>
      <c r="G1534" t="str">
        <f>TRIM(RIGHT(Table156[[#This Row],[Item-Codigo]], LEN(Table156[[#This Row],[Item-Codigo]]) - FIND("|", CONCATENATE(B1534), FIND("|", CONCATENATE(B1534)) + 1)))</f>
        <v>KG</v>
      </c>
      <c r="H153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131.3</v>
      </c>
      <c r="I1534" s="40" t="s">
        <v>523</v>
      </c>
      <c r="J153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1450</v>
      </c>
      <c r="K1534" t="s">
        <v>83</v>
      </c>
    </row>
    <row r="1535" spans="1:11" x14ac:dyDescent="0.35">
      <c r="A1535" t="s">
        <v>305</v>
      </c>
      <c r="B1535" t="s">
        <v>336</v>
      </c>
      <c r="C1535" t="s">
        <v>327</v>
      </c>
      <c r="D1535">
        <v>5</v>
      </c>
      <c r="E1535" t="s">
        <v>820</v>
      </c>
      <c r="F1535">
        <v>2024</v>
      </c>
      <c r="G1535" t="str">
        <f>TRIM(RIGHT(Table156[[#This Row],[Item-Codigo]], LEN(Table156[[#This Row],[Item-Codigo]]) - FIND("|", CONCATENATE(B1535), FIND("|", CONCATENATE(B1535)) + 1)))</f>
        <v>KG</v>
      </c>
      <c r="H153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340.1</v>
      </c>
      <c r="I1535" s="40" t="s">
        <v>529</v>
      </c>
      <c r="J153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5000</v>
      </c>
      <c r="K1535" t="s">
        <v>84</v>
      </c>
    </row>
    <row r="1536" spans="1:11" x14ac:dyDescent="0.35">
      <c r="A1536" t="s">
        <v>305</v>
      </c>
      <c r="B1536" t="s">
        <v>337</v>
      </c>
      <c r="C1536" t="s">
        <v>307</v>
      </c>
      <c r="D1536">
        <v>12.95</v>
      </c>
      <c r="E1536" t="s">
        <v>820</v>
      </c>
      <c r="F1536">
        <v>2024</v>
      </c>
      <c r="G1536" t="str">
        <f>TRIM(RIGHT(Table156[[#This Row],[Item-Codigo]], LEN(Table156[[#This Row],[Item-Codigo]]) - FIND("|", CONCATENATE(B1536), FIND("|", CONCATENATE(B1536)) + 1)))</f>
        <v>KG</v>
      </c>
      <c r="H153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936</v>
      </c>
      <c r="I1536" s="40">
        <v>936</v>
      </c>
      <c r="J153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12950</v>
      </c>
      <c r="K1536" t="s">
        <v>85</v>
      </c>
    </row>
    <row r="1537" spans="1:11" x14ac:dyDescent="0.35">
      <c r="A1537" t="s">
        <v>305</v>
      </c>
      <c r="B1537" t="s">
        <v>1003</v>
      </c>
      <c r="C1537" t="s">
        <v>327</v>
      </c>
      <c r="D1537">
        <v>10.5</v>
      </c>
      <c r="E1537" t="s">
        <v>820</v>
      </c>
      <c r="F1537">
        <v>2024</v>
      </c>
      <c r="G1537" t="str">
        <f>TRIM(RIGHT(Table156[[#This Row],[Item-Codigo]], LEN(Table156[[#This Row],[Item-Codigo]]) - FIND("|", CONCATENATE(B1537), FIND("|", CONCATENATE(B1537)) + 1)))</f>
        <v>KG</v>
      </c>
      <c r="H153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920</v>
      </c>
      <c r="I1537" s="40">
        <v>920</v>
      </c>
      <c r="J153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10500</v>
      </c>
      <c r="K1537" t="s">
        <v>1074</v>
      </c>
    </row>
    <row r="1538" spans="1:11" x14ac:dyDescent="0.35">
      <c r="A1538" t="s">
        <v>305</v>
      </c>
      <c r="B1538" t="s">
        <v>340</v>
      </c>
      <c r="C1538" t="s">
        <v>327</v>
      </c>
      <c r="D1538">
        <v>11.25</v>
      </c>
      <c r="E1538" t="s">
        <v>820</v>
      </c>
      <c r="F1538">
        <v>2024</v>
      </c>
      <c r="G1538" t="str">
        <f>TRIM(RIGHT(Table156[[#This Row],[Item-Codigo]], LEN(Table156[[#This Row],[Item-Codigo]]) - FIND("|", CONCATENATE(B1538), FIND("|", CONCATENATE(B1538)) + 1)))</f>
        <v>KG</v>
      </c>
      <c r="H153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877</v>
      </c>
      <c r="I1538" s="40">
        <v>877</v>
      </c>
      <c r="J153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11250</v>
      </c>
      <c r="K1538" t="s">
        <v>1074</v>
      </c>
    </row>
    <row r="1539" spans="1:11" x14ac:dyDescent="0.35">
      <c r="A1539" t="s">
        <v>305</v>
      </c>
      <c r="B1539" t="s">
        <v>346</v>
      </c>
      <c r="C1539" t="s">
        <v>327</v>
      </c>
      <c r="D1539">
        <v>8.5</v>
      </c>
      <c r="E1539" t="s">
        <v>820</v>
      </c>
      <c r="F1539">
        <v>2024</v>
      </c>
      <c r="G1539" t="str">
        <f>TRIM(RIGHT(Table156[[#This Row],[Item-Codigo]], LEN(Table156[[#This Row],[Item-Codigo]]) - FIND("|", CONCATENATE(B1539), FIND("|", CONCATENATE(B1539)) + 1)))</f>
        <v>KG</v>
      </c>
      <c r="H153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492.12</v>
      </c>
      <c r="I1539" s="40" t="s">
        <v>539</v>
      </c>
      <c r="J153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8500</v>
      </c>
      <c r="K1539" t="s">
        <v>91</v>
      </c>
    </row>
    <row r="1540" spans="1:11" x14ac:dyDescent="0.35">
      <c r="A1540" t="s">
        <v>305</v>
      </c>
      <c r="B1540" t="s">
        <v>347</v>
      </c>
      <c r="C1540" t="s">
        <v>348</v>
      </c>
      <c r="D1540">
        <v>18</v>
      </c>
      <c r="E1540" t="s">
        <v>820</v>
      </c>
      <c r="F1540">
        <v>2024</v>
      </c>
      <c r="G1540" t="str">
        <f>TRIM(RIGHT(Table156[[#This Row],[Item-Codigo]], LEN(Table156[[#This Row],[Item-Codigo]]) - FIND("|", CONCATENATE(B1540), FIND("|", CONCATENATE(B1540)) + 1)))</f>
        <v>KG</v>
      </c>
      <c r="H154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550</v>
      </c>
      <c r="I1540" s="40">
        <v>550</v>
      </c>
      <c r="J154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18000</v>
      </c>
      <c r="K1540" t="s">
        <v>92</v>
      </c>
    </row>
    <row r="1541" spans="1:11" x14ac:dyDescent="0.35">
      <c r="A1541" t="s">
        <v>305</v>
      </c>
      <c r="B1541" t="s">
        <v>350</v>
      </c>
      <c r="C1541" t="s">
        <v>239</v>
      </c>
      <c r="D1541">
        <v>1.61</v>
      </c>
      <c r="E1541" t="s">
        <v>820</v>
      </c>
      <c r="F1541">
        <v>2024</v>
      </c>
      <c r="G1541" t="str">
        <f>TRIM(RIGHT(Table156[[#This Row],[Item-Codigo]], LEN(Table156[[#This Row],[Item-Codigo]]) - FIND("|", CONCATENATE(B1541), FIND("|", CONCATENATE(B1541)) + 1)))</f>
        <v>KG</v>
      </c>
      <c r="H154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173</v>
      </c>
      <c r="I1541" s="40">
        <v>173</v>
      </c>
      <c r="J154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1610</v>
      </c>
      <c r="K1541" t="s">
        <v>138</v>
      </c>
    </row>
    <row r="1542" spans="1:11" x14ac:dyDescent="0.35">
      <c r="A1542" t="s">
        <v>305</v>
      </c>
      <c r="B1542" t="s">
        <v>352</v>
      </c>
      <c r="C1542" t="s">
        <v>353</v>
      </c>
      <c r="D1542">
        <v>9.35</v>
      </c>
      <c r="E1542" t="s">
        <v>820</v>
      </c>
      <c r="F1542">
        <v>2024</v>
      </c>
      <c r="G1542" t="str">
        <f>TRIM(RIGHT(Table156[[#This Row],[Item-Codigo]], LEN(Table156[[#This Row],[Item-Codigo]]) - FIND("|", CONCATENATE(B1542), FIND("|", CONCATENATE(B1542)) + 1)))</f>
        <v>KG</v>
      </c>
      <c r="H154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742</v>
      </c>
      <c r="I1542" s="40">
        <v>742</v>
      </c>
      <c r="J154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9350</v>
      </c>
      <c r="K1542" t="s">
        <v>147</v>
      </c>
    </row>
    <row r="1543" spans="1:11" x14ac:dyDescent="0.35">
      <c r="A1543" t="s">
        <v>305</v>
      </c>
      <c r="B1543" t="s">
        <v>356</v>
      </c>
      <c r="C1543" t="s">
        <v>357</v>
      </c>
      <c r="D1543">
        <v>6.6</v>
      </c>
      <c r="E1543" t="s">
        <v>820</v>
      </c>
      <c r="F1543">
        <v>2024</v>
      </c>
      <c r="G1543" t="str">
        <f>TRIM(RIGHT(Table156[[#This Row],[Item-Codigo]], LEN(Table156[[#This Row],[Item-Codigo]]) - FIND("|", CONCATENATE(B1543), FIND("|", CONCATENATE(B1543)) + 1)))</f>
        <v>KG</v>
      </c>
      <c r="H154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1016</v>
      </c>
      <c r="I1543" s="40">
        <v>1016</v>
      </c>
      <c r="J154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6600</v>
      </c>
      <c r="K1543" t="s">
        <v>177</v>
      </c>
    </row>
    <row r="1544" spans="1:11" x14ac:dyDescent="0.35">
      <c r="A1544" t="s">
        <v>305</v>
      </c>
      <c r="B1544" t="s">
        <v>1004</v>
      </c>
      <c r="C1544" t="s">
        <v>1005</v>
      </c>
      <c r="D1544">
        <v>6</v>
      </c>
      <c r="E1544" t="s">
        <v>820</v>
      </c>
      <c r="F1544">
        <v>2024</v>
      </c>
      <c r="G1544" t="str">
        <f>TRIM(RIGHT(Table156[[#This Row],[Item-Codigo]], LEN(Table156[[#This Row],[Item-Codigo]]) - FIND("|", CONCATENATE(B1544), FIND("|", CONCATENATE(B1544)) + 1)))</f>
        <v>KG</v>
      </c>
      <c r="H154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922</v>
      </c>
      <c r="I1544" s="40">
        <v>922</v>
      </c>
      <c r="J154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1544" t="s">
        <v>1004</v>
      </c>
    </row>
    <row r="1545" spans="1:11" x14ac:dyDescent="0.35">
      <c r="A1545" t="s">
        <v>305</v>
      </c>
      <c r="B1545" t="s">
        <v>364</v>
      </c>
      <c r="C1545" t="s">
        <v>365</v>
      </c>
      <c r="D1545">
        <v>1.01</v>
      </c>
      <c r="E1545" t="s">
        <v>820</v>
      </c>
      <c r="F1545">
        <v>2024</v>
      </c>
      <c r="G1545" t="str">
        <f>TRIM(RIGHT(Table156[[#This Row],[Item-Codigo]], LEN(Table156[[#This Row],[Item-Codigo]]) - FIND("|", CONCATENATE(B1545), FIND("|", CONCATENATE(B1545)) + 1)))</f>
        <v>KG</v>
      </c>
      <c r="H154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488.1</v>
      </c>
      <c r="I1545" s="40" t="s">
        <v>538</v>
      </c>
      <c r="J154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1010</v>
      </c>
      <c r="K1545" t="s">
        <v>149</v>
      </c>
    </row>
    <row r="1546" spans="1:11" x14ac:dyDescent="0.35">
      <c r="A1546" t="s">
        <v>305</v>
      </c>
      <c r="B1546" t="s">
        <v>367</v>
      </c>
      <c r="C1546" t="s">
        <v>321</v>
      </c>
      <c r="D1546">
        <v>2.15</v>
      </c>
      <c r="E1546" t="s">
        <v>820</v>
      </c>
      <c r="F1546">
        <v>2024</v>
      </c>
      <c r="G1546" t="str">
        <f>TRIM(RIGHT(Table156[[#This Row],[Item-Codigo]], LEN(Table156[[#This Row],[Item-Codigo]]) - FIND("|", CONCATENATE(B1546), FIND("|", CONCATENATE(B1546)) + 1)))</f>
        <v>KG</v>
      </c>
      <c r="H154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910</v>
      </c>
      <c r="I1546" s="40">
        <v>910</v>
      </c>
      <c r="J154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2150</v>
      </c>
      <c r="K1546" t="s">
        <v>136</v>
      </c>
    </row>
    <row r="1547" spans="1:11" x14ac:dyDescent="0.35">
      <c r="A1547" t="s">
        <v>305</v>
      </c>
      <c r="B1547" t="s">
        <v>369</v>
      </c>
      <c r="C1547" t="s">
        <v>363</v>
      </c>
      <c r="D1547">
        <v>1.34</v>
      </c>
      <c r="E1547" t="s">
        <v>820</v>
      </c>
      <c r="F1547">
        <v>2024</v>
      </c>
      <c r="G1547" t="str">
        <f>TRIM(RIGHT(Table156[[#This Row],[Item-Codigo]], LEN(Table156[[#This Row],[Item-Codigo]]) - FIND("|", CONCATENATE(B1547), FIND("|", CONCATENATE(B1547)) + 1)))</f>
        <v>KG</v>
      </c>
      <c r="H154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439.3</v>
      </c>
      <c r="I1547" s="40" t="s">
        <v>530</v>
      </c>
      <c r="J154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1340</v>
      </c>
      <c r="K1547" t="s">
        <v>178</v>
      </c>
    </row>
    <row r="1548" spans="1:11" x14ac:dyDescent="0.35">
      <c r="A1548" t="s">
        <v>305</v>
      </c>
      <c r="B1548" t="s">
        <v>374</v>
      </c>
      <c r="C1548" t="s">
        <v>317</v>
      </c>
      <c r="D1548">
        <v>15.9</v>
      </c>
      <c r="E1548" t="s">
        <v>820</v>
      </c>
      <c r="F1548">
        <v>2024</v>
      </c>
      <c r="G1548" t="str">
        <f>TRIM(RIGHT(Table156[[#This Row],[Item-Codigo]], LEN(Table156[[#This Row],[Item-Codigo]]) - FIND("|", CONCATENATE(B1548), FIND("|", CONCATENATE(B1548)) + 1)))</f>
        <v>KG</v>
      </c>
      <c r="H154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1051</v>
      </c>
      <c r="I1548" s="40">
        <v>1051</v>
      </c>
      <c r="J154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15900</v>
      </c>
      <c r="K1548" t="s">
        <v>173</v>
      </c>
    </row>
    <row r="1549" spans="1:11" x14ac:dyDescent="0.35">
      <c r="A1549" t="s">
        <v>305</v>
      </c>
      <c r="B1549" t="s">
        <v>376</v>
      </c>
      <c r="C1549" t="s">
        <v>377</v>
      </c>
      <c r="D1549">
        <v>2.6</v>
      </c>
      <c r="E1549" t="s">
        <v>820</v>
      </c>
      <c r="F1549">
        <v>2024</v>
      </c>
      <c r="G1549" t="str">
        <f>TRIM(RIGHT(Table156[[#This Row],[Item-Codigo]], LEN(Table156[[#This Row],[Item-Codigo]]) - FIND("|", CONCATENATE(B1549), FIND("|", CONCATENATE(B1549)) + 1)))</f>
        <v>KG</v>
      </c>
      <c r="H154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311</v>
      </c>
      <c r="I1549" s="40">
        <v>311</v>
      </c>
      <c r="J154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2600</v>
      </c>
      <c r="K1549" t="s">
        <v>168</v>
      </c>
    </row>
    <row r="1550" spans="1:11" x14ac:dyDescent="0.35">
      <c r="A1550" t="s">
        <v>305</v>
      </c>
      <c r="B1550" t="s">
        <v>384</v>
      </c>
      <c r="C1550" t="s">
        <v>385</v>
      </c>
      <c r="D1550">
        <v>40</v>
      </c>
      <c r="E1550" t="s">
        <v>820</v>
      </c>
      <c r="F1550">
        <v>2024</v>
      </c>
      <c r="G1550" t="str">
        <f>TRIM(RIGHT(Table156[[#This Row],[Item-Codigo]], LEN(Table156[[#This Row],[Item-Codigo]]) - FIND("|", CONCATENATE(B1550), FIND("|", CONCATENATE(B1550)) + 1)))</f>
        <v>KG</v>
      </c>
      <c r="H155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527.1</v>
      </c>
      <c r="I1550" s="40" t="s">
        <v>547</v>
      </c>
      <c r="J155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40000</v>
      </c>
      <c r="K1550" t="s">
        <v>1078</v>
      </c>
    </row>
    <row r="1551" spans="1:11" x14ac:dyDescent="0.35">
      <c r="A1551" t="s">
        <v>305</v>
      </c>
      <c r="B1551" t="s">
        <v>1006</v>
      </c>
      <c r="C1551" t="s">
        <v>365</v>
      </c>
      <c r="D1551">
        <v>1.2</v>
      </c>
      <c r="E1551" t="s">
        <v>820</v>
      </c>
      <c r="F1551">
        <v>2024</v>
      </c>
      <c r="G1551" t="str">
        <f>TRIM(RIGHT(Table156[[#This Row],[Item-Codigo]], LEN(Table156[[#This Row],[Item-Codigo]]) - FIND("|", CONCATENATE(B1551), FIND("|", CONCATENATE(B1551)) + 1)))</f>
        <v>KG</v>
      </c>
      <c r="H155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499.6</v>
      </c>
      <c r="I1551" s="40" t="s">
        <v>980</v>
      </c>
      <c r="J155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1200</v>
      </c>
      <c r="K1551" t="s">
        <v>1049</v>
      </c>
    </row>
    <row r="1552" spans="1:11" x14ac:dyDescent="0.35">
      <c r="A1552" t="s">
        <v>305</v>
      </c>
      <c r="B1552" t="s">
        <v>394</v>
      </c>
      <c r="C1552" t="s">
        <v>395</v>
      </c>
      <c r="D1552">
        <v>19.75</v>
      </c>
      <c r="E1552" t="s">
        <v>820</v>
      </c>
      <c r="F1552">
        <v>2024</v>
      </c>
      <c r="G1552" t="str">
        <f>TRIM(RIGHT(Table156[[#This Row],[Item-Codigo]], LEN(Table156[[#This Row],[Item-Codigo]]) - FIND("|", CONCATENATE(B1552), FIND("|", CONCATENATE(B1552)) + 1)))</f>
        <v>KG</v>
      </c>
      <c r="H155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</v>
      </c>
      <c r="I1552" s="40">
        <v>70</v>
      </c>
      <c r="J155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19750</v>
      </c>
      <c r="K1552" t="s">
        <v>159</v>
      </c>
    </row>
    <row r="1553" spans="1:11" x14ac:dyDescent="0.35">
      <c r="A1553" t="s">
        <v>305</v>
      </c>
      <c r="B1553" t="s">
        <v>396</v>
      </c>
      <c r="C1553" t="s">
        <v>345</v>
      </c>
      <c r="D1553">
        <v>13</v>
      </c>
      <c r="E1553" t="s">
        <v>820</v>
      </c>
      <c r="F1553">
        <v>2024</v>
      </c>
      <c r="G1553" t="str">
        <f>TRIM(RIGHT(Table156[[#This Row],[Item-Codigo]], LEN(Table156[[#This Row],[Item-Codigo]]) - FIND("|", CONCATENATE(B1553), FIND("|", CONCATENATE(B1553)) + 1)))</f>
        <v>KG</v>
      </c>
      <c r="H155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58</v>
      </c>
      <c r="I1553" s="40">
        <v>58</v>
      </c>
      <c r="J155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13000</v>
      </c>
      <c r="K1553" t="s">
        <v>172</v>
      </c>
    </row>
    <row r="1554" spans="1:11" x14ac:dyDescent="0.35">
      <c r="A1554" t="s">
        <v>305</v>
      </c>
      <c r="B1554" t="s">
        <v>397</v>
      </c>
      <c r="C1554" t="s">
        <v>327</v>
      </c>
      <c r="D1554">
        <v>9</v>
      </c>
      <c r="E1554" t="s">
        <v>820</v>
      </c>
      <c r="F1554">
        <v>2024</v>
      </c>
      <c r="G1554" t="str">
        <f>TRIM(RIGHT(Table156[[#This Row],[Item-Codigo]], LEN(Table156[[#This Row],[Item-Codigo]]) - FIND("|", CONCATENATE(B1554), FIND("|", CONCATENATE(B1554)) + 1)))</f>
        <v>KG</v>
      </c>
      <c r="H155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933</v>
      </c>
      <c r="I1554" s="40">
        <v>933</v>
      </c>
      <c r="J155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1554" t="s">
        <v>163</v>
      </c>
    </row>
    <row r="1555" spans="1:11" x14ac:dyDescent="0.35">
      <c r="A1555" t="s">
        <v>305</v>
      </c>
      <c r="B1555" t="s">
        <v>398</v>
      </c>
      <c r="C1555" t="s">
        <v>399</v>
      </c>
      <c r="D1555">
        <v>0.1683159541</v>
      </c>
      <c r="E1555" t="s">
        <v>820</v>
      </c>
      <c r="F1555">
        <v>2024</v>
      </c>
      <c r="G1555" t="str">
        <f>TRIM(RIGHT(Table156[[#This Row],[Item-Codigo]], LEN(Table156[[#This Row],[Item-Codigo]]) - FIND("|", CONCATENATE(B1555), FIND("|", CONCATENATE(B1555)) + 1)))</f>
        <v>KG</v>
      </c>
      <c r="H155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704</v>
      </c>
      <c r="I1555" s="40">
        <v>704</v>
      </c>
      <c r="J155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168.3159541</v>
      </c>
      <c r="K1555" t="s">
        <v>132</v>
      </c>
    </row>
    <row r="1556" spans="1:11" x14ac:dyDescent="0.35">
      <c r="A1556" t="s">
        <v>305</v>
      </c>
      <c r="B1556" t="s">
        <v>1007</v>
      </c>
      <c r="C1556" t="s">
        <v>1005</v>
      </c>
      <c r="D1556">
        <v>2.0499999999999998</v>
      </c>
      <c r="E1556" t="s">
        <v>820</v>
      </c>
      <c r="F1556">
        <v>2024</v>
      </c>
      <c r="G1556" t="str">
        <f>TRIM(RIGHT(Table156[[#This Row],[Item-Codigo]], LEN(Table156[[#This Row],[Item-Codigo]]) - FIND("|", CONCATENATE(B1556), FIND("|", CONCATENATE(B1556)) + 1)))</f>
        <v>KG</v>
      </c>
      <c r="H155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921</v>
      </c>
      <c r="I1556" s="40">
        <v>921</v>
      </c>
      <c r="J155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2050</v>
      </c>
      <c r="K1556" t="s">
        <v>1007</v>
      </c>
    </row>
    <row r="1557" spans="1:11" x14ac:dyDescent="0.35">
      <c r="A1557" t="s">
        <v>305</v>
      </c>
      <c r="B1557" t="s">
        <v>925</v>
      </c>
      <c r="C1557" t="s">
        <v>345</v>
      </c>
      <c r="D1557">
        <v>28</v>
      </c>
      <c r="E1557" t="s">
        <v>820</v>
      </c>
      <c r="F1557">
        <v>2024</v>
      </c>
      <c r="G1557" t="str">
        <f>TRIM(RIGHT(Table156[[#This Row],[Item-Codigo]], LEN(Table156[[#This Row],[Item-Codigo]]) - FIND("|", CONCATENATE(B1557), FIND("|", CONCATENATE(B1557)) + 1)))</f>
        <v>KG</v>
      </c>
      <c r="H155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1050</v>
      </c>
      <c r="I1557" s="40">
        <v>1050</v>
      </c>
      <c r="J155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28000</v>
      </c>
      <c r="K1557" t="s">
        <v>973</v>
      </c>
    </row>
    <row r="1558" spans="1:11" x14ac:dyDescent="0.35">
      <c r="A1558" t="s">
        <v>305</v>
      </c>
      <c r="B1558" t="s">
        <v>412</v>
      </c>
      <c r="C1558" t="s">
        <v>348</v>
      </c>
      <c r="D1558">
        <v>29</v>
      </c>
      <c r="E1558" t="s">
        <v>820</v>
      </c>
      <c r="F1558">
        <v>2024</v>
      </c>
      <c r="G1558" t="str">
        <f>TRIM(RIGHT(Table156[[#This Row],[Item-Codigo]], LEN(Table156[[#This Row],[Item-Codigo]]) - FIND("|", CONCATENATE(B1558), FIND("|", CONCATENATE(B1558)) + 1)))</f>
        <v>KG</v>
      </c>
      <c r="H155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981.2</v>
      </c>
      <c r="I1558" s="40" t="s">
        <v>556</v>
      </c>
      <c r="J155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29000</v>
      </c>
      <c r="K1558" t="s">
        <v>171</v>
      </c>
    </row>
    <row r="1559" spans="1:11" x14ac:dyDescent="0.35">
      <c r="A1559" t="s">
        <v>305</v>
      </c>
      <c r="B1559" t="s">
        <v>413</v>
      </c>
      <c r="C1559" t="s">
        <v>365</v>
      </c>
      <c r="D1559">
        <v>1.63</v>
      </c>
      <c r="E1559" t="s">
        <v>820</v>
      </c>
      <c r="F1559">
        <v>2024</v>
      </c>
      <c r="G1559" t="str">
        <f>TRIM(RIGHT(Table156[[#This Row],[Item-Codigo]], LEN(Table156[[#This Row],[Item-Codigo]]) - FIND("|", CONCATENATE(B1559), FIND("|", CONCATENATE(B1559)) + 1)))</f>
        <v>KG</v>
      </c>
      <c r="H155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456.12</v>
      </c>
      <c r="I1559" s="40" t="s">
        <v>533</v>
      </c>
      <c r="J155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1630</v>
      </c>
      <c r="K1559" t="s">
        <v>153</v>
      </c>
    </row>
    <row r="1560" spans="1:11" x14ac:dyDescent="0.35">
      <c r="A1560" t="s">
        <v>305</v>
      </c>
      <c r="B1560" t="s">
        <v>416</v>
      </c>
      <c r="C1560" t="s">
        <v>317</v>
      </c>
      <c r="D1560">
        <v>2.27</v>
      </c>
      <c r="E1560" t="s">
        <v>820</v>
      </c>
      <c r="F1560">
        <v>2024</v>
      </c>
      <c r="G1560" t="str">
        <f>TRIM(RIGHT(Table156[[#This Row],[Item-Codigo]], LEN(Table156[[#This Row],[Item-Codigo]]) - FIND("|", CONCATENATE(B1560), FIND("|", CONCATENATE(B1560)) + 1)))</f>
        <v>KG</v>
      </c>
      <c r="H156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1007.5</v>
      </c>
      <c r="I1560" s="40" t="s">
        <v>495</v>
      </c>
      <c r="J156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2270</v>
      </c>
      <c r="K1560" t="s">
        <v>141</v>
      </c>
    </row>
    <row r="1561" spans="1:11" x14ac:dyDescent="0.35">
      <c r="A1561" t="s">
        <v>680</v>
      </c>
      <c r="B1561" t="s">
        <v>1008</v>
      </c>
      <c r="C1561" t="s">
        <v>874</v>
      </c>
      <c r="D1561">
        <v>1.2500000000000001E-2</v>
      </c>
      <c r="E1561" t="s">
        <v>820</v>
      </c>
      <c r="F1561">
        <v>2024</v>
      </c>
      <c r="G1561" t="str">
        <f>TRIM(RIGHT(Table156[[#This Row],[Item-Codigo]], LEN(Table156[[#This Row],[Item-Codigo]]) - FIND("|", CONCATENATE(B1561), FIND("|", CONCATENATE(B1561)) + 1)))</f>
        <v>UND</v>
      </c>
      <c r="H156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5205</v>
      </c>
      <c r="I1561" s="40">
        <v>5205</v>
      </c>
      <c r="J156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561" t="s">
        <v>807</v>
      </c>
    </row>
    <row r="1562" spans="1:11" x14ac:dyDescent="0.35">
      <c r="A1562" t="s">
        <v>680</v>
      </c>
      <c r="B1562" t="s">
        <v>1009</v>
      </c>
      <c r="C1562" t="s">
        <v>874</v>
      </c>
      <c r="D1562">
        <v>1.2500000000000001E-2</v>
      </c>
      <c r="E1562" t="s">
        <v>820</v>
      </c>
      <c r="F1562">
        <v>2024</v>
      </c>
      <c r="G1562" t="str">
        <f>TRIM(RIGHT(Table156[[#This Row],[Item-Codigo]], LEN(Table156[[#This Row],[Item-Codigo]]) - FIND("|", CONCATENATE(B1562), FIND("|", CONCATENATE(B1562)) + 1)))</f>
        <v>UND</v>
      </c>
      <c r="H156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2451</v>
      </c>
      <c r="I1562" s="40">
        <v>2451</v>
      </c>
      <c r="J156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562" t="s">
        <v>796</v>
      </c>
    </row>
    <row r="1563" spans="1:11" x14ac:dyDescent="0.35">
      <c r="A1563" t="s">
        <v>680</v>
      </c>
      <c r="B1563" t="s">
        <v>1010</v>
      </c>
      <c r="C1563" t="s">
        <v>874</v>
      </c>
      <c r="D1563">
        <v>1.2500000000000001E-2</v>
      </c>
      <c r="E1563" t="s">
        <v>820</v>
      </c>
      <c r="F1563">
        <v>2024</v>
      </c>
      <c r="G1563" t="str">
        <f>TRIM(RIGHT(Table156[[#This Row],[Item-Codigo]], LEN(Table156[[#This Row],[Item-Codigo]]) - FIND("|", CONCATENATE(B1563), FIND("|", CONCATENATE(B1563)) + 1)))</f>
        <v>UND</v>
      </c>
      <c r="H156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9504</v>
      </c>
      <c r="I1563" s="40">
        <v>9504</v>
      </c>
      <c r="J156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563" t="s">
        <v>1040</v>
      </c>
    </row>
    <row r="1564" spans="1:11" x14ac:dyDescent="0.35">
      <c r="A1564" t="s">
        <v>680</v>
      </c>
      <c r="B1564" t="s">
        <v>1011</v>
      </c>
      <c r="C1564" t="s">
        <v>874</v>
      </c>
      <c r="D1564">
        <v>1.2500000000000001E-2</v>
      </c>
      <c r="E1564" t="s">
        <v>820</v>
      </c>
      <c r="F1564">
        <v>2024</v>
      </c>
      <c r="G1564" t="str">
        <f>TRIM(RIGHT(Table156[[#This Row],[Item-Codigo]], LEN(Table156[[#This Row],[Item-Codigo]]) - FIND("|", CONCATENATE(B1564), FIND("|", CONCATENATE(B1564)) + 1)))</f>
        <v>UND</v>
      </c>
      <c r="H156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4100</v>
      </c>
      <c r="I1564" s="40">
        <v>4100</v>
      </c>
      <c r="J156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564" t="s">
        <v>810</v>
      </c>
    </row>
    <row r="1565" spans="1:11" x14ac:dyDescent="0.35">
      <c r="A1565" t="s">
        <v>680</v>
      </c>
      <c r="B1565" t="s">
        <v>1012</v>
      </c>
      <c r="C1565" t="s">
        <v>874</v>
      </c>
      <c r="D1565">
        <v>1.2500000000000001E-2</v>
      </c>
      <c r="E1565" t="s">
        <v>820</v>
      </c>
      <c r="F1565">
        <v>2024</v>
      </c>
      <c r="G1565" t="str">
        <f>TRIM(RIGHT(Table156[[#This Row],[Item-Codigo]], LEN(Table156[[#This Row],[Item-Codigo]]) - FIND("|", CONCATENATE(B1565), FIND("|", CONCATENATE(B1565)) + 1)))</f>
        <v>UND</v>
      </c>
      <c r="H156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4200</v>
      </c>
      <c r="I1565" s="40">
        <v>4200</v>
      </c>
      <c r="J156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565" t="s">
        <v>790</v>
      </c>
    </row>
    <row r="1566" spans="1:11" x14ac:dyDescent="0.35">
      <c r="A1566" t="s">
        <v>680</v>
      </c>
      <c r="B1566" t="s">
        <v>1013</v>
      </c>
      <c r="C1566" t="s">
        <v>874</v>
      </c>
      <c r="D1566">
        <v>1.2500000000000001E-2</v>
      </c>
      <c r="E1566" t="s">
        <v>820</v>
      </c>
      <c r="F1566">
        <v>2024</v>
      </c>
      <c r="G1566" t="str">
        <f>TRIM(RIGHT(Table156[[#This Row],[Item-Codigo]], LEN(Table156[[#This Row],[Item-Codigo]]) - FIND("|", CONCATENATE(B1566), FIND("|", CONCATENATE(B1566)) + 1)))</f>
        <v>UND</v>
      </c>
      <c r="H156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4300</v>
      </c>
      <c r="I1566" s="40">
        <v>4300</v>
      </c>
      <c r="J156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566" t="s">
        <v>787</v>
      </c>
    </row>
    <row r="1567" spans="1:11" x14ac:dyDescent="0.35">
      <c r="A1567" t="s">
        <v>680</v>
      </c>
      <c r="B1567" t="s">
        <v>1014</v>
      </c>
      <c r="C1567" t="s">
        <v>874</v>
      </c>
      <c r="D1567">
        <v>1.2500000000000001E-2</v>
      </c>
      <c r="E1567" t="s">
        <v>820</v>
      </c>
      <c r="F1567">
        <v>2024</v>
      </c>
      <c r="G1567" t="str">
        <f>TRIM(RIGHT(Table156[[#This Row],[Item-Codigo]], LEN(Table156[[#This Row],[Item-Codigo]]) - FIND("|", CONCATENATE(B1567), FIND("|", CONCATENATE(B1567)) + 1)))</f>
        <v>UND</v>
      </c>
      <c r="H156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3262</v>
      </c>
      <c r="I1567" s="40">
        <v>3262</v>
      </c>
      <c r="J156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567" t="s">
        <v>786</v>
      </c>
    </row>
    <row r="1568" spans="1:11" x14ac:dyDescent="0.35">
      <c r="A1568" t="s">
        <v>680</v>
      </c>
      <c r="B1568" t="s">
        <v>1015</v>
      </c>
      <c r="C1568" t="s">
        <v>874</v>
      </c>
      <c r="D1568">
        <v>1.2500000000000001E-2</v>
      </c>
      <c r="E1568" t="s">
        <v>820</v>
      </c>
      <c r="F1568">
        <v>2024</v>
      </c>
      <c r="G1568" t="str">
        <f>TRIM(RIGHT(Table156[[#This Row],[Item-Codigo]], LEN(Table156[[#This Row],[Item-Codigo]]) - FIND("|", CONCATENATE(B1568), FIND("|", CONCATENATE(B1568)) + 1)))</f>
        <v>UND</v>
      </c>
      <c r="H156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2423</v>
      </c>
      <c r="I1568" s="40">
        <v>2423</v>
      </c>
      <c r="J156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568" t="s">
        <v>779</v>
      </c>
    </row>
    <row r="1569" spans="1:11" x14ac:dyDescent="0.35">
      <c r="A1569" t="s">
        <v>680</v>
      </c>
      <c r="B1569" t="s">
        <v>1016</v>
      </c>
      <c r="C1569" t="s">
        <v>874</v>
      </c>
      <c r="D1569">
        <v>1.2500000000000001E-2</v>
      </c>
      <c r="E1569" t="s">
        <v>820</v>
      </c>
      <c r="F1569">
        <v>2024</v>
      </c>
      <c r="G1569" t="str">
        <f>TRIM(RIGHT(Table156[[#This Row],[Item-Codigo]], LEN(Table156[[#This Row],[Item-Codigo]]) - FIND("|", CONCATENATE(B1569), FIND("|", CONCATENATE(B1569)) + 1)))</f>
        <v>UND</v>
      </c>
      <c r="H156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2434</v>
      </c>
      <c r="I1569" s="40">
        <v>2434</v>
      </c>
      <c r="J156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569" t="s">
        <v>777</v>
      </c>
    </row>
    <row r="1570" spans="1:11" x14ac:dyDescent="0.35">
      <c r="A1570" t="s">
        <v>680</v>
      </c>
      <c r="B1570" t="s">
        <v>1017</v>
      </c>
      <c r="C1570" t="s">
        <v>874</v>
      </c>
      <c r="D1570">
        <v>1.2500000000000001E-2</v>
      </c>
      <c r="E1570" t="s">
        <v>820</v>
      </c>
      <c r="F1570">
        <v>2024</v>
      </c>
      <c r="G1570" t="str">
        <f>TRIM(RIGHT(Table156[[#This Row],[Item-Codigo]], LEN(Table156[[#This Row],[Item-Codigo]]) - FIND("|", CONCATENATE(B1570), FIND("|", CONCATENATE(B1570)) + 1)))</f>
        <v>UND</v>
      </c>
      <c r="H157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2435</v>
      </c>
      <c r="I1570" s="40">
        <v>2435</v>
      </c>
      <c r="J157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570" t="s">
        <v>801</v>
      </c>
    </row>
    <row r="1571" spans="1:11" x14ac:dyDescent="0.35">
      <c r="A1571" t="s">
        <v>196</v>
      </c>
      <c r="B1571" t="s">
        <v>993</v>
      </c>
      <c r="C1571" t="s">
        <v>238</v>
      </c>
      <c r="D1571">
        <v>1210</v>
      </c>
      <c r="E1571" t="s">
        <v>206</v>
      </c>
      <c r="F1571">
        <v>2024</v>
      </c>
      <c r="G1571" t="str">
        <f>TRIM(RIGHT(Table156[[#This Row],[Item-Codigo]], LEN(Table156[[#This Row],[Item-Codigo]]) - FIND("|", CONCATENATE(B1571), FIND("|", CONCATENATE(B1571)) + 1)))</f>
        <v>TM</v>
      </c>
      <c r="H157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1571" s="40">
        <v>116</v>
      </c>
      <c r="J157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1210</v>
      </c>
      <c r="K1571" t="s">
        <v>99</v>
      </c>
    </row>
    <row r="1572" spans="1:11" x14ac:dyDescent="0.35">
      <c r="A1572" t="s">
        <v>196</v>
      </c>
      <c r="B1572" t="s">
        <v>993</v>
      </c>
      <c r="C1572" t="s">
        <v>239</v>
      </c>
      <c r="D1572">
        <v>1190</v>
      </c>
      <c r="E1572" t="s">
        <v>206</v>
      </c>
      <c r="F1572">
        <v>2024</v>
      </c>
      <c r="G1572" t="str">
        <f>TRIM(RIGHT(Table156[[#This Row],[Item-Codigo]], LEN(Table156[[#This Row],[Item-Codigo]]) - FIND("|", CONCATENATE(B1572), FIND("|", CONCATENATE(B1572)) + 1)))</f>
        <v>TM</v>
      </c>
      <c r="H157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1572" s="40">
        <v>116</v>
      </c>
      <c r="J157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1190</v>
      </c>
      <c r="K1572" t="s">
        <v>99</v>
      </c>
    </row>
    <row r="1573" spans="1:11" x14ac:dyDescent="0.35">
      <c r="A1573" t="s">
        <v>198</v>
      </c>
      <c r="B1573" t="s">
        <v>219</v>
      </c>
      <c r="C1573" t="s">
        <v>221</v>
      </c>
      <c r="D1573">
        <v>900</v>
      </c>
      <c r="E1573" t="s">
        <v>206</v>
      </c>
      <c r="F1573">
        <v>2024</v>
      </c>
      <c r="G1573" t="str">
        <f>TRIM(RIGHT(Table156[[#This Row],[Item-Codigo]], LEN(Table156[[#This Row],[Item-Codigo]]) - FIND("|", CONCATENATE(B1573), FIND("|", CONCATENATE(B1573)) + 1)))</f>
        <v>TM</v>
      </c>
      <c r="H157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573" s="40">
        <v>42</v>
      </c>
      <c r="J157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</v>
      </c>
      <c r="K1573" t="s">
        <v>94</v>
      </c>
    </row>
    <row r="1574" spans="1:11" x14ac:dyDescent="0.35">
      <c r="A1574" t="s">
        <v>198</v>
      </c>
      <c r="B1574" t="s">
        <v>219</v>
      </c>
      <c r="C1574" t="s">
        <v>222</v>
      </c>
      <c r="D1574">
        <v>875</v>
      </c>
      <c r="E1574" t="s">
        <v>206</v>
      </c>
      <c r="F1574">
        <v>2024</v>
      </c>
      <c r="G1574" t="str">
        <f>TRIM(RIGHT(Table156[[#This Row],[Item-Codigo]], LEN(Table156[[#This Row],[Item-Codigo]]) - FIND("|", CONCATENATE(B1574), FIND("|", CONCATENATE(B1574)) + 1)))</f>
        <v>TM</v>
      </c>
      <c r="H157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574" s="40">
        <v>42</v>
      </c>
      <c r="J157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875</v>
      </c>
      <c r="K1574" t="s">
        <v>94</v>
      </c>
    </row>
    <row r="1575" spans="1:11" x14ac:dyDescent="0.35">
      <c r="A1575" t="s">
        <v>198</v>
      </c>
      <c r="B1575" t="s">
        <v>255</v>
      </c>
      <c r="C1575" t="s">
        <v>223</v>
      </c>
      <c r="D1575">
        <v>1750</v>
      </c>
      <c r="E1575" t="s">
        <v>206</v>
      </c>
      <c r="F1575">
        <v>2024</v>
      </c>
      <c r="G1575" t="str">
        <f>TRIM(RIGHT(Table156[[#This Row],[Item-Codigo]], LEN(Table156[[#This Row],[Item-Codigo]]) - FIND("|", CONCATENATE(B1575), FIND("|", CONCATENATE(B1575)) + 1)))</f>
        <v>TM</v>
      </c>
      <c r="H157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40.1</v>
      </c>
      <c r="I1575" s="40" t="s">
        <v>812</v>
      </c>
      <c r="J157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1750</v>
      </c>
      <c r="K1575" t="s">
        <v>95</v>
      </c>
    </row>
    <row r="1576" spans="1:11" x14ac:dyDescent="0.35">
      <c r="A1576" t="s">
        <v>198</v>
      </c>
      <c r="B1576" t="s">
        <v>227</v>
      </c>
      <c r="C1576" t="s">
        <v>218</v>
      </c>
      <c r="D1576">
        <v>0.32023842526666702</v>
      </c>
      <c r="E1576" t="s">
        <v>206</v>
      </c>
      <c r="F1576">
        <v>2024</v>
      </c>
      <c r="G1576" t="str">
        <f>TRIM(RIGHT(Table156[[#This Row],[Item-Codigo]], LEN(Table156[[#This Row],[Item-Codigo]]) - FIND("|", CONCATENATE(B1576), FIND("|", CONCATENATE(B1576)) + 1)))</f>
        <v>KG</v>
      </c>
      <c r="H157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1576" s="40">
        <v>200</v>
      </c>
      <c r="J157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320.23842526666704</v>
      </c>
      <c r="K1576" t="s">
        <v>97</v>
      </c>
    </row>
    <row r="1577" spans="1:11" x14ac:dyDescent="0.35">
      <c r="A1577" t="s">
        <v>198</v>
      </c>
      <c r="B1577" t="s">
        <v>230</v>
      </c>
      <c r="C1577" t="s">
        <v>231</v>
      </c>
      <c r="D1577">
        <v>4.5999999999999999E-2</v>
      </c>
      <c r="E1577" t="s">
        <v>206</v>
      </c>
      <c r="F1577">
        <v>2024</v>
      </c>
      <c r="G1577" t="str">
        <f>TRIM(RIGHT(Table156[[#This Row],[Item-Codigo]], LEN(Table156[[#This Row],[Item-Codigo]]) - FIND("|", CONCATENATE(B1577), FIND("|", CONCATENATE(B1577)) + 1)))</f>
        <v>KG</v>
      </c>
      <c r="H157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1577" s="40">
        <v>701</v>
      </c>
      <c r="J157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46</v>
      </c>
      <c r="K1577" t="s">
        <v>98</v>
      </c>
    </row>
    <row r="1578" spans="1:11" x14ac:dyDescent="0.35">
      <c r="A1578" t="s">
        <v>198</v>
      </c>
      <c r="B1578" t="s">
        <v>233</v>
      </c>
      <c r="C1578" t="s">
        <v>234</v>
      </c>
      <c r="D1578">
        <v>1690</v>
      </c>
      <c r="E1578" t="s">
        <v>206</v>
      </c>
      <c r="F1578">
        <v>2024</v>
      </c>
      <c r="G1578" t="str">
        <f>TRIM(RIGHT(Table156[[#This Row],[Item-Codigo]], LEN(Table156[[#This Row],[Item-Codigo]]) - FIND("|", CONCATENATE(B1578), FIND("|", CONCATENATE(B1578)) + 1)))</f>
        <v>TM</v>
      </c>
      <c r="H157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156.4</v>
      </c>
      <c r="I1578" s="40" t="s">
        <v>524</v>
      </c>
      <c r="J157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1690</v>
      </c>
      <c r="K1578" t="s">
        <v>977</v>
      </c>
    </row>
    <row r="1579" spans="1:11" x14ac:dyDescent="0.35">
      <c r="A1579" t="s">
        <v>198</v>
      </c>
      <c r="B1579" t="s">
        <v>233</v>
      </c>
      <c r="C1579" t="s">
        <v>236</v>
      </c>
      <c r="D1579">
        <v>1669.1505216094999</v>
      </c>
      <c r="E1579" t="s">
        <v>206</v>
      </c>
      <c r="F1579">
        <v>2024</v>
      </c>
      <c r="G1579" t="str">
        <f>TRIM(RIGHT(Table156[[#This Row],[Item-Codigo]], LEN(Table156[[#This Row],[Item-Codigo]]) - FIND("|", CONCATENATE(B1579), FIND("|", CONCATENATE(B1579)) + 1)))</f>
        <v>TM</v>
      </c>
      <c r="H157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156.4</v>
      </c>
      <c r="I1579" s="40" t="s">
        <v>524</v>
      </c>
      <c r="J157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1669.1505216094999</v>
      </c>
      <c r="K1579" t="s">
        <v>977</v>
      </c>
    </row>
    <row r="1580" spans="1:11" x14ac:dyDescent="0.35">
      <c r="A1580" t="s">
        <v>198</v>
      </c>
      <c r="B1580" t="s">
        <v>242</v>
      </c>
      <c r="C1580" t="s">
        <v>241</v>
      </c>
      <c r="D1580">
        <v>880</v>
      </c>
      <c r="E1580" t="s">
        <v>206</v>
      </c>
      <c r="F1580">
        <v>2024</v>
      </c>
      <c r="G1580" t="str">
        <f>TRIM(RIGHT(Table156[[#This Row],[Item-Codigo]], LEN(Table156[[#This Row],[Item-Codigo]]) - FIND("|", CONCATENATE(B1580), FIND("|", CONCATENATE(B1580)) + 1)))</f>
        <v>TM</v>
      </c>
      <c r="H158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159.9</v>
      </c>
      <c r="I1580" s="40" t="s">
        <v>525</v>
      </c>
      <c r="J158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880</v>
      </c>
      <c r="K1580" t="s">
        <v>191</v>
      </c>
    </row>
    <row r="1581" spans="1:11" x14ac:dyDescent="0.35">
      <c r="A1581" t="s">
        <v>198</v>
      </c>
      <c r="B1581" t="s">
        <v>243</v>
      </c>
      <c r="C1581" t="s">
        <v>218</v>
      </c>
      <c r="D1581">
        <v>662.46102435889998</v>
      </c>
      <c r="E1581" t="s">
        <v>206</v>
      </c>
      <c r="F1581">
        <v>2024</v>
      </c>
      <c r="G1581" t="str">
        <f>TRIM(RIGHT(Table156[[#This Row],[Item-Codigo]], LEN(Table156[[#This Row],[Item-Codigo]]) - FIND("|", CONCATENATE(B1581), FIND("|", CONCATENATE(B1581)) + 1)))</f>
        <v>TM</v>
      </c>
      <c r="H158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211</v>
      </c>
      <c r="I1581" s="40">
        <v>211</v>
      </c>
      <c r="J158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662.46102435889998</v>
      </c>
      <c r="K1581" t="s">
        <v>188</v>
      </c>
    </row>
    <row r="1582" spans="1:11" x14ac:dyDescent="0.35">
      <c r="A1582" t="s">
        <v>198</v>
      </c>
      <c r="B1582" t="s">
        <v>199</v>
      </c>
      <c r="C1582" t="s">
        <v>200</v>
      </c>
      <c r="D1582">
        <v>16.8</v>
      </c>
      <c r="E1582" t="s">
        <v>206</v>
      </c>
      <c r="F1582">
        <v>2024</v>
      </c>
      <c r="G1582" t="str">
        <f>TRIM(RIGHT(Table156[[#This Row],[Item-Codigo]], LEN(Table156[[#This Row],[Item-Codigo]]) - FIND("|", CONCATENATE(B1582), FIND("|", CONCATENATE(B1582)) + 1)))</f>
        <v>QQ</v>
      </c>
      <c r="H158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1582" s="40">
        <v>1</v>
      </c>
      <c r="J1582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369.6</v>
      </c>
      <c r="K1582" t="s">
        <v>182</v>
      </c>
    </row>
    <row r="1583" spans="1:11" x14ac:dyDescent="0.35">
      <c r="A1583" t="s">
        <v>198</v>
      </c>
      <c r="B1583" t="s">
        <v>199</v>
      </c>
      <c r="C1583" t="s">
        <v>201</v>
      </c>
      <c r="D1583">
        <v>17.800079211700002</v>
      </c>
      <c r="E1583" t="s">
        <v>206</v>
      </c>
      <c r="F1583">
        <v>2024</v>
      </c>
      <c r="G1583" t="str">
        <f>TRIM(RIGHT(Table156[[#This Row],[Item-Codigo]], LEN(Table156[[#This Row],[Item-Codigo]]) - FIND("|", CONCATENATE(B1583), FIND("|", CONCATENATE(B1583)) + 1)))</f>
        <v>QQ</v>
      </c>
      <c r="H158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1583" s="40">
        <v>1</v>
      </c>
      <c r="J1583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391.60174265740005</v>
      </c>
      <c r="K1583" t="s">
        <v>182</v>
      </c>
    </row>
    <row r="1584" spans="1:11" x14ac:dyDescent="0.35">
      <c r="A1584" t="s">
        <v>198</v>
      </c>
      <c r="B1584" t="s">
        <v>245</v>
      </c>
      <c r="C1584" t="s">
        <v>244</v>
      </c>
      <c r="D1584">
        <v>238</v>
      </c>
      <c r="E1584" t="s">
        <v>206</v>
      </c>
      <c r="F1584">
        <v>2024</v>
      </c>
      <c r="G1584" t="str">
        <f>TRIM(RIGHT(Table156[[#This Row],[Item-Codigo]], LEN(Table156[[#This Row],[Item-Codigo]]) - FIND("|", CONCATENATE(B1584), FIND("|", CONCATENATE(B1584)) + 1)))</f>
        <v>TM</v>
      </c>
      <c r="H158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14</v>
      </c>
      <c r="I1584" s="40">
        <v>14</v>
      </c>
      <c r="J158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238</v>
      </c>
      <c r="K1584" t="s">
        <v>187</v>
      </c>
    </row>
    <row r="1585" spans="1:11" x14ac:dyDescent="0.35">
      <c r="A1585" t="s">
        <v>198</v>
      </c>
      <c r="B1585" t="s">
        <v>247</v>
      </c>
      <c r="C1585" t="s">
        <v>248</v>
      </c>
      <c r="D1585">
        <v>0.26449411740000001</v>
      </c>
      <c r="E1585" t="s">
        <v>206</v>
      </c>
      <c r="F1585">
        <v>2024</v>
      </c>
      <c r="G1585" t="str">
        <f>TRIM(RIGHT(Table156[[#This Row],[Item-Codigo]], LEN(Table156[[#This Row],[Item-Codigo]]) - FIND("|", CONCATENATE(B1585), FIND("|", CONCATENATE(B1585)) + 1)))</f>
        <v>KG</v>
      </c>
      <c r="H158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214</v>
      </c>
      <c r="I1585" s="40">
        <v>214</v>
      </c>
      <c r="J158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264.49411739999999</v>
      </c>
      <c r="K1585" t="s">
        <v>186</v>
      </c>
    </row>
    <row r="1586" spans="1:11" x14ac:dyDescent="0.35">
      <c r="A1586" t="s">
        <v>198</v>
      </c>
      <c r="B1586" t="s">
        <v>207</v>
      </c>
      <c r="C1586" t="s">
        <v>201</v>
      </c>
      <c r="D1586">
        <v>15.00000753712</v>
      </c>
      <c r="E1586" t="s">
        <v>206</v>
      </c>
      <c r="F1586">
        <v>2024</v>
      </c>
      <c r="G1586" t="str">
        <f>TRIM(RIGHT(Table156[[#This Row],[Item-Codigo]], LEN(Table156[[#This Row],[Item-Codigo]]) - FIND("|", CONCATENATE(B1586), FIND("|", CONCATENATE(B1586)) + 1)))</f>
        <v>QQ</v>
      </c>
      <c r="H158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586" s="40">
        <v>410</v>
      </c>
      <c r="J1586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330.00016581663999</v>
      </c>
      <c r="K1586" t="s">
        <v>183</v>
      </c>
    </row>
    <row r="1587" spans="1:11" x14ac:dyDescent="0.35">
      <c r="A1587" t="s">
        <v>198</v>
      </c>
      <c r="B1587" t="s">
        <v>207</v>
      </c>
      <c r="C1587" t="s">
        <v>209</v>
      </c>
      <c r="D1587">
        <v>14.89985471752</v>
      </c>
      <c r="E1587" t="s">
        <v>206</v>
      </c>
      <c r="F1587">
        <v>2024</v>
      </c>
      <c r="G1587" t="str">
        <f>TRIM(RIGHT(Table156[[#This Row],[Item-Codigo]], LEN(Table156[[#This Row],[Item-Codigo]]) - FIND("|", CONCATENATE(B1587), FIND("|", CONCATENATE(B1587)) + 1)))</f>
        <v>QQ</v>
      </c>
      <c r="H158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587" s="40">
        <v>410</v>
      </c>
      <c r="J1587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327.79680378544003</v>
      </c>
      <c r="K1587" t="s">
        <v>183</v>
      </c>
    </row>
    <row r="1588" spans="1:11" x14ac:dyDescent="0.35">
      <c r="A1588" t="s">
        <v>198</v>
      </c>
      <c r="B1588" t="s">
        <v>207</v>
      </c>
      <c r="C1588" t="s">
        <v>210</v>
      </c>
      <c r="D1588">
        <v>14.5750717192625</v>
      </c>
      <c r="E1588" t="s">
        <v>206</v>
      </c>
      <c r="F1588">
        <v>2024</v>
      </c>
      <c r="G1588" t="str">
        <f>TRIM(RIGHT(Table156[[#This Row],[Item-Codigo]], LEN(Table156[[#This Row],[Item-Codigo]]) - FIND("|", CONCATENATE(B1588), FIND("|", CONCATENATE(B1588)) + 1)))</f>
        <v>QQ</v>
      </c>
      <c r="H158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588" s="40">
        <v>410</v>
      </c>
      <c r="J1588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320.65157782377497</v>
      </c>
      <c r="K1588" t="s">
        <v>183</v>
      </c>
    </row>
    <row r="1589" spans="1:11" x14ac:dyDescent="0.35">
      <c r="A1589" t="s">
        <v>198</v>
      </c>
      <c r="B1589" t="s">
        <v>207</v>
      </c>
      <c r="C1589" t="s">
        <v>211</v>
      </c>
      <c r="D1589">
        <v>12.999991719800001</v>
      </c>
      <c r="E1589" t="s">
        <v>206</v>
      </c>
      <c r="F1589">
        <v>2024</v>
      </c>
      <c r="G1589" t="str">
        <f>TRIM(RIGHT(Table156[[#This Row],[Item-Codigo]], LEN(Table156[[#This Row],[Item-Codigo]]) - FIND("|", CONCATENATE(B1589), FIND("|", CONCATENATE(B1589)) + 1)))</f>
        <v>QQ</v>
      </c>
      <c r="H158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589" s="40">
        <v>410</v>
      </c>
      <c r="J1589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285.99981783560003</v>
      </c>
      <c r="K1589" t="s">
        <v>183</v>
      </c>
    </row>
    <row r="1590" spans="1:11" x14ac:dyDescent="0.35">
      <c r="A1590" t="s">
        <v>198</v>
      </c>
      <c r="B1590" t="s">
        <v>207</v>
      </c>
      <c r="C1590" t="s">
        <v>212</v>
      </c>
      <c r="D1590">
        <v>15.05996805338</v>
      </c>
      <c r="E1590" t="s">
        <v>206</v>
      </c>
      <c r="F1590">
        <v>2024</v>
      </c>
      <c r="G1590" t="str">
        <f>TRIM(RIGHT(Table156[[#This Row],[Item-Codigo]], LEN(Table156[[#This Row],[Item-Codigo]]) - FIND("|", CONCATENATE(B1590), FIND("|", CONCATENATE(B1590)) + 1)))</f>
        <v>QQ</v>
      </c>
      <c r="H159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590" s="40">
        <v>410</v>
      </c>
      <c r="J1590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331.31929717436003</v>
      </c>
      <c r="K1590" t="s">
        <v>183</v>
      </c>
    </row>
    <row r="1591" spans="1:11" x14ac:dyDescent="0.35">
      <c r="A1591" t="s">
        <v>198</v>
      </c>
      <c r="B1591" t="s">
        <v>207</v>
      </c>
      <c r="C1591" t="s">
        <v>213</v>
      </c>
      <c r="D1591">
        <v>15.311116835983301</v>
      </c>
      <c r="E1591" t="s">
        <v>206</v>
      </c>
      <c r="F1591">
        <v>2024</v>
      </c>
      <c r="G1591" t="str">
        <f>TRIM(RIGHT(Table156[[#This Row],[Item-Codigo]], LEN(Table156[[#This Row],[Item-Codigo]]) - FIND("|", CONCATENATE(B1591), FIND("|", CONCATENATE(B1591)) + 1)))</f>
        <v>QQ</v>
      </c>
      <c r="H159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591" s="40">
        <v>410</v>
      </c>
      <c r="J1591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336.8445703916326</v>
      </c>
      <c r="K1591" t="s">
        <v>183</v>
      </c>
    </row>
    <row r="1592" spans="1:11" x14ac:dyDescent="0.35">
      <c r="A1592" t="s">
        <v>256</v>
      </c>
      <c r="B1592" t="s">
        <v>261</v>
      </c>
      <c r="C1592" t="s">
        <v>262</v>
      </c>
      <c r="D1592">
        <v>0.1449</v>
      </c>
      <c r="E1592" t="s">
        <v>206</v>
      </c>
      <c r="F1592">
        <v>2024</v>
      </c>
      <c r="G1592" t="str">
        <f>TRIM(RIGHT(Table156[[#This Row],[Item-Codigo]], LEN(Table156[[#This Row],[Item-Codigo]]) - FIND("|", CONCATENATE(B1592), FIND("|", CONCATENATE(B1592)) + 1)))</f>
        <v>UND</v>
      </c>
      <c r="H159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1592" s="40" t="s">
        <v>500</v>
      </c>
      <c r="J159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0.1449</v>
      </c>
      <c r="K1592" t="s">
        <v>43</v>
      </c>
    </row>
    <row r="1593" spans="1:11" x14ac:dyDescent="0.35">
      <c r="A1593" t="s">
        <v>256</v>
      </c>
      <c r="B1593" t="s">
        <v>265</v>
      </c>
      <c r="C1593" t="s">
        <v>263</v>
      </c>
      <c r="D1593">
        <v>0.14480000000000001</v>
      </c>
      <c r="E1593" t="s">
        <v>206</v>
      </c>
      <c r="F1593">
        <v>2024</v>
      </c>
      <c r="G1593" t="str">
        <f>TRIM(RIGHT(Table156[[#This Row],[Item-Codigo]], LEN(Table156[[#This Row],[Item-Codigo]]) - FIND("|", CONCATENATE(B1593), FIND("|", CONCATENATE(B1593)) + 1)))</f>
        <v>UND</v>
      </c>
      <c r="H159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1025-ME</v>
      </c>
      <c r="I1593" s="40" t="s">
        <v>502</v>
      </c>
      <c r="J159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0.14480000000000001</v>
      </c>
      <c r="K1593" t="s">
        <v>45</v>
      </c>
    </row>
    <row r="1594" spans="1:11" x14ac:dyDescent="0.35">
      <c r="A1594" t="s">
        <v>256</v>
      </c>
      <c r="B1594" t="s">
        <v>268</v>
      </c>
      <c r="C1594" t="s">
        <v>262</v>
      </c>
      <c r="D1594">
        <v>0.17</v>
      </c>
      <c r="E1594" t="s">
        <v>206</v>
      </c>
      <c r="F1594">
        <v>2024</v>
      </c>
      <c r="G1594" t="str">
        <f>TRIM(RIGHT(Table156[[#This Row],[Item-Codigo]], LEN(Table156[[#This Row],[Item-Codigo]]) - FIND("|", CONCATENATE(B1594), FIND("|", CONCATENATE(B1594)) + 1)))</f>
        <v>UND</v>
      </c>
      <c r="H159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1028-ME</v>
      </c>
      <c r="I1594" s="40" t="s">
        <v>505</v>
      </c>
      <c r="J159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</v>
      </c>
      <c r="K1594" t="s">
        <v>48</v>
      </c>
    </row>
    <row r="1595" spans="1:11" x14ac:dyDescent="0.35">
      <c r="A1595" t="s">
        <v>256</v>
      </c>
      <c r="B1595" t="s">
        <v>273</v>
      </c>
      <c r="C1595" t="s">
        <v>262</v>
      </c>
      <c r="D1595">
        <v>0.1449000956</v>
      </c>
      <c r="E1595" t="s">
        <v>206</v>
      </c>
      <c r="F1595">
        <v>2024</v>
      </c>
      <c r="G1595" t="str">
        <f>TRIM(RIGHT(Table156[[#This Row],[Item-Codigo]], LEN(Table156[[#This Row],[Item-Codigo]]) - FIND("|", CONCATENATE(B1595), FIND("|", CONCATENATE(B1595)) + 1)))</f>
        <v>UND</v>
      </c>
      <c r="H159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1030-ME</v>
      </c>
      <c r="I1595" s="40" t="s">
        <v>507</v>
      </c>
      <c r="J159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0.1449000956</v>
      </c>
      <c r="K1595" t="s">
        <v>52</v>
      </c>
    </row>
    <row r="1596" spans="1:11" x14ac:dyDescent="0.35">
      <c r="A1596" t="s">
        <v>256</v>
      </c>
      <c r="B1596" t="s">
        <v>274</v>
      </c>
      <c r="C1596" t="s">
        <v>263</v>
      </c>
      <c r="D1596">
        <v>0.14480000000000001</v>
      </c>
      <c r="E1596" t="s">
        <v>206</v>
      </c>
      <c r="F1596">
        <v>2024</v>
      </c>
      <c r="G1596" t="str">
        <f>TRIM(RIGHT(Table156[[#This Row],[Item-Codigo]], LEN(Table156[[#This Row],[Item-Codigo]]) - FIND("|", CONCATENATE(B1596), FIND("|", CONCATENATE(B1596)) + 1)))</f>
        <v>UND</v>
      </c>
      <c r="H159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1031-ME</v>
      </c>
      <c r="I1596" s="40" t="s">
        <v>508</v>
      </c>
      <c r="J159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0.14480000000000001</v>
      </c>
      <c r="K1596" t="s">
        <v>53</v>
      </c>
    </row>
    <row r="1597" spans="1:11" x14ac:dyDescent="0.35">
      <c r="A1597" t="s">
        <v>256</v>
      </c>
      <c r="B1597" t="s">
        <v>275</v>
      </c>
      <c r="C1597" t="s">
        <v>276</v>
      </c>
      <c r="D1597">
        <v>0.71428571419999998</v>
      </c>
      <c r="E1597" t="s">
        <v>206</v>
      </c>
      <c r="F1597">
        <v>2024</v>
      </c>
      <c r="G1597" t="str">
        <f>TRIM(RIGHT(Table156[[#This Row],[Item-Codigo]], LEN(Table156[[#This Row],[Item-Codigo]]) - FIND("|", CONCATENATE(B1597), FIND("|", CONCATENATE(B1597)) + 1)))</f>
        <v>UND</v>
      </c>
      <c r="H159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1035-ME</v>
      </c>
      <c r="I1597" s="40" t="s">
        <v>512</v>
      </c>
      <c r="J159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0.71428571419999998</v>
      </c>
      <c r="K1597" t="s">
        <v>55</v>
      </c>
    </row>
    <row r="1598" spans="1:11" x14ac:dyDescent="0.35">
      <c r="A1598" t="s">
        <v>256</v>
      </c>
      <c r="B1598" t="s">
        <v>277</v>
      </c>
      <c r="C1598" t="s">
        <v>276</v>
      </c>
      <c r="D1598">
        <v>0.5</v>
      </c>
      <c r="E1598" t="s">
        <v>206</v>
      </c>
      <c r="F1598">
        <v>2024</v>
      </c>
      <c r="G1598" t="str">
        <f>TRIM(RIGHT(Table156[[#This Row],[Item-Codigo]], LEN(Table156[[#This Row],[Item-Codigo]]) - FIND("|", CONCATENATE(B1598), FIND("|", CONCATENATE(B1598)) + 1)))</f>
        <v>UND</v>
      </c>
      <c r="H159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1043-ME</v>
      </c>
      <c r="I1598" s="40" t="s">
        <v>813</v>
      </c>
      <c r="J159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0.5</v>
      </c>
      <c r="K1598" t="s">
        <v>277</v>
      </c>
    </row>
    <row r="1599" spans="1:11" x14ac:dyDescent="0.35">
      <c r="A1599" t="s">
        <v>256</v>
      </c>
      <c r="B1599" t="s">
        <v>278</v>
      </c>
      <c r="C1599" t="s">
        <v>276</v>
      </c>
      <c r="D1599">
        <v>0.7</v>
      </c>
      <c r="E1599" t="s">
        <v>206</v>
      </c>
      <c r="F1599">
        <v>2024</v>
      </c>
      <c r="G1599" t="str">
        <f>TRIM(RIGHT(Table156[[#This Row],[Item-Codigo]], LEN(Table156[[#This Row],[Item-Codigo]]) - FIND("|", CONCATENATE(B1599), FIND("|", CONCATENATE(B1599)) + 1)))</f>
        <v>UND</v>
      </c>
      <c r="H159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1033-ME</v>
      </c>
      <c r="I1599" s="40" t="s">
        <v>510</v>
      </c>
      <c r="J159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0.7</v>
      </c>
      <c r="K1599" t="s">
        <v>278</v>
      </c>
    </row>
    <row r="1600" spans="1:11" x14ac:dyDescent="0.35">
      <c r="A1600" t="s">
        <v>256</v>
      </c>
      <c r="B1600" t="s">
        <v>279</v>
      </c>
      <c r="C1600" t="s">
        <v>276</v>
      </c>
      <c r="D1600">
        <v>0.68181818179999998</v>
      </c>
      <c r="E1600" t="s">
        <v>206</v>
      </c>
      <c r="F1600">
        <v>2024</v>
      </c>
      <c r="G1600" t="str">
        <f>TRIM(RIGHT(Table156[[#This Row],[Item-Codigo]], LEN(Table156[[#This Row],[Item-Codigo]]) - FIND("|", CONCATENATE(B1600), FIND("|", CONCATENATE(B1600)) + 1)))</f>
        <v>UND</v>
      </c>
      <c r="H160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1037-ME</v>
      </c>
      <c r="I1600" s="40" t="s">
        <v>514</v>
      </c>
      <c r="J160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0.68181818179999998</v>
      </c>
      <c r="K1600" t="s">
        <v>279</v>
      </c>
    </row>
    <row r="1601" spans="1:11" x14ac:dyDescent="0.35">
      <c r="A1601" t="s">
        <v>256</v>
      </c>
      <c r="B1601" t="s">
        <v>280</v>
      </c>
      <c r="C1601" t="s">
        <v>276</v>
      </c>
      <c r="D1601">
        <v>0.7</v>
      </c>
      <c r="E1601" t="s">
        <v>206</v>
      </c>
      <c r="F1601">
        <v>2024</v>
      </c>
      <c r="G1601" t="str">
        <f>TRIM(RIGHT(Table156[[#This Row],[Item-Codigo]], LEN(Table156[[#This Row],[Item-Codigo]]) - FIND("|", CONCATENATE(B1601), FIND("|", CONCATENATE(B1601)) + 1)))</f>
        <v>UND</v>
      </c>
      <c r="H160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1040-ME</v>
      </c>
      <c r="I1601" s="40" t="s">
        <v>517</v>
      </c>
      <c r="J160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0.7</v>
      </c>
      <c r="K1601" t="s">
        <v>280</v>
      </c>
    </row>
    <row r="1602" spans="1:11" x14ac:dyDescent="0.35">
      <c r="A1602" t="s">
        <v>256</v>
      </c>
      <c r="B1602" t="s">
        <v>284</v>
      </c>
      <c r="C1602" t="s">
        <v>285</v>
      </c>
      <c r="D1602">
        <v>9</v>
      </c>
      <c r="E1602" t="s">
        <v>206</v>
      </c>
      <c r="F1602">
        <v>2024</v>
      </c>
      <c r="G1602" t="str">
        <f>TRIM(RIGHT(Table156[[#This Row],[Item-Codigo]], LEN(Table156[[#This Row],[Item-Codigo]]) - FIND("|", CONCATENATE(B1602), FIND("|", CONCATENATE(B1602)) + 1)))</f>
        <v>UND</v>
      </c>
      <c r="H160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PIOLA (UNID)</v>
      </c>
      <c r="I1602" s="40" t="s">
        <v>558</v>
      </c>
      <c r="J160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</v>
      </c>
      <c r="K1602" t="s">
        <v>127</v>
      </c>
    </row>
    <row r="1603" spans="1:11" x14ac:dyDescent="0.35">
      <c r="A1603" t="s">
        <v>256</v>
      </c>
      <c r="B1603" t="s">
        <v>293</v>
      </c>
      <c r="C1603" t="s">
        <v>263</v>
      </c>
      <c r="D1603">
        <v>0.21</v>
      </c>
      <c r="E1603" t="s">
        <v>206</v>
      </c>
      <c r="F1603">
        <v>2024</v>
      </c>
      <c r="G1603" t="str">
        <f>TRIM(RIGHT(Table156[[#This Row],[Item-Codigo]], LEN(Table156[[#This Row],[Item-Codigo]]) - FIND("|", CONCATENATE(B1603), FIND("|", CONCATENATE(B1603)) + 1)))</f>
        <v>UND</v>
      </c>
      <c r="H160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0201-ME</v>
      </c>
      <c r="I1603" s="40" t="s">
        <v>478</v>
      </c>
      <c r="J160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</v>
      </c>
      <c r="K1603" t="s">
        <v>105</v>
      </c>
    </row>
    <row r="1604" spans="1:11" x14ac:dyDescent="0.35">
      <c r="A1604" t="s">
        <v>256</v>
      </c>
      <c r="B1604" t="s">
        <v>294</v>
      </c>
      <c r="C1604" t="s">
        <v>263</v>
      </c>
      <c r="D1604">
        <v>0.19719999999999999</v>
      </c>
      <c r="E1604" t="s">
        <v>206</v>
      </c>
      <c r="F1604">
        <v>2024</v>
      </c>
      <c r="G1604" t="str">
        <f>TRIM(RIGHT(Table156[[#This Row],[Item-Codigo]], LEN(Table156[[#This Row],[Item-Codigo]]) - FIND("|", CONCATENATE(B1604), FIND("|", CONCATENATE(B1604)) + 1)))</f>
        <v>UND</v>
      </c>
      <c r="H160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0111-ME</v>
      </c>
      <c r="I1604" s="40" t="s">
        <v>472</v>
      </c>
      <c r="J160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0.19719999999999999</v>
      </c>
      <c r="K1604" t="s">
        <v>125</v>
      </c>
    </row>
    <row r="1605" spans="1:11" x14ac:dyDescent="0.35">
      <c r="A1605" t="s">
        <v>256</v>
      </c>
      <c r="B1605" t="s">
        <v>298</v>
      </c>
      <c r="C1605" t="s">
        <v>262</v>
      </c>
      <c r="D1605">
        <v>0.21440000000000001</v>
      </c>
      <c r="E1605" t="s">
        <v>206</v>
      </c>
      <c r="F1605">
        <v>2024</v>
      </c>
      <c r="G1605" t="str">
        <f>TRIM(RIGHT(Table156[[#This Row],[Item-Codigo]], LEN(Table156[[#This Row],[Item-Codigo]]) - FIND("|", CONCATENATE(B1605), FIND("|", CONCATENATE(B1605)) + 1)))</f>
        <v>UND</v>
      </c>
      <c r="H160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1019-ME</v>
      </c>
      <c r="I1605" s="40" t="s">
        <v>497</v>
      </c>
      <c r="J160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0.21440000000000001</v>
      </c>
      <c r="K1605" t="s">
        <v>111</v>
      </c>
    </row>
    <row r="1606" spans="1:11" x14ac:dyDescent="0.35">
      <c r="A1606" t="s">
        <v>256</v>
      </c>
      <c r="B1606" t="s">
        <v>301</v>
      </c>
      <c r="C1606" t="s">
        <v>262</v>
      </c>
      <c r="D1606">
        <v>0.22220000000000001</v>
      </c>
      <c r="E1606" t="s">
        <v>206</v>
      </c>
      <c r="F1606">
        <v>2024</v>
      </c>
      <c r="G1606" t="str">
        <f>TRIM(RIGHT(Table156[[#This Row],[Item-Codigo]], LEN(Table156[[#This Row],[Item-Codigo]]) - FIND("|", CONCATENATE(B1606), FIND("|", CONCATENATE(B1606)) + 1)))</f>
        <v>UND</v>
      </c>
      <c r="H160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0171-ME</v>
      </c>
      <c r="I1606" s="40" t="s">
        <v>476</v>
      </c>
      <c r="J160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0.22220000000000001</v>
      </c>
      <c r="K1606" t="s">
        <v>107</v>
      </c>
    </row>
    <row r="1607" spans="1:11" x14ac:dyDescent="0.35">
      <c r="A1607" t="s">
        <v>302</v>
      </c>
      <c r="B1607" t="s">
        <v>1020</v>
      </c>
      <c r="C1607" t="s">
        <v>905</v>
      </c>
      <c r="D1607">
        <v>714</v>
      </c>
      <c r="E1607" t="s">
        <v>206</v>
      </c>
      <c r="F1607">
        <v>2024</v>
      </c>
      <c r="G1607" t="str">
        <f>TRIM(RIGHT(Table156[[#This Row],[Item-Codigo]], LEN(Table156[[#This Row],[Item-Codigo]]) - FIND("|", CONCATENATE(B1607), FIND("|", CONCATENATE(B1607)) + 1)))</f>
        <v>TM</v>
      </c>
      <c r="H160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720</v>
      </c>
      <c r="I1607" s="40">
        <v>720</v>
      </c>
      <c r="J160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714</v>
      </c>
      <c r="K1607" t="s">
        <v>1077</v>
      </c>
    </row>
    <row r="1608" spans="1:11" x14ac:dyDescent="0.35">
      <c r="A1608" t="s">
        <v>302</v>
      </c>
      <c r="B1608" t="s">
        <v>303</v>
      </c>
      <c r="C1608" t="s">
        <v>304</v>
      </c>
      <c r="D1608">
        <v>2.83</v>
      </c>
      <c r="E1608" t="s">
        <v>206</v>
      </c>
      <c r="F1608">
        <v>2024</v>
      </c>
      <c r="G1608" t="str">
        <f>TRIM(RIGHT(Table156[[#This Row],[Item-Codigo]], LEN(Table156[[#This Row],[Item-Codigo]]) - FIND("|", CONCATENATE(B1608), FIND("|", CONCATENATE(B1608)) + 1)))</f>
        <v>KG</v>
      </c>
      <c r="H160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511.2</v>
      </c>
      <c r="I1608" s="40" t="s">
        <v>545</v>
      </c>
      <c r="J160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2830</v>
      </c>
      <c r="K1608" t="s">
        <v>130</v>
      </c>
    </row>
    <row r="1609" spans="1:11" x14ac:dyDescent="0.35">
      <c r="A1609" t="s">
        <v>305</v>
      </c>
      <c r="B1609" t="s">
        <v>306</v>
      </c>
      <c r="C1609" t="s">
        <v>307</v>
      </c>
      <c r="D1609">
        <v>5.6</v>
      </c>
      <c r="E1609" t="s">
        <v>206</v>
      </c>
      <c r="F1609">
        <v>2024</v>
      </c>
      <c r="G1609" t="str">
        <f>TRIM(RIGHT(Table156[[#This Row],[Item-Codigo]], LEN(Table156[[#This Row],[Item-Codigo]]) - FIND("|", CONCATENATE(B1609), FIND("|", CONCATENATE(B1609)) + 1)))</f>
        <v>KG</v>
      </c>
      <c r="H160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732</v>
      </c>
      <c r="I1609" s="40">
        <v>732</v>
      </c>
      <c r="J160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1609" t="s">
        <v>1227</v>
      </c>
    </row>
    <row r="1610" spans="1:11" x14ac:dyDescent="0.35">
      <c r="A1610" t="s">
        <v>305</v>
      </c>
      <c r="B1610" t="s">
        <v>308</v>
      </c>
      <c r="C1610" t="s">
        <v>309</v>
      </c>
      <c r="D1610">
        <v>9.1999999999999993</v>
      </c>
      <c r="E1610" t="s">
        <v>206</v>
      </c>
      <c r="F1610">
        <v>2024</v>
      </c>
      <c r="G1610" t="str">
        <f>TRIM(RIGHT(Table156[[#This Row],[Item-Codigo]], LEN(Table156[[#This Row],[Item-Codigo]]) - FIND("|", CONCATENATE(B1610), FIND("|", CONCATENATE(B1610)) + 1)))</f>
        <v>KG</v>
      </c>
      <c r="H161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1039</v>
      </c>
      <c r="I1610" s="40">
        <v>1039</v>
      </c>
      <c r="J161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9200</v>
      </c>
      <c r="K1610" t="s">
        <v>67</v>
      </c>
    </row>
    <row r="1611" spans="1:11" x14ac:dyDescent="0.35">
      <c r="A1611" t="s">
        <v>305</v>
      </c>
      <c r="B1611" t="s">
        <v>312</v>
      </c>
      <c r="C1611" t="s">
        <v>313</v>
      </c>
      <c r="D1611">
        <v>7.24</v>
      </c>
      <c r="E1611" t="s">
        <v>206</v>
      </c>
      <c r="F1611">
        <v>2024</v>
      </c>
      <c r="G1611" t="str">
        <f>TRIM(RIGHT(Table156[[#This Row],[Item-Codigo]], LEN(Table156[[#This Row],[Item-Codigo]]) - FIND("|", CONCATENATE(B1611), FIND("|", CONCATENATE(B1611)) + 1)))</f>
        <v>KG</v>
      </c>
      <c r="H161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317</v>
      </c>
      <c r="I1611" s="40">
        <v>317</v>
      </c>
      <c r="J161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7240</v>
      </c>
      <c r="K1611" t="s">
        <v>69</v>
      </c>
    </row>
    <row r="1612" spans="1:11" x14ac:dyDescent="0.35">
      <c r="A1612" t="s">
        <v>305</v>
      </c>
      <c r="B1612" t="s">
        <v>314</v>
      </c>
      <c r="C1612" t="s">
        <v>315</v>
      </c>
      <c r="D1612">
        <v>6</v>
      </c>
      <c r="E1612" t="s">
        <v>206</v>
      </c>
      <c r="F1612">
        <v>2024</v>
      </c>
      <c r="G1612" t="str">
        <f>TRIM(RIGHT(Table156[[#This Row],[Item-Codigo]], LEN(Table156[[#This Row],[Item-Codigo]]) - FIND("|", CONCATENATE(B1612), FIND("|", CONCATENATE(B1612)) + 1)))</f>
        <v>KG</v>
      </c>
      <c r="H161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901</v>
      </c>
      <c r="I1612" s="40">
        <v>901</v>
      </c>
      <c r="J161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1612" t="s">
        <v>70</v>
      </c>
    </row>
    <row r="1613" spans="1:11" x14ac:dyDescent="0.35">
      <c r="A1613" t="s">
        <v>305</v>
      </c>
      <c r="B1613" t="s">
        <v>320</v>
      </c>
      <c r="C1613" t="s">
        <v>321</v>
      </c>
      <c r="D1613">
        <v>8.75</v>
      </c>
      <c r="E1613" t="s">
        <v>206</v>
      </c>
      <c r="F1613">
        <v>2024</v>
      </c>
      <c r="G1613" t="str">
        <f>TRIM(RIGHT(Table156[[#This Row],[Item-Codigo]], LEN(Table156[[#This Row],[Item-Codigo]]) - FIND("|", CONCATENATE(B1613), FIND("|", CONCATENATE(B1613)) + 1)))</f>
        <v>KG</v>
      </c>
      <c r="H161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1009</v>
      </c>
      <c r="I1613" s="40">
        <v>1009</v>
      </c>
      <c r="J161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8750</v>
      </c>
      <c r="K1613" t="s">
        <v>73</v>
      </c>
    </row>
    <row r="1614" spans="1:11" x14ac:dyDescent="0.35">
      <c r="A1614" t="s">
        <v>305</v>
      </c>
      <c r="B1614" t="s">
        <v>324</v>
      </c>
      <c r="C1614" t="s">
        <v>323</v>
      </c>
      <c r="D1614">
        <v>4</v>
      </c>
      <c r="E1614" t="s">
        <v>206</v>
      </c>
      <c r="F1614">
        <v>2024</v>
      </c>
      <c r="G1614" t="str">
        <f>TRIM(RIGHT(Table156[[#This Row],[Item-Codigo]], LEN(Table156[[#This Row],[Item-Codigo]]) - FIND("|", CONCATENATE(B1614), FIND("|", CONCATENATE(B1614)) + 1)))</f>
        <v>KG</v>
      </c>
      <c r="H161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1070</v>
      </c>
      <c r="I1614" s="40">
        <v>1070</v>
      </c>
      <c r="J161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</v>
      </c>
      <c r="K1614" t="s">
        <v>75</v>
      </c>
    </row>
    <row r="1615" spans="1:11" x14ac:dyDescent="0.35">
      <c r="A1615" t="s">
        <v>305</v>
      </c>
      <c r="B1615" t="s">
        <v>332</v>
      </c>
      <c r="C1615" t="s">
        <v>333</v>
      </c>
      <c r="D1615">
        <v>1.69</v>
      </c>
      <c r="E1615" t="s">
        <v>206</v>
      </c>
      <c r="F1615">
        <v>2024</v>
      </c>
      <c r="G1615" t="str">
        <f>TRIM(RIGHT(Table156[[#This Row],[Item-Codigo]], LEN(Table156[[#This Row],[Item-Codigo]]) - FIND("|", CONCATENATE(B1615), FIND("|", CONCATENATE(B1615)) + 1)))</f>
        <v>KG</v>
      </c>
      <c r="H161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1073</v>
      </c>
      <c r="I1615" s="40">
        <v>1073</v>
      </c>
      <c r="J161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1690</v>
      </c>
      <c r="K1615" t="s">
        <v>81</v>
      </c>
    </row>
    <row r="1616" spans="1:11" x14ac:dyDescent="0.35">
      <c r="A1616" t="s">
        <v>305</v>
      </c>
      <c r="B1616" t="s">
        <v>337</v>
      </c>
      <c r="C1616" t="s">
        <v>307</v>
      </c>
      <c r="D1616">
        <v>12.95</v>
      </c>
      <c r="E1616" t="s">
        <v>206</v>
      </c>
      <c r="F1616">
        <v>2024</v>
      </c>
      <c r="G1616" t="str">
        <f>TRIM(RIGHT(Table156[[#This Row],[Item-Codigo]], LEN(Table156[[#This Row],[Item-Codigo]]) - FIND("|", CONCATENATE(B1616), FIND("|", CONCATENATE(B1616)) + 1)))</f>
        <v>KG</v>
      </c>
      <c r="H161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936</v>
      </c>
      <c r="I1616" s="40">
        <v>936</v>
      </c>
      <c r="J161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12950</v>
      </c>
      <c r="K1616" t="s">
        <v>85</v>
      </c>
    </row>
    <row r="1617" spans="1:11" x14ac:dyDescent="0.35">
      <c r="A1617" t="s">
        <v>305</v>
      </c>
      <c r="B1617" t="s">
        <v>341</v>
      </c>
      <c r="C1617" t="s">
        <v>342</v>
      </c>
      <c r="D1617">
        <v>0.52</v>
      </c>
      <c r="E1617" t="s">
        <v>206</v>
      </c>
      <c r="F1617">
        <v>2024</v>
      </c>
      <c r="G1617" t="str">
        <f>TRIM(RIGHT(Table156[[#This Row],[Item-Codigo]], LEN(Table156[[#This Row],[Item-Codigo]]) - FIND("|", CONCATENATE(B1617), FIND("|", CONCATENATE(B1617)) + 1)))</f>
        <v>KG</v>
      </c>
      <c r="H161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719</v>
      </c>
      <c r="I1617" s="40">
        <v>719</v>
      </c>
      <c r="J161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520</v>
      </c>
      <c r="K1617" t="s">
        <v>1077</v>
      </c>
    </row>
    <row r="1618" spans="1:11" x14ac:dyDescent="0.35">
      <c r="A1618" t="s">
        <v>305</v>
      </c>
      <c r="B1618" t="s">
        <v>343</v>
      </c>
      <c r="C1618" t="s">
        <v>215</v>
      </c>
      <c r="D1618">
        <v>515</v>
      </c>
      <c r="E1618" t="s">
        <v>206</v>
      </c>
      <c r="F1618">
        <v>2024</v>
      </c>
      <c r="G1618" t="str">
        <f>TRIM(RIGHT(Table156[[#This Row],[Item-Codigo]], LEN(Table156[[#This Row],[Item-Codigo]]) - FIND("|", CONCATENATE(B1618), FIND("|", CONCATENATE(B1618)) + 1)))</f>
        <v>TM</v>
      </c>
      <c r="H161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719</v>
      </c>
      <c r="I1618" s="40">
        <v>719</v>
      </c>
      <c r="J161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515</v>
      </c>
      <c r="K1618" t="s">
        <v>1077</v>
      </c>
    </row>
    <row r="1619" spans="1:11" x14ac:dyDescent="0.35">
      <c r="A1619" t="s">
        <v>305</v>
      </c>
      <c r="B1619" t="s">
        <v>344</v>
      </c>
      <c r="C1619" t="s">
        <v>345</v>
      </c>
      <c r="D1619">
        <v>95</v>
      </c>
      <c r="E1619" t="s">
        <v>206</v>
      </c>
      <c r="F1619">
        <v>2024</v>
      </c>
      <c r="G1619" t="str">
        <f>TRIM(RIGHT(Table156[[#This Row],[Item-Codigo]], LEN(Table156[[#This Row],[Item-Codigo]]) - FIND("|", CONCATENATE(B1619), FIND("|", CONCATENATE(B1619)) + 1)))</f>
        <v>KG</v>
      </c>
      <c r="H161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912.5</v>
      </c>
      <c r="I1619" s="40" t="s">
        <v>555</v>
      </c>
      <c r="J161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95000</v>
      </c>
      <c r="K1619" t="s">
        <v>90</v>
      </c>
    </row>
    <row r="1620" spans="1:11" x14ac:dyDescent="0.35">
      <c r="A1620" t="s">
        <v>305</v>
      </c>
      <c r="B1620" t="s">
        <v>347</v>
      </c>
      <c r="C1620" t="s">
        <v>348</v>
      </c>
      <c r="D1620">
        <v>18</v>
      </c>
      <c r="E1620" t="s">
        <v>206</v>
      </c>
      <c r="F1620">
        <v>2024</v>
      </c>
      <c r="G1620" t="str">
        <f>TRIM(RIGHT(Table156[[#This Row],[Item-Codigo]], LEN(Table156[[#This Row],[Item-Codigo]]) - FIND("|", CONCATENATE(B1620), FIND("|", CONCATENATE(B1620)) + 1)))</f>
        <v>KG</v>
      </c>
      <c r="H162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550</v>
      </c>
      <c r="I1620" s="40">
        <v>550</v>
      </c>
      <c r="J162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18000</v>
      </c>
      <c r="K1620" t="s">
        <v>92</v>
      </c>
    </row>
    <row r="1621" spans="1:11" x14ac:dyDescent="0.35">
      <c r="A1621" t="s">
        <v>305</v>
      </c>
      <c r="B1621" t="s">
        <v>352</v>
      </c>
      <c r="C1621" t="s">
        <v>353</v>
      </c>
      <c r="D1621">
        <v>9.35</v>
      </c>
      <c r="E1621" t="s">
        <v>206</v>
      </c>
      <c r="F1621">
        <v>2024</v>
      </c>
      <c r="G1621" t="str">
        <f>TRIM(RIGHT(Table156[[#This Row],[Item-Codigo]], LEN(Table156[[#This Row],[Item-Codigo]]) - FIND("|", CONCATENATE(B1621), FIND("|", CONCATENATE(B1621)) + 1)))</f>
        <v>KG</v>
      </c>
      <c r="H162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742</v>
      </c>
      <c r="I1621" s="40">
        <v>742</v>
      </c>
      <c r="J162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9350</v>
      </c>
      <c r="K1621" t="s">
        <v>147</v>
      </c>
    </row>
    <row r="1622" spans="1:11" x14ac:dyDescent="0.35">
      <c r="A1622" t="s">
        <v>305</v>
      </c>
      <c r="B1622" t="s">
        <v>354</v>
      </c>
      <c r="C1622" t="s">
        <v>353</v>
      </c>
      <c r="D1622">
        <v>9.24</v>
      </c>
      <c r="E1622" t="s">
        <v>206</v>
      </c>
      <c r="F1622">
        <v>2024</v>
      </c>
      <c r="G1622" t="str">
        <f>TRIM(RIGHT(Table156[[#This Row],[Item-Codigo]], LEN(Table156[[#This Row],[Item-Codigo]]) - FIND("|", CONCATENATE(B1622), FIND("|", CONCATENATE(B1622)) + 1)))</f>
        <v>KG</v>
      </c>
      <c r="H162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741</v>
      </c>
      <c r="I1622" s="40">
        <v>741</v>
      </c>
      <c r="J162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9240</v>
      </c>
      <c r="K1622" t="s">
        <v>146</v>
      </c>
    </row>
    <row r="1623" spans="1:11" x14ac:dyDescent="0.35">
      <c r="A1623" t="s">
        <v>305</v>
      </c>
      <c r="B1623" t="s">
        <v>355</v>
      </c>
      <c r="C1623" t="s">
        <v>353</v>
      </c>
      <c r="D1623">
        <v>8.85</v>
      </c>
      <c r="E1623" t="s">
        <v>206</v>
      </c>
      <c r="F1623">
        <v>2024</v>
      </c>
      <c r="G1623" t="str">
        <f>TRIM(RIGHT(Table156[[#This Row],[Item-Codigo]], LEN(Table156[[#This Row],[Item-Codigo]]) - FIND("|", CONCATENATE(B1623), FIND("|", CONCATENATE(B1623)) + 1)))</f>
        <v>KG</v>
      </c>
      <c r="H162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740</v>
      </c>
      <c r="I1623" s="40">
        <v>740</v>
      </c>
      <c r="J162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8850</v>
      </c>
      <c r="K1623" t="s">
        <v>143</v>
      </c>
    </row>
    <row r="1624" spans="1:11" x14ac:dyDescent="0.35">
      <c r="A1624" t="s">
        <v>305</v>
      </c>
      <c r="B1624" t="s">
        <v>360</v>
      </c>
      <c r="C1624" t="s">
        <v>215</v>
      </c>
      <c r="D1624">
        <v>919.42934782605005</v>
      </c>
      <c r="E1624" t="s">
        <v>206</v>
      </c>
      <c r="F1624">
        <v>2024</v>
      </c>
      <c r="G1624" t="str">
        <f>TRIM(RIGHT(Table156[[#This Row],[Item-Codigo]], LEN(Table156[[#This Row],[Item-Codigo]]) - FIND("|", CONCATENATE(B1624), FIND("|", CONCATENATE(B1624)) + 1)))</f>
        <v>TM</v>
      </c>
      <c r="H162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</v>
      </c>
      <c r="I1624" s="40">
        <v>45</v>
      </c>
      <c r="J162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919.42934782605005</v>
      </c>
      <c r="K1624" t="s">
        <v>131</v>
      </c>
    </row>
    <row r="1625" spans="1:11" x14ac:dyDescent="0.35">
      <c r="A1625" t="s">
        <v>305</v>
      </c>
      <c r="B1625" t="s">
        <v>361</v>
      </c>
      <c r="C1625" t="s">
        <v>309</v>
      </c>
      <c r="D1625">
        <v>6</v>
      </c>
      <c r="E1625" t="s">
        <v>206</v>
      </c>
      <c r="F1625">
        <v>2024</v>
      </c>
      <c r="G1625" t="str">
        <f>TRIM(RIGHT(Table156[[#This Row],[Item-Codigo]], LEN(Table156[[#This Row],[Item-Codigo]]) - FIND("|", CONCATENATE(B1625), FIND("|", CONCATENATE(B1625)) + 1)))</f>
        <v>KG</v>
      </c>
      <c r="H162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</v>
      </c>
      <c r="I1625" s="40">
        <v>49</v>
      </c>
      <c r="J162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1625" t="s">
        <v>361</v>
      </c>
    </row>
    <row r="1626" spans="1:11" x14ac:dyDescent="0.35">
      <c r="A1626" t="s">
        <v>305</v>
      </c>
      <c r="B1626" t="s">
        <v>362</v>
      </c>
      <c r="C1626" t="s">
        <v>363</v>
      </c>
      <c r="D1626">
        <v>1.3148</v>
      </c>
      <c r="E1626" t="s">
        <v>206</v>
      </c>
      <c r="F1626">
        <v>2024</v>
      </c>
      <c r="G1626" t="str">
        <f>TRIM(RIGHT(Table156[[#This Row],[Item-Codigo]], LEN(Table156[[#This Row],[Item-Codigo]]) - FIND("|", CONCATENATE(B1626), FIND("|", CONCATENATE(B1626)) + 1)))</f>
        <v>KG</v>
      </c>
      <c r="H162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439</v>
      </c>
      <c r="I1626" s="40">
        <v>439</v>
      </c>
      <c r="J162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1314.8</v>
      </c>
      <c r="K1626" t="s">
        <v>137</v>
      </c>
    </row>
    <row r="1627" spans="1:11" x14ac:dyDescent="0.35">
      <c r="A1627" t="s">
        <v>305</v>
      </c>
      <c r="B1627" t="s">
        <v>364</v>
      </c>
      <c r="C1627" t="s">
        <v>365</v>
      </c>
      <c r="D1627">
        <v>1.07</v>
      </c>
      <c r="E1627" t="s">
        <v>206</v>
      </c>
      <c r="F1627">
        <v>2024</v>
      </c>
      <c r="G1627" t="str">
        <f>TRIM(RIGHT(Table156[[#This Row],[Item-Codigo]], LEN(Table156[[#This Row],[Item-Codigo]]) - FIND("|", CONCATENATE(B1627), FIND("|", CONCATENATE(B1627)) + 1)))</f>
        <v>KG</v>
      </c>
      <c r="H162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488.1</v>
      </c>
      <c r="I1627" s="40" t="s">
        <v>538</v>
      </c>
      <c r="J162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1070</v>
      </c>
      <c r="K1627" t="s">
        <v>149</v>
      </c>
    </row>
    <row r="1628" spans="1:11" x14ac:dyDescent="0.35">
      <c r="A1628" t="s">
        <v>305</v>
      </c>
      <c r="B1628" t="s">
        <v>366</v>
      </c>
      <c r="C1628" t="s">
        <v>311</v>
      </c>
      <c r="D1628">
        <v>3.09</v>
      </c>
      <c r="E1628" t="s">
        <v>206</v>
      </c>
      <c r="F1628">
        <v>2024</v>
      </c>
      <c r="G1628" t="str">
        <f>TRIM(RIGHT(Table156[[#This Row],[Item-Codigo]], LEN(Table156[[#This Row],[Item-Codigo]]) - FIND("|", CONCATENATE(B1628), FIND("|", CONCATENATE(B1628)) + 1)))</f>
        <v>KG</v>
      </c>
      <c r="H162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499.11</v>
      </c>
      <c r="I1628" s="40" t="s">
        <v>543</v>
      </c>
      <c r="J162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3090</v>
      </c>
      <c r="K1628" t="s">
        <v>142</v>
      </c>
    </row>
    <row r="1629" spans="1:11" x14ac:dyDescent="0.35">
      <c r="A1629" t="s">
        <v>305</v>
      </c>
      <c r="B1629" t="s">
        <v>367</v>
      </c>
      <c r="C1629" t="s">
        <v>321</v>
      </c>
      <c r="D1629">
        <v>2.15</v>
      </c>
      <c r="E1629" t="s">
        <v>206</v>
      </c>
      <c r="F1629">
        <v>2024</v>
      </c>
      <c r="G1629" t="str">
        <f>TRIM(RIGHT(Table156[[#This Row],[Item-Codigo]], LEN(Table156[[#This Row],[Item-Codigo]]) - FIND("|", CONCATENATE(B1629), FIND("|", CONCATENATE(B1629)) + 1)))</f>
        <v>KG</v>
      </c>
      <c r="H162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910</v>
      </c>
      <c r="I1629" s="40">
        <v>910</v>
      </c>
      <c r="J162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2150</v>
      </c>
      <c r="K1629" t="s">
        <v>136</v>
      </c>
    </row>
    <row r="1630" spans="1:11" x14ac:dyDescent="0.35">
      <c r="A1630" t="s">
        <v>305</v>
      </c>
      <c r="B1630" t="s">
        <v>369</v>
      </c>
      <c r="C1630" t="s">
        <v>363</v>
      </c>
      <c r="D1630">
        <v>1.34</v>
      </c>
      <c r="E1630" t="s">
        <v>206</v>
      </c>
      <c r="F1630">
        <v>2024</v>
      </c>
      <c r="G1630" t="str">
        <f>TRIM(RIGHT(Table156[[#This Row],[Item-Codigo]], LEN(Table156[[#This Row],[Item-Codigo]]) - FIND("|", CONCATENATE(B1630), FIND("|", CONCATENATE(B1630)) + 1)))</f>
        <v>KG</v>
      </c>
      <c r="H163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439.3</v>
      </c>
      <c r="I1630" s="40" t="s">
        <v>530</v>
      </c>
      <c r="J163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1340</v>
      </c>
      <c r="K1630" t="s">
        <v>178</v>
      </c>
    </row>
    <row r="1631" spans="1:11" x14ac:dyDescent="0.35">
      <c r="A1631" t="s">
        <v>305</v>
      </c>
      <c r="B1631" t="s">
        <v>370</v>
      </c>
      <c r="C1631" t="s">
        <v>371</v>
      </c>
      <c r="D1631">
        <v>9.76</v>
      </c>
      <c r="E1631" t="s">
        <v>206</v>
      </c>
      <c r="F1631">
        <v>2024</v>
      </c>
      <c r="G1631" t="str">
        <f>TRIM(RIGHT(Table156[[#This Row],[Item-Codigo]], LEN(Table156[[#This Row],[Item-Codigo]]) - FIND("|", CONCATENATE(B1631), FIND("|", CONCATENATE(B1631)) + 1)))</f>
        <v>KG</v>
      </c>
      <c r="H163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600</v>
      </c>
      <c r="I1631" s="40">
        <v>600</v>
      </c>
      <c r="J163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9760</v>
      </c>
      <c r="K1631" t="s">
        <v>179</v>
      </c>
    </row>
    <row r="1632" spans="1:11" x14ac:dyDescent="0.35">
      <c r="A1632" t="s">
        <v>305</v>
      </c>
      <c r="B1632" t="s">
        <v>372</v>
      </c>
      <c r="C1632" t="s">
        <v>373</v>
      </c>
      <c r="D1632">
        <v>1.2</v>
      </c>
      <c r="E1632" t="s">
        <v>206</v>
      </c>
      <c r="F1632">
        <v>2024</v>
      </c>
      <c r="G1632" t="str">
        <f>TRIM(RIGHT(Table156[[#This Row],[Item-Codigo]], LEN(Table156[[#This Row],[Item-Codigo]]) - FIND("|", CONCATENATE(B1632), FIND("|", CONCATENATE(B1632)) + 1)))</f>
        <v>KG</v>
      </c>
      <c r="H163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701.2</v>
      </c>
      <c r="I1632" s="40" t="s">
        <v>553</v>
      </c>
      <c r="J163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1200</v>
      </c>
      <c r="K1632" t="s">
        <v>140</v>
      </c>
    </row>
    <row r="1633" spans="1:11" x14ac:dyDescent="0.35">
      <c r="A1633" t="s">
        <v>305</v>
      </c>
      <c r="B1633" t="s">
        <v>375</v>
      </c>
      <c r="C1633" t="s">
        <v>317</v>
      </c>
      <c r="D1633">
        <v>6</v>
      </c>
      <c r="E1633" t="s">
        <v>206</v>
      </c>
      <c r="F1633">
        <v>2024</v>
      </c>
      <c r="G1633" t="str">
        <f>TRIM(RIGHT(Table156[[#This Row],[Item-Codigo]], LEN(Table156[[#This Row],[Item-Codigo]]) - FIND("|", CONCATENATE(B1633), FIND("|", CONCATENATE(B1633)) + 1)))</f>
        <v>KG</v>
      </c>
      <c r="H163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945</v>
      </c>
      <c r="I1633" s="40">
        <v>945</v>
      </c>
      <c r="J163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1633" t="s">
        <v>148</v>
      </c>
    </row>
    <row r="1634" spans="1:11" x14ac:dyDescent="0.35">
      <c r="A1634" t="s">
        <v>305</v>
      </c>
      <c r="B1634" t="s">
        <v>378</v>
      </c>
      <c r="C1634" t="s">
        <v>379</v>
      </c>
      <c r="D1634">
        <v>1.9</v>
      </c>
      <c r="E1634" t="s">
        <v>206</v>
      </c>
      <c r="F1634">
        <v>2024</v>
      </c>
      <c r="G1634" t="str">
        <f>TRIM(RIGHT(Table156[[#This Row],[Item-Codigo]], LEN(Table156[[#This Row],[Item-Codigo]]) - FIND("|", CONCATENATE(B1634), FIND("|", CONCATENATE(B1634)) + 1)))</f>
        <v>KG</v>
      </c>
      <c r="H163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316</v>
      </c>
      <c r="I1634" s="40">
        <v>316</v>
      </c>
      <c r="J163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1900</v>
      </c>
      <c r="K1634" t="s">
        <v>165</v>
      </c>
    </row>
    <row r="1635" spans="1:11" x14ac:dyDescent="0.35">
      <c r="A1635" t="s">
        <v>305</v>
      </c>
      <c r="B1635" t="s">
        <v>380</v>
      </c>
      <c r="C1635" t="s">
        <v>381</v>
      </c>
      <c r="D1635">
        <v>4</v>
      </c>
      <c r="E1635" t="s">
        <v>206</v>
      </c>
      <c r="F1635">
        <v>2024</v>
      </c>
      <c r="G1635" t="str">
        <f>TRIM(RIGHT(Table156[[#This Row],[Item-Codigo]], LEN(Table156[[#This Row],[Item-Codigo]]) - FIND("|", CONCATENATE(B1635), FIND("|", CONCATENATE(B1635)) + 1)))</f>
        <v>KG</v>
      </c>
      <c r="H163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706</v>
      </c>
      <c r="I1635" s="40">
        <v>706</v>
      </c>
      <c r="J163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</v>
      </c>
      <c r="K1635" t="s">
        <v>156</v>
      </c>
    </row>
    <row r="1636" spans="1:11" x14ac:dyDescent="0.35">
      <c r="A1636" t="s">
        <v>305</v>
      </c>
      <c r="B1636" t="s">
        <v>382</v>
      </c>
      <c r="C1636" t="s">
        <v>327</v>
      </c>
      <c r="D1636">
        <v>8</v>
      </c>
      <c r="E1636" t="s">
        <v>206</v>
      </c>
      <c r="F1636">
        <v>2024</v>
      </c>
      <c r="G1636" t="str">
        <f>TRIM(RIGHT(Table156[[#This Row],[Item-Codigo]], LEN(Table156[[#This Row],[Item-Codigo]]) - FIND("|", CONCATENATE(B1636), FIND("|", CONCATENATE(B1636)) + 1)))</f>
        <v>KG</v>
      </c>
      <c r="H163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68</v>
      </c>
      <c r="I1636" s="40">
        <v>68</v>
      </c>
      <c r="J163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8000</v>
      </c>
      <c r="K1636" t="s">
        <v>160</v>
      </c>
    </row>
    <row r="1637" spans="1:11" x14ac:dyDescent="0.35">
      <c r="A1637" t="s">
        <v>305</v>
      </c>
      <c r="B1637" t="s">
        <v>383</v>
      </c>
      <c r="C1637" t="s">
        <v>317</v>
      </c>
      <c r="D1637">
        <v>7.8</v>
      </c>
      <c r="E1637" t="s">
        <v>206</v>
      </c>
      <c r="F1637">
        <v>2024</v>
      </c>
      <c r="G1637" t="str">
        <f>TRIM(RIGHT(Table156[[#This Row],[Item-Codigo]], LEN(Table156[[#This Row],[Item-Codigo]]) - FIND("|", CONCATENATE(B1637), FIND("|", CONCATENATE(B1637)) + 1)))</f>
        <v>KG</v>
      </c>
      <c r="H163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1059</v>
      </c>
      <c r="I1637" s="40">
        <v>1059</v>
      </c>
      <c r="J163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7800</v>
      </c>
      <c r="K1637" t="s">
        <v>151</v>
      </c>
    </row>
    <row r="1638" spans="1:11" x14ac:dyDescent="0.35">
      <c r="A1638" t="s">
        <v>305</v>
      </c>
      <c r="B1638" t="s">
        <v>384</v>
      </c>
      <c r="C1638" t="s">
        <v>385</v>
      </c>
      <c r="D1638">
        <v>40</v>
      </c>
      <c r="E1638" t="s">
        <v>206</v>
      </c>
      <c r="F1638">
        <v>2024</v>
      </c>
      <c r="G1638" t="str">
        <f>TRIM(RIGHT(Table156[[#This Row],[Item-Codigo]], LEN(Table156[[#This Row],[Item-Codigo]]) - FIND("|", CONCATENATE(B1638), FIND("|", CONCATENATE(B1638)) + 1)))</f>
        <v>KG</v>
      </c>
      <c r="H163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527.1</v>
      </c>
      <c r="I1638" s="40" t="s">
        <v>547</v>
      </c>
      <c r="J163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40000</v>
      </c>
      <c r="K1638" t="s">
        <v>1078</v>
      </c>
    </row>
    <row r="1639" spans="1:11" x14ac:dyDescent="0.35">
      <c r="A1639" t="s">
        <v>305</v>
      </c>
      <c r="B1639" t="s">
        <v>389</v>
      </c>
      <c r="C1639" t="s">
        <v>390</v>
      </c>
      <c r="D1639">
        <v>1.05</v>
      </c>
      <c r="E1639" t="s">
        <v>206</v>
      </c>
      <c r="F1639">
        <v>2024</v>
      </c>
      <c r="G1639" t="str">
        <f>TRIM(RIGHT(Table156[[#This Row],[Item-Codigo]], LEN(Table156[[#This Row],[Item-Codigo]]) - FIND("|", CONCATENATE(B1639), FIND("|", CONCATENATE(B1639)) + 1)))</f>
        <v>KG</v>
      </c>
      <c r="H163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806</v>
      </c>
      <c r="I1639" s="40">
        <v>806</v>
      </c>
      <c r="J163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1050</v>
      </c>
      <c r="K1639" t="s">
        <v>134</v>
      </c>
    </row>
    <row r="1640" spans="1:11" x14ac:dyDescent="0.35">
      <c r="A1640" t="s">
        <v>305</v>
      </c>
      <c r="B1640" t="s">
        <v>391</v>
      </c>
      <c r="C1640" t="s">
        <v>390</v>
      </c>
      <c r="D1640">
        <v>2</v>
      </c>
      <c r="E1640" t="s">
        <v>206</v>
      </c>
      <c r="F1640">
        <v>2024</v>
      </c>
      <c r="G1640" t="str">
        <f>TRIM(RIGHT(Table156[[#This Row],[Item-Codigo]], LEN(Table156[[#This Row],[Item-Codigo]]) - FIND("|", CONCATENATE(B1640), FIND("|", CONCATENATE(B1640)) + 1)))</f>
        <v>KG</v>
      </c>
      <c r="H164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810</v>
      </c>
      <c r="I1640" s="40">
        <v>810</v>
      </c>
      <c r="J164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2000</v>
      </c>
      <c r="K1640" t="s">
        <v>144</v>
      </c>
    </row>
    <row r="1641" spans="1:11" x14ac:dyDescent="0.35">
      <c r="A1641" t="s">
        <v>305</v>
      </c>
      <c r="B1641" t="s">
        <v>392</v>
      </c>
      <c r="C1641" t="s">
        <v>393</v>
      </c>
      <c r="D1641">
        <v>2.8</v>
      </c>
      <c r="E1641" t="s">
        <v>206</v>
      </c>
      <c r="F1641">
        <v>2024</v>
      </c>
      <c r="G1641" t="str">
        <f>TRIM(RIGHT(Table156[[#This Row],[Item-Codigo]], LEN(Table156[[#This Row],[Item-Codigo]]) - FIND("|", CONCATENATE(B1641), FIND("|", CONCATENATE(B1641)) + 1)))</f>
        <v>KG</v>
      </c>
      <c r="H164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170</v>
      </c>
      <c r="I1641" s="40">
        <v>170</v>
      </c>
      <c r="J164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2800</v>
      </c>
      <c r="K1641" t="s">
        <v>174</v>
      </c>
    </row>
    <row r="1642" spans="1:11" x14ac:dyDescent="0.35">
      <c r="A1642" t="s">
        <v>305</v>
      </c>
      <c r="B1642" t="s">
        <v>394</v>
      </c>
      <c r="C1642" t="s">
        <v>395</v>
      </c>
      <c r="D1642">
        <v>19.75</v>
      </c>
      <c r="E1642" t="s">
        <v>206</v>
      </c>
      <c r="F1642">
        <v>2024</v>
      </c>
      <c r="G1642" t="str">
        <f>TRIM(RIGHT(Table156[[#This Row],[Item-Codigo]], LEN(Table156[[#This Row],[Item-Codigo]]) - FIND("|", CONCATENATE(B1642), FIND("|", CONCATENATE(B1642)) + 1)))</f>
        <v>KG</v>
      </c>
      <c r="H164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</v>
      </c>
      <c r="I1642" s="40">
        <v>70</v>
      </c>
      <c r="J164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19750</v>
      </c>
      <c r="K1642" t="s">
        <v>159</v>
      </c>
    </row>
    <row r="1643" spans="1:11" x14ac:dyDescent="0.35">
      <c r="A1643" t="s">
        <v>305</v>
      </c>
      <c r="B1643" t="s">
        <v>398</v>
      </c>
      <c r="C1643" t="s">
        <v>399</v>
      </c>
      <c r="D1643">
        <v>0.16684238270000001</v>
      </c>
      <c r="E1643" t="s">
        <v>206</v>
      </c>
      <c r="F1643">
        <v>2024</v>
      </c>
      <c r="G1643" t="str">
        <f>TRIM(RIGHT(Table156[[#This Row],[Item-Codigo]], LEN(Table156[[#This Row],[Item-Codigo]]) - FIND("|", CONCATENATE(B1643), FIND("|", CONCATENATE(B1643)) + 1)))</f>
        <v>KG</v>
      </c>
      <c r="H164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704</v>
      </c>
      <c r="I1643" s="40">
        <v>704</v>
      </c>
      <c r="J164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166.8423827</v>
      </c>
      <c r="K1643" t="s">
        <v>132</v>
      </c>
    </row>
    <row r="1644" spans="1:11" x14ac:dyDescent="0.35">
      <c r="A1644" t="s">
        <v>305</v>
      </c>
      <c r="B1644" t="s">
        <v>401</v>
      </c>
      <c r="C1644" t="s">
        <v>345</v>
      </c>
      <c r="D1644">
        <v>33.85</v>
      </c>
      <c r="E1644" t="s">
        <v>206</v>
      </c>
      <c r="F1644">
        <v>2024</v>
      </c>
      <c r="G1644" t="str">
        <f>TRIM(RIGHT(Table156[[#This Row],[Item-Codigo]], LEN(Table156[[#This Row],[Item-Codigo]]) - FIND("|", CONCATENATE(B1644), FIND("|", CONCATENATE(B1644)) + 1)))</f>
        <v>KG</v>
      </c>
      <c r="H164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1049</v>
      </c>
      <c r="I1644" s="40">
        <v>1049</v>
      </c>
      <c r="J164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33850</v>
      </c>
      <c r="K1644" t="s">
        <v>973</v>
      </c>
    </row>
    <row r="1645" spans="1:11" x14ac:dyDescent="0.35">
      <c r="A1645" t="s">
        <v>305</v>
      </c>
      <c r="B1645" t="s">
        <v>402</v>
      </c>
      <c r="C1645" t="s">
        <v>331</v>
      </c>
      <c r="D1645">
        <v>3</v>
      </c>
      <c r="E1645" t="s">
        <v>206</v>
      </c>
      <c r="F1645">
        <v>2024</v>
      </c>
      <c r="G1645" t="str">
        <f>TRIM(RIGHT(Table156[[#This Row],[Item-Codigo]], LEN(Table156[[#This Row],[Item-Codigo]]) - FIND("|", CONCATENATE(B1645), FIND("|", CONCATENATE(B1645)) + 1)))</f>
        <v>KG</v>
      </c>
      <c r="H164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716</v>
      </c>
      <c r="I1645" s="40">
        <v>716</v>
      </c>
      <c r="J164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3000</v>
      </c>
      <c r="K1645" t="s">
        <v>162</v>
      </c>
    </row>
    <row r="1646" spans="1:11" x14ac:dyDescent="0.35">
      <c r="A1646" t="s">
        <v>305</v>
      </c>
      <c r="B1646" t="s">
        <v>403</v>
      </c>
      <c r="C1646" t="s">
        <v>385</v>
      </c>
      <c r="D1646">
        <v>1.05</v>
      </c>
      <c r="E1646" t="s">
        <v>206</v>
      </c>
      <c r="F1646">
        <v>2024</v>
      </c>
      <c r="G1646" t="str">
        <f>TRIM(RIGHT(Table156[[#This Row],[Item-Codigo]], LEN(Table156[[#This Row],[Item-Codigo]]) - FIND("|", CONCATENATE(B1646), FIND("|", CONCATENATE(B1646)) + 1)))</f>
        <v>KG</v>
      </c>
      <c r="H164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497.5</v>
      </c>
      <c r="I1646" s="40" t="s">
        <v>540</v>
      </c>
      <c r="J164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1050</v>
      </c>
      <c r="K1646" t="s">
        <v>133</v>
      </c>
    </row>
    <row r="1647" spans="1:11" x14ac:dyDescent="0.35">
      <c r="A1647" t="s">
        <v>305</v>
      </c>
      <c r="B1647" t="s">
        <v>405</v>
      </c>
      <c r="C1647" t="s">
        <v>215</v>
      </c>
      <c r="D1647">
        <v>805</v>
      </c>
      <c r="E1647" t="s">
        <v>206</v>
      </c>
      <c r="F1647">
        <v>2024</v>
      </c>
      <c r="G1647" t="str">
        <f>TRIM(RIGHT(Table156[[#This Row],[Item-Codigo]], LEN(Table156[[#This Row],[Item-Codigo]]) - FIND("|", CONCATENATE(B1647), FIND("|", CONCATENATE(B1647)) + 1)))</f>
        <v>TM</v>
      </c>
      <c r="H164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497.5</v>
      </c>
      <c r="I1647" s="40" t="s">
        <v>540</v>
      </c>
      <c r="J164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805</v>
      </c>
      <c r="K1647" t="s">
        <v>133</v>
      </c>
    </row>
    <row r="1648" spans="1:11" x14ac:dyDescent="0.35">
      <c r="A1648" t="s">
        <v>305</v>
      </c>
      <c r="B1648" t="s">
        <v>407</v>
      </c>
      <c r="C1648" t="s">
        <v>390</v>
      </c>
      <c r="D1648">
        <v>1.18</v>
      </c>
      <c r="E1648" t="s">
        <v>206</v>
      </c>
      <c r="F1648">
        <v>2024</v>
      </c>
      <c r="G1648" t="str">
        <f>TRIM(RIGHT(Table156[[#This Row],[Item-Codigo]], LEN(Table156[[#This Row],[Item-Codigo]]) - FIND("|", CONCATENATE(B1648), FIND("|", CONCATENATE(B1648)) + 1)))</f>
        <v>KG</v>
      </c>
      <c r="H164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46.5</v>
      </c>
      <c r="I1648" s="40" t="s">
        <v>535</v>
      </c>
      <c r="J164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1180</v>
      </c>
      <c r="K1648" t="s">
        <v>161</v>
      </c>
    </row>
    <row r="1649" spans="1:11" x14ac:dyDescent="0.35">
      <c r="A1649" t="s">
        <v>305</v>
      </c>
      <c r="B1649" t="s">
        <v>408</v>
      </c>
      <c r="C1649" t="s">
        <v>385</v>
      </c>
      <c r="D1649">
        <v>1.95</v>
      </c>
      <c r="E1649" t="s">
        <v>206</v>
      </c>
      <c r="F1649">
        <v>2024</v>
      </c>
      <c r="G1649" t="str">
        <f>TRIM(RIGHT(Table156[[#This Row],[Item-Codigo]], LEN(Table156[[#This Row],[Item-Codigo]]) - FIND("|", CONCATENATE(B1649), FIND("|", CONCATENATE(B1649)) + 1)))</f>
        <v>KG</v>
      </c>
      <c r="H164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379</v>
      </c>
      <c r="I1649" s="40">
        <v>379</v>
      </c>
      <c r="J164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1950</v>
      </c>
      <c r="K1649" t="s">
        <v>139</v>
      </c>
    </row>
    <row r="1650" spans="1:11" x14ac:dyDescent="0.35">
      <c r="A1650" t="s">
        <v>305</v>
      </c>
      <c r="B1650" t="s">
        <v>414</v>
      </c>
      <c r="C1650" t="s">
        <v>415</v>
      </c>
      <c r="D1650">
        <v>6.96</v>
      </c>
      <c r="E1650" t="s">
        <v>206</v>
      </c>
      <c r="F1650">
        <v>2024</v>
      </c>
      <c r="G1650" t="str">
        <f>TRIM(RIGHT(Table156[[#This Row],[Item-Codigo]], LEN(Table156[[#This Row],[Item-Codigo]]) - FIND("|", CONCATENATE(B1650), FIND("|", CONCATENATE(B1650)) + 1)))</f>
        <v>KG</v>
      </c>
      <c r="H165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455.3</v>
      </c>
      <c r="I1650" s="40" t="s">
        <v>532</v>
      </c>
      <c r="J165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6960</v>
      </c>
      <c r="K1650" t="s">
        <v>150</v>
      </c>
    </row>
    <row r="1651" spans="1:11" x14ac:dyDescent="0.35">
      <c r="A1651" t="s">
        <v>305</v>
      </c>
      <c r="B1651" t="s">
        <v>416</v>
      </c>
      <c r="C1651" t="s">
        <v>317</v>
      </c>
      <c r="D1651">
        <v>2.27</v>
      </c>
      <c r="E1651" t="s">
        <v>206</v>
      </c>
      <c r="F1651">
        <v>2024</v>
      </c>
      <c r="G1651" t="str">
        <f>TRIM(RIGHT(Table156[[#This Row],[Item-Codigo]], LEN(Table156[[#This Row],[Item-Codigo]]) - FIND("|", CONCATENATE(B1651), FIND("|", CONCATENATE(B1651)) + 1)))</f>
        <v>KG</v>
      </c>
      <c r="H165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1007.5</v>
      </c>
      <c r="I1651" s="40" t="s">
        <v>495</v>
      </c>
      <c r="J165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2270</v>
      </c>
      <c r="K1651" t="s">
        <v>141</v>
      </c>
    </row>
    <row r="1652" spans="1:11" x14ac:dyDescent="0.35">
      <c r="A1652" t="s">
        <v>305</v>
      </c>
      <c r="B1652" t="s">
        <v>417</v>
      </c>
      <c r="C1652" t="s">
        <v>365</v>
      </c>
      <c r="D1652">
        <v>6</v>
      </c>
      <c r="E1652" t="s">
        <v>206</v>
      </c>
      <c r="F1652">
        <v>2024</v>
      </c>
      <c r="G1652" t="str">
        <f>TRIM(RIGHT(Table156[[#This Row],[Item-Codigo]], LEN(Table156[[#This Row],[Item-Codigo]]) - FIND("|", CONCATENATE(B1652), FIND("|", CONCATENATE(B1652)) + 1)))</f>
        <v>KG</v>
      </c>
      <c r="H165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461</v>
      </c>
      <c r="I1652" s="40">
        <v>461</v>
      </c>
      <c r="J165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1652" t="s">
        <v>176</v>
      </c>
    </row>
    <row r="1653" spans="1:11" x14ac:dyDescent="0.35">
      <c r="A1653" t="s">
        <v>680</v>
      </c>
      <c r="B1653" t="s">
        <v>1008</v>
      </c>
      <c r="C1653" t="s">
        <v>874</v>
      </c>
      <c r="D1653">
        <v>1.2500000000000001E-2</v>
      </c>
      <c r="E1653" t="s">
        <v>206</v>
      </c>
      <c r="F1653">
        <v>2024</v>
      </c>
      <c r="G1653" t="str">
        <f>TRIM(RIGHT(Table156[[#This Row],[Item-Codigo]], LEN(Table156[[#This Row],[Item-Codigo]]) - FIND("|", CONCATENATE(B1653), FIND("|", CONCATENATE(B1653)) + 1)))</f>
        <v>UND</v>
      </c>
      <c r="H165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5205</v>
      </c>
      <c r="I1653" s="40">
        <v>5205</v>
      </c>
      <c r="J165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653" t="s">
        <v>807</v>
      </c>
    </row>
    <row r="1654" spans="1:11" x14ac:dyDescent="0.35">
      <c r="A1654" t="s">
        <v>680</v>
      </c>
      <c r="B1654" t="s">
        <v>1024</v>
      </c>
      <c r="C1654" t="s">
        <v>874</v>
      </c>
      <c r="D1654">
        <v>1.2500000000000001E-2</v>
      </c>
      <c r="E1654" t="s">
        <v>206</v>
      </c>
      <c r="F1654">
        <v>2024</v>
      </c>
      <c r="G1654" t="str">
        <f>TRIM(RIGHT(Table156[[#This Row],[Item-Codigo]], LEN(Table156[[#This Row],[Item-Codigo]]) - FIND("|", CONCATENATE(B1654), FIND("|", CONCATENATE(B1654)) + 1)))</f>
        <v>UND</v>
      </c>
      <c r="H165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5206</v>
      </c>
      <c r="I1654" s="40">
        <v>5206</v>
      </c>
      <c r="J165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654" t="s">
        <v>805</v>
      </c>
    </row>
    <row r="1655" spans="1:11" x14ac:dyDescent="0.35">
      <c r="A1655" t="s">
        <v>680</v>
      </c>
      <c r="B1655" t="s">
        <v>1025</v>
      </c>
      <c r="C1655" t="s">
        <v>874</v>
      </c>
      <c r="D1655">
        <v>1.2500000000000001E-2</v>
      </c>
      <c r="E1655" t="s">
        <v>206</v>
      </c>
      <c r="F1655">
        <v>2024</v>
      </c>
      <c r="G1655" t="str">
        <f>TRIM(RIGHT(Table156[[#This Row],[Item-Codigo]], LEN(Table156[[#This Row],[Item-Codigo]]) - FIND("|", CONCATENATE(B1655), FIND("|", CONCATENATE(B1655)) + 1)))</f>
        <v>UND</v>
      </c>
      <c r="H165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5207</v>
      </c>
      <c r="I1655" s="40">
        <v>5207</v>
      </c>
      <c r="J165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655" t="s">
        <v>803</v>
      </c>
    </row>
    <row r="1656" spans="1:11" x14ac:dyDescent="0.35">
      <c r="A1656" t="s">
        <v>680</v>
      </c>
      <c r="B1656" t="s">
        <v>1028</v>
      </c>
      <c r="C1656" t="s">
        <v>874</v>
      </c>
      <c r="D1656">
        <v>1.2500000000000001E-2</v>
      </c>
      <c r="E1656" t="s">
        <v>206</v>
      </c>
      <c r="F1656">
        <v>2024</v>
      </c>
      <c r="G1656" t="str">
        <f>TRIM(RIGHT(Table156[[#This Row],[Item-Codigo]], LEN(Table156[[#This Row],[Item-Codigo]]) - FIND("|", CONCATENATE(B1656), FIND("|", CONCATENATE(B1656)) + 1)))</f>
        <v>UND</v>
      </c>
      <c r="H165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5318</v>
      </c>
      <c r="I1656" s="40">
        <v>5318</v>
      </c>
      <c r="J165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656" t="s">
        <v>1055</v>
      </c>
    </row>
    <row r="1657" spans="1:11" x14ac:dyDescent="0.35">
      <c r="A1657" t="s">
        <v>680</v>
      </c>
      <c r="B1657" t="s">
        <v>1009</v>
      </c>
      <c r="C1657" t="s">
        <v>874</v>
      </c>
      <c r="D1657">
        <v>1.2500000000000001E-2</v>
      </c>
      <c r="E1657" t="s">
        <v>206</v>
      </c>
      <c r="F1657">
        <v>2024</v>
      </c>
      <c r="G1657" t="str">
        <f>TRIM(RIGHT(Table156[[#This Row],[Item-Codigo]], LEN(Table156[[#This Row],[Item-Codigo]]) - FIND("|", CONCATENATE(B1657), FIND("|", CONCATENATE(B1657)) + 1)))</f>
        <v>UND</v>
      </c>
      <c r="H165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2451</v>
      </c>
      <c r="I1657" s="40">
        <v>2451</v>
      </c>
      <c r="J165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657" t="s">
        <v>796</v>
      </c>
    </row>
    <row r="1658" spans="1:11" x14ac:dyDescent="0.35">
      <c r="A1658" t="s">
        <v>680</v>
      </c>
      <c r="B1658" t="s">
        <v>1011</v>
      </c>
      <c r="C1658" t="s">
        <v>874</v>
      </c>
      <c r="D1658">
        <v>1.2500000000000001E-2</v>
      </c>
      <c r="E1658" t="s">
        <v>206</v>
      </c>
      <c r="F1658">
        <v>2024</v>
      </c>
      <c r="G1658" t="str">
        <f>TRIM(RIGHT(Table156[[#This Row],[Item-Codigo]], LEN(Table156[[#This Row],[Item-Codigo]]) - FIND("|", CONCATENATE(B1658), FIND("|", CONCATENATE(B1658)) + 1)))</f>
        <v>UND</v>
      </c>
      <c r="H165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4100</v>
      </c>
      <c r="I1658" s="40">
        <v>4100</v>
      </c>
      <c r="J165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658" t="s">
        <v>810</v>
      </c>
    </row>
    <row r="1659" spans="1:11" x14ac:dyDescent="0.35">
      <c r="A1659" t="s">
        <v>680</v>
      </c>
      <c r="B1659" t="s">
        <v>1012</v>
      </c>
      <c r="C1659" t="s">
        <v>874</v>
      </c>
      <c r="D1659">
        <v>1.2500000000000001E-2</v>
      </c>
      <c r="E1659" t="s">
        <v>206</v>
      </c>
      <c r="F1659">
        <v>2024</v>
      </c>
      <c r="G1659" t="str">
        <f>TRIM(RIGHT(Table156[[#This Row],[Item-Codigo]], LEN(Table156[[#This Row],[Item-Codigo]]) - FIND("|", CONCATENATE(B1659), FIND("|", CONCATENATE(B1659)) + 1)))</f>
        <v>UND</v>
      </c>
      <c r="H165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4200</v>
      </c>
      <c r="I1659" s="40">
        <v>4200</v>
      </c>
      <c r="J165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659" t="s">
        <v>790</v>
      </c>
    </row>
    <row r="1660" spans="1:11" x14ac:dyDescent="0.35">
      <c r="A1660" t="s">
        <v>680</v>
      </c>
      <c r="B1660" t="s">
        <v>1013</v>
      </c>
      <c r="C1660" t="s">
        <v>874</v>
      </c>
      <c r="D1660">
        <v>1.2500000000000001E-2</v>
      </c>
      <c r="E1660" t="s">
        <v>206</v>
      </c>
      <c r="F1660">
        <v>2024</v>
      </c>
      <c r="G1660" t="str">
        <f>TRIM(RIGHT(Table156[[#This Row],[Item-Codigo]], LEN(Table156[[#This Row],[Item-Codigo]]) - FIND("|", CONCATENATE(B1660), FIND("|", CONCATENATE(B1660)) + 1)))</f>
        <v>UND</v>
      </c>
      <c r="H166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4300</v>
      </c>
      <c r="I1660" s="40">
        <v>4300</v>
      </c>
      <c r="J166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660" t="s">
        <v>787</v>
      </c>
    </row>
    <row r="1661" spans="1:11" x14ac:dyDescent="0.35">
      <c r="A1661" t="s">
        <v>680</v>
      </c>
      <c r="B1661" t="s">
        <v>1014</v>
      </c>
      <c r="C1661" t="s">
        <v>874</v>
      </c>
      <c r="D1661">
        <v>1.2500000000000001E-2</v>
      </c>
      <c r="E1661" t="s">
        <v>206</v>
      </c>
      <c r="F1661">
        <v>2024</v>
      </c>
      <c r="G1661" t="str">
        <f>TRIM(RIGHT(Table156[[#This Row],[Item-Codigo]], LEN(Table156[[#This Row],[Item-Codigo]]) - FIND("|", CONCATENATE(B1661), FIND("|", CONCATENATE(B1661)) + 1)))</f>
        <v>UND</v>
      </c>
      <c r="H166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3262</v>
      </c>
      <c r="I1661" s="40">
        <v>3262</v>
      </c>
      <c r="J166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661" t="s">
        <v>786</v>
      </c>
    </row>
    <row r="1662" spans="1:11" x14ac:dyDescent="0.35">
      <c r="A1662" t="s">
        <v>680</v>
      </c>
      <c r="B1662" t="s">
        <v>1032</v>
      </c>
      <c r="C1662" t="s">
        <v>874</v>
      </c>
      <c r="D1662">
        <v>1.2500000000000001E-2</v>
      </c>
      <c r="E1662" t="s">
        <v>206</v>
      </c>
      <c r="F1662">
        <v>2024</v>
      </c>
      <c r="G1662" t="str">
        <f>TRIM(RIGHT(Table156[[#This Row],[Item-Codigo]], LEN(Table156[[#This Row],[Item-Codigo]]) - FIND("|", CONCATENATE(B1662), FIND("|", CONCATENATE(B1662)) + 1)))</f>
        <v>UND</v>
      </c>
      <c r="H166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3280</v>
      </c>
      <c r="I1662" s="40">
        <v>3280</v>
      </c>
      <c r="J166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662" t="s">
        <v>971</v>
      </c>
    </row>
    <row r="1663" spans="1:11" x14ac:dyDescent="0.35">
      <c r="A1663" t="s">
        <v>680</v>
      </c>
      <c r="B1663" t="s">
        <v>1034</v>
      </c>
      <c r="C1663" t="s">
        <v>874</v>
      </c>
      <c r="D1663">
        <v>1.2500000000000001E-2</v>
      </c>
      <c r="E1663" t="s">
        <v>206</v>
      </c>
      <c r="F1663">
        <v>2024</v>
      </c>
      <c r="G1663" t="str">
        <f>TRIM(RIGHT(Table156[[#This Row],[Item-Codigo]], LEN(Table156[[#This Row],[Item-Codigo]]) - FIND("|", CONCATENATE(B1663), FIND("|", CONCATENATE(B1663)) + 1)))</f>
        <v>UND</v>
      </c>
      <c r="H166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3135</v>
      </c>
      <c r="I1663" s="40">
        <v>3135</v>
      </c>
      <c r="J166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663" t="s">
        <v>788</v>
      </c>
    </row>
    <row r="1664" spans="1:11" x14ac:dyDescent="0.35">
      <c r="A1664" t="s">
        <v>680</v>
      </c>
      <c r="B1664" t="s">
        <v>1015</v>
      </c>
      <c r="C1664" t="s">
        <v>874</v>
      </c>
      <c r="D1664">
        <v>1.2500000000000001E-2</v>
      </c>
      <c r="E1664" t="s">
        <v>206</v>
      </c>
      <c r="F1664">
        <v>2024</v>
      </c>
      <c r="G1664" t="str">
        <f>TRIM(RIGHT(Table156[[#This Row],[Item-Codigo]], LEN(Table156[[#This Row],[Item-Codigo]]) - FIND("|", CONCATENATE(B1664), FIND("|", CONCATENATE(B1664)) + 1)))</f>
        <v>UND</v>
      </c>
      <c r="H166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2423</v>
      </c>
      <c r="I1664" s="40">
        <v>2423</v>
      </c>
      <c r="J166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664" t="s">
        <v>779</v>
      </c>
    </row>
    <row r="1665" spans="1:11" x14ac:dyDescent="0.35">
      <c r="A1665" t="s">
        <v>680</v>
      </c>
      <c r="B1665" t="s">
        <v>1016</v>
      </c>
      <c r="C1665" t="s">
        <v>874</v>
      </c>
      <c r="D1665">
        <v>1.2500000000000001E-2</v>
      </c>
      <c r="E1665" t="s">
        <v>206</v>
      </c>
      <c r="F1665">
        <v>2024</v>
      </c>
      <c r="G1665" t="str">
        <f>TRIM(RIGHT(Table156[[#This Row],[Item-Codigo]], LEN(Table156[[#This Row],[Item-Codigo]]) - FIND("|", CONCATENATE(B1665), FIND("|", CONCATENATE(B1665)) + 1)))</f>
        <v>UND</v>
      </c>
      <c r="H166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2434</v>
      </c>
      <c r="I1665" s="40">
        <v>2434</v>
      </c>
      <c r="J166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665" t="s">
        <v>777</v>
      </c>
    </row>
    <row r="1666" spans="1:11" x14ac:dyDescent="0.35">
      <c r="A1666" t="s">
        <v>680</v>
      </c>
      <c r="B1666" t="s">
        <v>1017</v>
      </c>
      <c r="C1666" t="s">
        <v>874</v>
      </c>
      <c r="D1666">
        <v>1.2500000000000001E-2</v>
      </c>
      <c r="E1666" t="s">
        <v>206</v>
      </c>
      <c r="F1666">
        <v>2024</v>
      </c>
      <c r="G1666" t="str">
        <f>TRIM(RIGHT(Table156[[#This Row],[Item-Codigo]], LEN(Table156[[#This Row],[Item-Codigo]]) - FIND("|", CONCATENATE(B1666), FIND("|", CONCATENATE(B1666)) + 1)))</f>
        <v>UND</v>
      </c>
      <c r="H166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2435</v>
      </c>
      <c r="I1666" s="40">
        <v>2435</v>
      </c>
      <c r="J166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666" t="s">
        <v>801</v>
      </c>
    </row>
    <row r="1667" spans="1:11" x14ac:dyDescent="0.35">
      <c r="A1667" t="s">
        <v>680</v>
      </c>
      <c r="B1667" t="s">
        <v>1035</v>
      </c>
      <c r="C1667" t="s">
        <v>874</v>
      </c>
      <c r="D1667">
        <v>1.2500000000000001E-2</v>
      </c>
      <c r="E1667" t="s">
        <v>206</v>
      </c>
      <c r="F1667">
        <v>2024</v>
      </c>
      <c r="G1667" t="str">
        <f>TRIM(RIGHT(Table156[[#This Row],[Item-Codigo]], LEN(Table156[[#This Row],[Item-Codigo]]) - FIND("|", CONCATENATE(B1667), FIND("|", CONCATENATE(B1667)) + 1)))</f>
        <v>UND</v>
      </c>
      <c r="H166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1202</v>
      </c>
      <c r="I1667" s="40">
        <v>1202</v>
      </c>
      <c r="J166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667" t="s">
        <v>785</v>
      </c>
    </row>
    <row r="1668" spans="1:11" x14ac:dyDescent="0.35">
      <c r="A1668" t="s">
        <v>680</v>
      </c>
      <c r="B1668" t="s">
        <v>1036</v>
      </c>
      <c r="C1668" t="s">
        <v>874</v>
      </c>
      <c r="D1668">
        <v>1.2500000000000001E-2</v>
      </c>
      <c r="E1668" t="s">
        <v>206</v>
      </c>
      <c r="F1668">
        <v>2024</v>
      </c>
      <c r="G1668" t="str">
        <f>TRIM(RIGHT(Table156[[#This Row],[Item-Codigo]], LEN(Table156[[#This Row],[Item-Codigo]]) - FIND("|", CONCATENATE(B1668), FIND("|", CONCATENATE(B1668)) + 1)))</f>
        <v>UND</v>
      </c>
      <c r="H166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1102</v>
      </c>
      <c r="I1668" s="40">
        <v>1102</v>
      </c>
      <c r="J166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668" t="s">
        <v>804</v>
      </c>
    </row>
    <row r="1669" spans="1:11" x14ac:dyDescent="0.35">
      <c r="A1669" t="s">
        <v>680</v>
      </c>
      <c r="B1669" t="s">
        <v>1037</v>
      </c>
      <c r="C1669" t="s">
        <v>874</v>
      </c>
      <c r="D1669">
        <v>1.2500000000000001E-2</v>
      </c>
      <c r="E1669" t="s">
        <v>206</v>
      </c>
      <c r="F1669">
        <v>2024</v>
      </c>
      <c r="G1669" t="str">
        <f>TRIM(RIGHT(Table156[[#This Row],[Item-Codigo]], LEN(Table156[[#This Row],[Item-Codigo]]) - FIND("|", CONCATENATE(B1669), FIND("|", CONCATENATE(B1669)) + 1)))</f>
        <v>UND</v>
      </c>
      <c r="H166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1217</v>
      </c>
      <c r="I1669" s="40">
        <v>1217</v>
      </c>
      <c r="J166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669" t="s">
        <v>791</v>
      </c>
    </row>
    <row r="1670" spans="1:11" x14ac:dyDescent="0.35">
      <c r="A1670" t="s">
        <v>196</v>
      </c>
      <c r="B1670" t="s">
        <v>993</v>
      </c>
      <c r="C1670" t="s">
        <v>238</v>
      </c>
      <c r="D1670">
        <v>1104.8383084377199</v>
      </c>
      <c r="E1670" t="s">
        <v>826</v>
      </c>
      <c r="F1670">
        <v>2024</v>
      </c>
      <c r="G1670" t="str">
        <f>TRIM(RIGHT(Table156[[#This Row],[Item-Codigo]], LEN(Table156[[#This Row],[Item-Codigo]]) - FIND("|", CONCATENATE(B1670), FIND("|", CONCATENATE(B1670)) + 1)))</f>
        <v>TM</v>
      </c>
      <c r="H167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1670" s="40">
        <v>116</v>
      </c>
      <c r="J167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1104.8383084377199</v>
      </c>
      <c r="K1670" t="s">
        <v>99</v>
      </c>
    </row>
    <row r="1671" spans="1:11" x14ac:dyDescent="0.35">
      <c r="A1671" t="s">
        <v>196</v>
      </c>
      <c r="B1671" t="s">
        <v>993</v>
      </c>
      <c r="C1671" t="s">
        <v>239</v>
      </c>
      <c r="D1671">
        <v>1129.74834641085</v>
      </c>
      <c r="E1671" t="s">
        <v>826</v>
      </c>
      <c r="F1671">
        <v>2024</v>
      </c>
      <c r="G1671" t="str">
        <f>TRIM(RIGHT(Table156[[#This Row],[Item-Codigo]], LEN(Table156[[#This Row],[Item-Codigo]]) - FIND("|", CONCATENATE(B1671), FIND("|", CONCATENATE(B1671)) + 1)))</f>
        <v>TM</v>
      </c>
      <c r="H167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1671" s="40">
        <v>116</v>
      </c>
      <c r="J167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1129.74834641085</v>
      </c>
      <c r="K1671" t="s">
        <v>99</v>
      </c>
    </row>
    <row r="1672" spans="1:11" x14ac:dyDescent="0.35">
      <c r="A1672" t="s">
        <v>196</v>
      </c>
      <c r="B1672" t="s">
        <v>993</v>
      </c>
      <c r="C1672" t="s">
        <v>1018</v>
      </c>
      <c r="D1672">
        <v>1159.9040992017999</v>
      </c>
      <c r="E1672" t="s">
        <v>826</v>
      </c>
      <c r="F1672">
        <v>2024</v>
      </c>
      <c r="G1672" t="str">
        <f>TRIM(RIGHT(Table156[[#This Row],[Item-Codigo]], LEN(Table156[[#This Row],[Item-Codigo]]) - FIND("|", CONCATENATE(B1672), FIND("|", CONCATENATE(B1672)) + 1)))</f>
        <v>TM</v>
      </c>
      <c r="H167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1672" s="40">
        <v>116</v>
      </c>
      <c r="J167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1159.9040992017999</v>
      </c>
      <c r="K1672" t="s">
        <v>99</v>
      </c>
    </row>
    <row r="1673" spans="1:11" x14ac:dyDescent="0.35">
      <c r="A1673" t="s">
        <v>196</v>
      </c>
      <c r="B1673" t="s">
        <v>1019</v>
      </c>
      <c r="C1673" t="s">
        <v>215</v>
      </c>
      <c r="D1673">
        <v>464.04</v>
      </c>
      <c r="E1673" t="s">
        <v>826</v>
      </c>
      <c r="F1673">
        <v>2024</v>
      </c>
      <c r="G1673" t="str">
        <f>TRIM(RIGHT(Table156[[#This Row],[Item-Codigo]], LEN(Table156[[#This Row],[Item-Codigo]]) - FIND("|", CONCATENATE(B1673), FIND("|", CONCATENATE(B1673)) + 1)))</f>
        <v>TM</v>
      </c>
      <c r="H167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122.3</v>
      </c>
      <c r="I1673" s="40" t="s">
        <v>559</v>
      </c>
      <c r="J167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464.04</v>
      </c>
      <c r="K1673" t="s">
        <v>180</v>
      </c>
    </row>
    <row r="1674" spans="1:11" x14ac:dyDescent="0.35">
      <c r="A1674" t="s">
        <v>196</v>
      </c>
      <c r="B1674" t="s">
        <v>217</v>
      </c>
      <c r="C1674" t="s">
        <v>215</v>
      </c>
      <c r="D1674">
        <v>305.7</v>
      </c>
      <c r="E1674" t="s">
        <v>826</v>
      </c>
      <c r="F1674">
        <v>2024</v>
      </c>
      <c r="G1674" t="str">
        <f>TRIM(RIGHT(Table156[[#This Row],[Item-Codigo]], LEN(Table156[[#This Row],[Item-Codigo]]) - FIND("|", CONCATENATE(B1674), FIND("|", CONCATENATE(B1674)) + 1)))</f>
        <v>TM</v>
      </c>
      <c r="H167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871</v>
      </c>
      <c r="I1674" s="40">
        <v>871</v>
      </c>
      <c r="J167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305.7</v>
      </c>
      <c r="K1674" t="s">
        <v>181</v>
      </c>
    </row>
    <row r="1675" spans="1:11" x14ac:dyDescent="0.35">
      <c r="A1675" t="s">
        <v>198</v>
      </c>
      <c r="B1675" t="s">
        <v>219</v>
      </c>
      <c r="C1675" t="s">
        <v>220</v>
      </c>
      <c r="D1675">
        <v>931.66666666666697</v>
      </c>
      <c r="E1675" t="s">
        <v>826</v>
      </c>
      <c r="F1675">
        <v>2024</v>
      </c>
      <c r="G1675" t="str">
        <f>TRIM(RIGHT(Table156[[#This Row],[Item-Codigo]], LEN(Table156[[#This Row],[Item-Codigo]]) - FIND("|", CONCATENATE(B1675), FIND("|", CONCATENATE(B1675)) + 1)))</f>
        <v>TM</v>
      </c>
      <c r="H167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675" s="40">
        <v>42</v>
      </c>
      <c r="J167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931.66666666666697</v>
      </c>
      <c r="K1675" t="s">
        <v>94</v>
      </c>
    </row>
    <row r="1676" spans="1:11" x14ac:dyDescent="0.35">
      <c r="A1676" t="s">
        <v>198</v>
      </c>
      <c r="B1676" t="s">
        <v>219</v>
      </c>
      <c r="C1676" t="s">
        <v>222</v>
      </c>
      <c r="D1676">
        <v>937.5</v>
      </c>
      <c r="E1676" t="s">
        <v>826</v>
      </c>
      <c r="F1676">
        <v>2024</v>
      </c>
      <c r="G1676" t="str">
        <f>TRIM(RIGHT(Table156[[#This Row],[Item-Codigo]], LEN(Table156[[#This Row],[Item-Codigo]]) - FIND("|", CONCATENATE(B1676), FIND("|", CONCATENATE(B1676)) + 1)))</f>
        <v>TM</v>
      </c>
      <c r="H167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676" s="40">
        <v>42</v>
      </c>
      <c r="J167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937.5</v>
      </c>
      <c r="K1676" t="s">
        <v>94</v>
      </c>
    </row>
    <row r="1677" spans="1:11" x14ac:dyDescent="0.35">
      <c r="A1677" t="s">
        <v>198</v>
      </c>
      <c r="B1677" t="s">
        <v>224</v>
      </c>
      <c r="C1677" t="s">
        <v>223</v>
      </c>
      <c r="D1677">
        <v>1750</v>
      </c>
      <c r="E1677" t="s">
        <v>826</v>
      </c>
      <c r="F1677">
        <v>2024</v>
      </c>
      <c r="G1677" t="str">
        <f>TRIM(RIGHT(Table156[[#This Row],[Item-Codigo]], LEN(Table156[[#This Row],[Item-Codigo]]) - FIND("|", CONCATENATE(B1677), FIND("|", CONCATENATE(B1677)) + 1)))</f>
        <v>TM</v>
      </c>
      <c r="H167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40</v>
      </c>
      <c r="I1677" s="40">
        <v>40</v>
      </c>
      <c r="J167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1750</v>
      </c>
      <c r="K1677" t="s">
        <v>95</v>
      </c>
    </row>
    <row r="1678" spans="1:11" x14ac:dyDescent="0.35">
      <c r="A1678" t="s">
        <v>198</v>
      </c>
      <c r="B1678" t="s">
        <v>225</v>
      </c>
      <c r="C1678" t="s">
        <v>226</v>
      </c>
      <c r="D1678">
        <v>387.00035341929998</v>
      </c>
      <c r="E1678" t="s">
        <v>826</v>
      </c>
      <c r="F1678">
        <v>2024</v>
      </c>
      <c r="G1678" t="str">
        <f>TRIM(RIGHT(Table156[[#This Row],[Item-Codigo]], LEN(Table156[[#This Row],[Item-Codigo]]) - FIND("|", CONCATENATE(B1678), FIND("|", CONCATENATE(B1678)) + 1)))</f>
        <v>TM</v>
      </c>
      <c r="H167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301</v>
      </c>
      <c r="I1678" s="40">
        <v>301</v>
      </c>
      <c r="J167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387.00035341929998</v>
      </c>
      <c r="K1678" t="s">
        <v>96</v>
      </c>
    </row>
    <row r="1679" spans="1:11" x14ac:dyDescent="0.35">
      <c r="A1679" t="s">
        <v>198</v>
      </c>
      <c r="B1679" t="s">
        <v>228</v>
      </c>
      <c r="C1679" t="s">
        <v>218</v>
      </c>
      <c r="D1679">
        <v>319.64630122289998</v>
      </c>
      <c r="E1679" t="s">
        <v>826</v>
      </c>
      <c r="F1679">
        <v>2024</v>
      </c>
      <c r="G1679" t="str">
        <f>TRIM(RIGHT(Table156[[#This Row],[Item-Codigo]], LEN(Table156[[#This Row],[Item-Codigo]]) - FIND("|", CONCATENATE(B1679), FIND("|", CONCATENATE(B1679)) + 1)))</f>
        <v>TM</v>
      </c>
      <c r="H167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1679" s="40">
        <v>200</v>
      </c>
      <c r="J167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319.64630122289998</v>
      </c>
      <c r="K1679" t="s">
        <v>97</v>
      </c>
    </row>
    <row r="1680" spans="1:11" x14ac:dyDescent="0.35">
      <c r="A1680" t="s">
        <v>198</v>
      </c>
      <c r="B1680" t="s">
        <v>232</v>
      </c>
      <c r="C1680" t="s">
        <v>231</v>
      </c>
      <c r="D1680">
        <v>46</v>
      </c>
      <c r="E1680" t="s">
        <v>826</v>
      </c>
      <c r="F1680">
        <v>2024</v>
      </c>
      <c r="G1680" t="str">
        <f>TRIM(RIGHT(Table156[[#This Row],[Item-Codigo]], LEN(Table156[[#This Row],[Item-Codigo]]) - FIND("|", CONCATENATE(B1680), FIND("|", CONCATENATE(B1680)) + 1)))</f>
        <v>TM</v>
      </c>
      <c r="H168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1680" s="40">
        <v>701</v>
      </c>
      <c r="J168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46</v>
      </c>
      <c r="K1680" t="s">
        <v>98</v>
      </c>
    </row>
    <row r="1681" spans="1:11" x14ac:dyDescent="0.35">
      <c r="A1681" t="s">
        <v>198</v>
      </c>
      <c r="B1681" t="s">
        <v>233</v>
      </c>
      <c r="C1681" t="s">
        <v>234</v>
      </c>
      <c r="D1681">
        <v>1533.35748561985</v>
      </c>
      <c r="E1681" t="s">
        <v>826</v>
      </c>
      <c r="F1681">
        <v>2024</v>
      </c>
      <c r="G1681" t="str">
        <f>TRIM(RIGHT(Table156[[#This Row],[Item-Codigo]], LEN(Table156[[#This Row],[Item-Codigo]]) - FIND("|", CONCATENATE(B1681), FIND("|", CONCATENATE(B1681)) + 1)))</f>
        <v>TM</v>
      </c>
      <c r="H168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156.4</v>
      </c>
      <c r="I1681" s="40" t="s">
        <v>524</v>
      </c>
      <c r="J168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1533.35748561985</v>
      </c>
      <c r="K1681" t="s">
        <v>977</v>
      </c>
    </row>
    <row r="1682" spans="1:11" x14ac:dyDescent="0.35">
      <c r="A1682" t="s">
        <v>198</v>
      </c>
      <c r="B1682" t="s">
        <v>233</v>
      </c>
      <c r="C1682" t="s">
        <v>235</v>
      </c>
      <c r="D1682">
        <v>1550</v>
      </c>
      <c r="E1682" t="s">
        <v>826</v>
      </c>
      <c r="F1682">
        <v>2024</v>
      </c>
      <c r="G1682" t="str">
        <f>TRIM(RIGHT(Table156[[#This Row],[Item-Codigo]], LEN(Table156[[#This Row],[Item-Codigo]]) - FIND("|", CONCATENATE(B1682), FIND("|", CONCATENATE(B1682)) + 1)))</f>
        <v>TM</v>
      </c>
      <c r="H168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156.4</v>
      </c>
      <c r="I1682" s="40" t="s">
        <v>524</v>
      </c>
      <c r="J168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1550</v>
      </c>
      <c r="K1682" t="s">
        <v>977</v>
      </c>
    </row>
    <row r="1683" spans="1:11" x14ac:dyDescent="0.35">
      <c r="A1683" t="s">
        <v>198</v>
      </c>
      <c r="B1683" t="s">
        <v>240</v>
      </c>
      <c r="C1683" t="s">
        <v>238</v>
      </c>
      <c r="D1683">
        <v>860.00013132615004</v>
      </c>
      <c r="E1683" t="s">
        <v>826</v>
      </c>
      <c r="F1683">
        <v>2024</v>
      </c>
      <c r="G1683" t="str">
        <f>TRIM(RIGHT(Table156[[#This Row],[Item-Codigo]], LEN(Table156[[#This Row],[Item-Codigo]]) - FIND("|", CONCATENATE(B1683), FIND("|", CONCATENATE(B1683)) + 1)))</f>
        <v>TM</v>
      </c>
      <c r="H168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111</v>
      </c>
      <c r="I1683" s="40">
        <v>111</v>
      </c>
      <c r="J168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860.00013132615004</v>
      </c>
      <c r="K1683" t="s">
        <v>184</v>
      </c>
    </row>
    <row r="1684" spans="1:11" x14ac:dyDescent="0.35">
      <c r="A1684" t="s">
        <v>198</v>
      </c>
      <c r="B1684" t="s">
        <v>243</v>
      </c>
      <c r="C1684" t="s">
        <v>218</v>
      </c>
      <c r="D1684">
        <v>636.61443384996301</v>
      </c>
      <c r="E1684" t="s">
        <v>826</v>
      </c>
      <c r="F1684">
        <v>2024</v>
      </c>
      <c r="G1684" t="str">
        <f>TRIM(RIGHT(Table156[[#This Row],[Item-Codigo]], LEN(Table156[[#This Row],[Item-Codigo]]) - FIND("|", CONCATENATE(B1684), FIND("|", CONCATENATE(B1684)) + 1)))</f>
        <v>TM</v>
      </c>
      <c r="H168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211</v>
      </c>
      <c r="I1684" s="40">
        <v>211</v>
      </c>
      <c r="J168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636.61443384996301</v>
      </c>
      <c r="K1684" t="s">
        <v>188</v>
      </c>
    </row>
    <row r="1685" spans="1:11" x14ac:dyDescent="0.35">
      <c r="A1685" t="s">
        <v>198</v>
      </c>
      <c r="B1685" t="s">
        <v>199</v>
      </c>
      <c r="C1685" t="s">
        <v>200</v>
      </c>
      <c r="D1685">
        <v>16.789997520450001</v>
      </c>
      <c r="E1685" t="s">
        <v>826</v>
      </c>
      <c r="F1685">
        <v>2024</v>
      </c>
      <c r="G1685" t="str">
        <f>TRIM(RIGHT(Table156[[#This Row],[Item-Codigo]], LEN(Table156[[#This Row],[Item-Codigo]]) - FIND("|", CONCATENATE(B1685), FIND("|", CONCATENATE(B1685)) + 1)))</f>
        <v>QQ</v>
      </c>
      <c r="H168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1685" s="40">
        <v>1</v>
      </c>
      <c r="J1685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369.37994544989999</v>
      </c>
      <c r="K1685" t="s">
        <v>182</v>
      </c>
    </row>
    <row r="1686" spans="1:11" x14ac:dyDescent="0.35">
      <c r="A1686" t="s">
        <v>198</v>
      </c>
      <c r="B1686" t="s">
        <v>245</v>
      </c>
      <c r="C1686" t="s">
        <v>851</v>
      </c>
      <c r="D1686">
        <v>230</v>
      </c>
      <c r="E1686" t="s">
        <v>826</v>
      </c>
      <c r="F1686">
        <v>2024</v>
      </c>
      <c r="G1686" t="str">
        <f>TRIM(RIGHT(Table156[[#This Row],[Item-Codigo]], LEN(Table156[[#This Row],[Item-Codigo]]) - FIND("|", CONCATENATE(B1686), FIND("|", CONCATENATE(B1686)) + 1)))</f>
        <v>TM</v>
      </c>
      <c r="H168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14</v>
      </c>
      <c r="I1686" s="40">
        <v>14</v>
      </c>
      <c r="J168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230</v>
      </c>
      <c r="K1686" t="s">
        <v>187</v>
      </c>
    </row>
    <row r="1687" spans="1:11" x14ac:dyDescent="0.35">
      <c r="A1687" t="s">
        <v>198</v>
      </c>
      <c r="B1687" t="s">
        <v>207</v>
      </c>
      <c r="C1687" t="s">
        <v>201</v>
      </c>
      <c r="D1687">
        <v>14.1999960923111</v>
      </c>
      <c r="E1687" t="s">
        <v>826</v>
      </c>
      <c r="F1687">
        <v>2024</v>
      </c>
      <c r="G1687" t="str">
        <f>TRIM(RIGHT(Table156[[#This Row],[Item-Codigo]], LEN(Table156[[#This Row],[Item-Codigo]]) - FIND("|", CONCATENATE(B1687), FIND("|", CONCATENATE(B1687)) + 1)))</f>
        <v>QQ</v>
      </c>
      <c r="H168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687" s="40">
        <v>410</v>
      </c>
      <c r="J1687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312.39991403084417</v>
      </c>
      <c r="K1687" t="s">
        <v>183</v>
      </c>
    </row>
    <row r="1688" spans="1:11" x14ac:dyDescent="0.35">
      <c r="A1688" t="s">
        <v>198</v>
      </c>
      <c r="B1688" t="s">
        <v>207</v>
      </c>
      <c r="C1688" t="s">
        <v>210</v>
      </c>
      <c r="D1688">
        <v>13.9999398668</v>
      </c>
      <c r="E1688" t="s">
        <v>826</v>
      </c>
      <c r="F1688">
        <v>2024</v>
      </c>
      <c r="G1688" t="str">
        <f>TRIM(RIGHT(Table156[[#This Row],[Item-Codigo]], LEN(Table156[[#This Row],[Item-Codigo]]) - FIND("|", CONCATENATE(B1688), FIND("|", CONCATENATE(B1688)) + 1)))</f>
        <v>QQ</v>
      </c>
      <c r="H168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688" s="40">
        <v>410</v>
      </c>
      <c r="J1688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307.99867706959998</v>
      </c>
      <c r="K1688" t="s">
        <v>183</v>
      </c>
    </row>
    <row r="1689" spans="1:11" x14ac:dyDescent="0.35">
      <c r="A1689" t="s">
        <v>198</v>
      </c>
      <c r="B1689" t="s">
        <v>207</v>
      </c>
      <c r="C1689" t="s">
        <v>212</v>
      </c>
      <c r="D1689">
        <v>15.000001944016701</v>
      </c>
      <c r="E1689" t="s">
        <v>826</v>
      </c>
      <c r="F1689">
        <v>2024</v>
      </c>
      <c r="G1689" t="str">
        <f>TRIM(RIGHT(Table156[[#This Row],[Item-Codigo]], LEN(Table156[[#This Row],[Item-Codigo]]) - FIND("|", CONCATENATE(B1689), FIND("|", CONCATENATE(B1689)) + 1)))</f>
        <v>QQ</v>
      </c>
      <c r="H168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689" s="40">
        <v>410</v>
      </c>
      <c r="J1689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330.00004276836739</v>
      </c>
      <c r="K1689" t="s">
        <v>183</v>
      </c>
    </row>
    <row r="1690" spans="1:11" x14ac:dyDescent="0.35">
      <c r="A1690" t="s">
        <v>198</v>
      </c>
      <c r="B1690" t="s">
        <v>207</v>
      </c>
      <c r="C1690" t="s">
        <v>213</v>
      </c>
      <c r="D1690">
        <v>15.000026445650001</v>
      </c>
      <c r="E1690" t="s">
        <v>826</v>
      </c>
      <c r="F1690">
        <v>2024</v>
      </c>
      <c r="G1690" t="str">
        <f>TRIM(RIGHT(Table156[[#This Row],[Item-Codigo]], LEN(Table156[[#This Row],[Item-Codigo]]) - FIND("|", CONCATENATE(B1690), FIND("|", CONCATENATE(B1690)) + 1)))</f>
        <v>QQ</v>
      </c>
      <c r="H169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690" s="40">
        <v>410</v>
      </c>
      <c r="J1690" s="102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330.0005818043</v>
      </c>
      <c r="K1690" t="s">
        <v>183</v>
      </c>
    </row>
    <row r="1691" spans="1:11" x14ac:dyDescent="0.35">
      <c r="A1691" t="s">
        <v>256</v>
      </c>
      <c r="B1691" t="s">
        <v>257</v>
      </c>
      <c r="C1691" t="s">
        <v>874</v>
      </c>
      <c r="D1691">
        <v>0.06</v>
      </c>
      <c r="E1691" t="s">
        <v>826</v>
      </c>
      <c r="F1691">
        <v>2024</v>
      </c>
      <c r="G1691" t="str">
        <f>TRIM(RIGHT(Table156[[#This Row],[Item-Codigo]], LEN(Table156[[#This Row],[Item-Codigo]]) - FIND("|", CONCATENATE(B1691), FIND("|", CONCATENATE(B1691)) + 1)))</f>
        <v>UND</v>
      </c>
      <c r="H169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9536</v>
      </c>
      <c r="I1691" s="40">
        <v>9536</v>
      </c>
      <c r="J169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0.06</v>
      </c>
      <c r="K1691" t="s">
        <v>968</v>
      </c>
    </row>
    <row r="1692" spans="1:11" x14ac:dyDescent="0.35">
      <c r="A1692" t="s">
        <v>256</v>
      </c>
      <c r="B1692" t="s">
        <v>261</v>
      </c>
      <c r="C1692" t="s">
        <v>262</v>
      </c>
      <c r="D1692">
        <v>0.14489990150000001</v>
      </c>
      <c r="E1692" t="s">
        <v>826</v>
      </c>
      <c r="F1692">
        <v>2024</v>
      </c>
      <c r="G1692" t="str">
        <f>TRIM(RIGHT(Table156[[#This Row],[Item-Codigo]], LEN(Table156[[#This Row],[Item-Codigo]]) - FIND("|", CONCATENATE(B1692), FIND("|", CONCATENATE(B1692)) + 1)))</f>
        <v>UND</v>
      </c>
      <c r="H169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1692" s="40" t="s">
        <v>500</v>
      </c>
      <c r="J169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0.14489990150000001</v>
      </c>
      <c r="K1692" t="s">
        <v>43</v>
      </c>
    </row>
    <row r="1693" spans="1:11" x14ac:dyDescent="0.35">
      <c r="A1693" t="s">
        <v>256</v>
      </c>
      <c r="B1693" t="s">
        <v>264</v>
      </c>
      <c r="C1693" t="s">
        <v>262</v>
      </c>
      <c r="D1693">
        <v>0.14490018139999999</v>
      </c>
      <c r="E1693" t="s">
        <v>826</v>
      </c>
      <c r="F1693">
        <v>2024</v>
      </c>
      <c r="G1693" t="str">
        <f>TRIM(RIGHT(Table156[[#This Row],[Item-Codigo]], LEN(Table156[[#This Row],[Item-Codigo]]) - FIND("|", CONCATENATE(B1693), FIND("|", CONCATENATE(B1693)) + 1)))</f>
        <v>UND</v>
      </c>
      <c r="H169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1024-ME</v>
      </c>
      <c r="I1693" s="40" t="s">
        <v>501</v>
      </c>
      <c r="J169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0.14490018139999999</v>
      </c>
      <c r="K1693" t="s">
        <v>44</v>
      </c>
    </row>
    <row r="1694" spans="1:11" x14ac:dyDescent="0.35">
      <c r="A1694" t="s">
        <v>256</v>
      </c>
      <c r="B1694" t="s">
        <v>265</v>
      </c>
      <c r="C1694" t="s">
        <v>262</v>
      </c>
      <c r="D1694">
        <v>0.1449</v>
      </c>
      <c r="E1694" t="s">
        <v>826</v>
      </c>
      <c r="F1694">
        <v>2024</v>
      </c>
      <c r="G1694" t="str">
        <f>TRIM(RIGHT(Table156[[#This Row],[Item-Codigo]], LEN(Table156[[#This Row],[Item-Codigo]]) - FIND("|", CONCATENATE(B1694), FIND("|", CONCATENATE(B1694)) + 1)))</f>
        <v>UND</v>
      </c>
      <c r="H169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1025-ME</v>
      </c>
      <c r="I1694" s="40" t="s">
        <v>502</v>
      </c>
      <c r="J169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0.1449</v>
      </c>
      <c r="K1694" t="s">
        <v>45</v>
      </c>
    </row>
    <row r="1695" spans="1:11" x14ac:dyDescent="0.35">
      <c r="A1695" t="s">
        <v>256</v>
      </c>
      <c r="B1695" t="s">
        <v>265</v>
      </c>
      <c r="C1695" t="s">
        <v>263</v>
      </c>
      <c r="D1695">
        <v>0.144700039025</v>
      </c>
      <c r="E1695" t="s">
        <v>826</v>
      </c>
      <c r="F1695">
        <v>2024</v>
      </c>
      <c r="G1695" t="str">
        <f>TRIM(RIGHT(Table156[[#This Row],[Item-Codigo]], LEN(Table156[[#This Row],[Item-Codigo]]) - FIND("|", CONCATENATE(B1695), FIND("|", CONCATENATE(B1695)) + 1)))</f>
        <v>UND</v>
      </c>
      <c r="H169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1025-ME</v>
      </c>
      <c r="I1695" s="40" t="s">
        <v>502</v>
      </c>
      <c r="J169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0.144700039025</v>
      </c>
      <c r="K1695" t="s">
        <v>45</v>
      </c>
    </row>
    <row r="1696" spans="1:11" x14ac:dyDescent="0.35">
      <c r="A1696" t="s">
        <v>256</v>
      </c>
      <c r="B1696" t="s">
        <v>877</v>
      </c>
      <c r="C1696" t="s">
        <v>263</v>
      </c>
      <c r="D1696">
        <v>0.1444000496</v>
      </c>
      <c r="E1696" t="s">
        <v>826</v>
      </c>
      <c r="F1696">
        <v>2024</v>
      </c>
      <c r="G1696" t="str">
        <f>TRIM(RIGHT(Table156[[#This Row],[Item-Codigo]], LEN(Table156[[#This Row],[Item-Codigo]]) - FIND("|", CONCATENATE(B1696), FIND("|", CONCATENATE(B1696)) + 1)))</f>
        <v>UND</v>
      </c>
      <c r="H169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1027-ME</v>
      </c>
      <c r="I1696" s="40" t="s">
        <v>504</v>
      </c>
      <c r="J169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0.1444000496</v>
      </c>
      <c r="K1696" t="s">
        <v>47</v>
      </c>
    </row>
    <row r="1697" spans="1:11" x14ac:dyDescent="0.35">
      <c r="A1697" t="s">
        <v>256</v>
      </c>
      <c r="B1697" t="s">
        <v>268</v>
      </c>
      <c r="C1697" t="s">
        <v>263</v>
      </c>
      <c r="D1697">
        <v>0.15320116750000001</v>
      </c>
      <c r="E1697" t="s">
        <v>826</v>
      </c>
      <c r="F1697">
        <v>2024</v>
      </c>
      <c r="G1697" t="str">
        <f>TRIM(RIGHT(Table156[[#This Row],[Item-Codigo]], LEN(Table156[[#This Row],[Item-Codigo]]) - FIND("|", CONCATENATE(B1697), FIND("|", CONCATENATE(B1697)) + 1)))</f>
        <v>UND</v>
      </c>
      <c r="H169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1028-ME</v>
      </c>
      <c r="I1697" s="40" t="s">
        <v>505</v>
      </c>
      <c r="J169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0.15320116750000001</v>
      </c>
      <c r="K1697" t="s">
        <v>48</v>
      </c>
    </row>
    <row r="1698" spans="1:11" x14ac:dyDescent="0.35">
      <c r="A1698" t="s">
        <v>256</v>
      </c>
      <c r="B1698" t="s">
        <v>269</v>
      </c>
      <c r="C1698" t="s">
        <v>263</v>
      </c>
      <c r="D1698">
        <v>14.2</v>
      </c>
      <c r="E1698" t="s">
        <v>826</v>
      </c>
      <c r="F1698">
        <v>2024</v>
      </c>
      <c r="G1698" t="str">
        <f>TRIM(RIGHT(Table156[[#This Row],[Item-Codigo]], LEN(Table156[[#This Row],[Item-Codigo]]) - FIND("|", CONCATENATE(B1698), FIND("|", CONCATENATE(B1698)) + 1)))</f>
        <v>UND</v>
      </c>
      <c r="H169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1021-ME</v>
      </c>
      <c r="I1698" s="40" t="s">
        <v>498</v>
      </c>
      <c r="J169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14.2</v>
      </c>
      <c r="K1698" t="s">
        <v>49</v>
      </c>
    </row>
    <row r="1699" spans="1:11" x14ac:dyDescent="0.35">
      <c r="A1699" t="s">
        <v>256</v>
      </c>
      <c r="B1699" t="s">
        <v>273</v>
      </c>
      <c r="C1699" t="s">
        <v>262</v>
      </c>
      <c r="D1699">
        <v>0.14489970499999999</v>
      </c>
      <c r="E1699" t="s">
        <v>826</v>
      </c>
      <c r="F1699">
        <v>2024</v>
      </c>
      <c r="G1699" t="str">
        <f>TRIM(RIGHT(Table156[[#This Row],[Item-Codigo]], LEN(Table156[[#This Row],[Item-Codigo]]) - FIND("|", CONCATENATE(B1699), FIND("|", CONCATENATE(B1699)) + 1)))</f>
        <v>UND</v>
      </c>
      <c r="H169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1030-ME</v>
      </c>
      <c r="I1699" s="40" t="s">
        <v>507</v>
      </c>
      <c r="J169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0.14489970499999999</v>
      </c>
      <c r="K1699" t="s">
        <v>52</v>
      </c>
    </row>
    <row r="1700" spans="1:11" x14ac:dyDescent="0.35">
      <c r="A1700" t="s">
        <v>256</v>
      </c>
      <c r="B1700" t="s">
        <v>284</v>
      </c>
      <c r="C1700" t="s">
        <v>285</v>
      </c>
      <c r="D1700">
        <v>9</v>
      </c>
      <c r="E1700" t="s">
        <v>826</v>
      </c>
      <c r="F1700">
        <v>2024</v>
      </c>
      <c r="G1700" t="str">
        <f>TRIM(RIGHT(Table156[[#This Row],[Item-Codigo]], LEN(Table156[[#This Row],[Item-Codigo]]) - FIND("|", CONCATENATE(B1700), FIND("|", CONCATENATE(B1700)) + 1)))</f>
        <v>UND</v>
      </c>
      <c r="H170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PIOLA (UNID)</v>
      </c>
      <c r="I1700" s="40" t="s">
        <v>558</v>
      </c>
      <c r="J170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</v>
      </c>
      <c r="K1700" t="s">
        <v>127</v>
      </c>
    </row>
    <row r="1701" spans="1:11" x14ac:dyDescent="0.35">
      <c r="A1701" t="s">
        <v>256</v>
      </c>
      <c r="B1701" t="s">
        <v>287</v>
      </c>
      <c r="C1701" t="s">
        <v>263</v>
      </c>
      <c r="D1701">
        <v>0.2184005091</v>
      </c>
      <c r="E1701" t="s">
        <v>826</v>
      </c>
      <c r="F1701">
        <v>2024</v>
      </c>
      <c r="G1701" t="str">
        <f>TRIM(RIGHT(Table156[[#This Row],[Item-Codigo]], LEN(Table156[[#This Row],[Item-Codigo]]) - FIND("|", CONCATENATE(B1701), FIND("|", CONCATENATE(B1701)) + 1)))</f>
        <v>UND</v>
      </c>
      <c r="H170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0115-ME</v>
      </c>
      <c r="I1701" s="40" t="s">
        <v>474</v>
      </c>
      <c r="J170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0.2184005091</v>
      </c>
      <c r="K1701" t="s">
        <v>115</v>
      </c>
    </row>
    <row r="1702" spans="1:11" x14ac:dyDescent="0.35">
      <c r="A1702" t="s">
        <v>256</v>
      </c>
      <c r="B1702" t="s">
        <v>293</v>
      </c>
      <c r="C1702" t="s">
        <v>262</v>
      </c>
      <c r="D1702">
        <v>0.21440022540000001</v>
      </c>
      <c r="E1702" t="s">
        <v>826</v>
      </c>
      <c r="F1702">
        <v>2024</v>
      </c>
      <c r="G1702" t="str">
        <f>TRIM(RIGHT(Table156[[#This Row],[Item-Codigo]], LEN(Table156[[#This Row],[Item-Codigo]]) - FIND("|", CONCATENATE(B1702), FIND("|", CONCATENATE(B1702)) + 1)))</f>
        <v>UND</v>
      </c>
      <c r="H170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0201-ME</v>
      </c>
      <c r="I1702" s="40" t="s">
        <v>478</v>
      </c>
      <c r="J170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0.21440022540000001</v>
      </c>
      <c r="K1702" t="s">
        <v>105</v>
      </c>
    </row>
    <row r="1703" spans="1:11" x14ac:dyDescent="0.35">
      <c r="A1703" t="s">
        <v>256</v>
      </c>
      <c r="B1703" t="s">
        <v>293</v>
      </c>
      <c r="C1703" t="s">
        <v>263</v>
      </c>
      <c r="D1703">
        <v>0.21</v>
      </c>
      <c r="E1703" t="s">
        <v>826</v>
      </c>
      <c r="F1703">
        <v>2024</v>
      </c>
      <c r="G1703" t="str">
        <f>TRIM(RIGHT(Table156[[#This Row],[Item-Codigo]], LEN(Table156[[#This Row],[Item-Codigo]]) - FIND("|", CONCATENATE(B1703), FIND("|", CONCATENATE(B1703)) + 1)))</f>
        <v>UND</v>
      </c>
      <c r="H170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0201-ME</v>
      </c>
      <c r="I1703" s="40" t="s">
        <v>478</v>
      </c>
      <c r="J170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</v>
      </c>
      <c r="K1703" t="s">
        <v>105</v>
      </c>
    </row>
    <row r="1704" spans="1:11" x14ac:dyDescent="0.35">
      <c r="A1704" t="s">
        <v>256</v>
      </c>
      <c r="B1704" t="s">
        <v>294</v>
      </c>
      <c r="C1704" t="s">
        <v>262</v>
      </c>
      <c r="D1704">
        <v>0.19789999999999999</v>
      </c>
      <c r="E1704" t="s">
        <v>826</v>
      </c>
      <c r="F1704">
        <v>2024</v>
      </c>
      <c r="G1704" t="str">
        <f>TRIM(RIGHT(Table156[[#This Row],[Item-Codigo]], LEN(Table156[[#This Row],[Item-Codigo]]) - FIND("|", CONCATENATE(B1704), FIND("|", CONCATENATE(B1704)) + 1)))</f>
        <v>UND</v>
      </c>
      <c r="H170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0111-ME</v>
      </c>
      <c r="I1704" s="40" t="s">
        <v>472</v>
      </c>
      <c r="J170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0.19789999999999999</v>
      </c>
      <c r="K1704" t="s">
        <v>125</v>
      </c>
    </row>
    <row r="1705" spans="1:11" x14ac:dyDescent="0.35">
      <c r="A1705" t="s">
        <v>256</v>
      </c>
      <c r="B1705" t="s">
        <v>294</v>
      </c>
      <c r="C1705" t="s">
        <v>263</v>
      </c>
      <c r="D1705">
        <v>0.19720015539999999</v>
      </c>
      <c r="E1705" t="s">
        <v>826</v>
      </c>
      <c r="F1705">
        <v>2024</v>
      </c>
      <c r="G1705" t="str">
        <f>TRIM(RIGHT(Table156[[#This Row],[Item-Codigo]], LEN(Table156[[#This Row],[Item-Codigo]]) - FIND("|", CONCATENATE(B1705), FIND("|", CONCATENATE(B1705)) + 1)))</f>
        <v>UND</v>
      </c>
      <c r="H170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0111-ME</v>
      </c>
      <c r="I1705" s="40" t="s">
        <v>472</v>
      </c>
      <c r="J170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0.19720015539999999</v>
      </c>
      <c r="K1705" t="s">
        <v>125</v>
      </c>
    </row>
    <row r="1706" spans="1:11" x14ac:dyDescent="0.35">
      <c r="A1706" t="s">
        <v>256</v>
      </c>
      <c r="B1706" t="s">
        <v>296</v>
      </c>
      <c r="C1706" t="s">
        <v>262</v>
      </c>
      <c r="D1706">
        <v>0.21440000000000001</v>
      </c>
      <c r="E1706" t="s">
        <v>826</v>
      </c>
      <c r="F1706">
        <v>2024</v>
      </c>
      <c r="G1706" t="str">
        <f>TRIM(RIGHT(Table156[[#This Row],[Item-Codigo]], LEN(Table156[[#This Row],[Item-Codigo]]) - FIND("|", CONCATENATE(B1706), FIND("|", CONCATENATE(B1706)) + 1)))</f>
        <v>UND</v>
      </c>
      <c r="H170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1018-ME</v>
      </c>
      <c r="I1706" s="40" t="s">
        <v>496</v>
      </c>
      <c r="J170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0.21440000000000001</v>
      </c>
      <c r="K1706" t="s">
        <v>109</v>
      </c>
    </row>
    <row r="1707" spans="1:11" x14ac:dyDescent="0.35">
      <c r="A1707" t="s">
        <v>256</v>
      </c>
      <c r="B1707" t="s">
        <v>297</v>
      </c>
      <c r="C1707" t="s">
        <v>262</v>
      </c>
      <c r="D1707">
        <v>0.2351</v>
      </c>
      <c r="E1707" t="s">
        <v>826</v>
      </c>
      <c r="F1707">
        <v>2024</v>
      </c>
      <c r="G1707" t="str">
        <f>TRIM(RIGHT(Table156[[#This Row],[Item-Codigo]], LEN(Table156[[#This Row],[Item-Codigo]]) - FIND("|", CONCATENATE(B1707), FIND("|", CONCATENATE(B1707)) + 1)))</f>
        <v>UND</v>
      </c>
      <c r="H170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0982-ME</v>
      </c>
      <c r="I1707" s="40" t="s">
        <v>483</v>
      </c>
      <c r="J170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0.2351</v>
      </c>
      <c r="K1707" t="s">
        <v>114</v>
      </c>
    </row>
    <row r="1708" spans="1:11" x14ac:dyDescent="0.35">
      <c r="A1708" t="s">
        <v>256</v>
      </c>
      <c r="B1708" t="s">
        <v>893</v>
      </c>
      <c r="C1708" t="s">
        <v>262</v>
      </c>
      <c r="D1708">
        <v>0.21440000000000001</v>
      </c>
      <c r="E1708" t="s">
        <v>826</v>
      </c>
      <c r="F1708">
        <v>2024</v>
      </c>
      <c r="G1708" t="str">
        <f>TRIM(RIGHT(Table156[[#This Row],[Item-Codigo]], LEN(Table156[[#This Row],[Item-Codigo]]) - FIND("|", CONCATENATE(B1708), FIND("|", CONCATENATE(B1708)) + 1)))</f>
        <v>UND</v>
      </c>
      <c r="H170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0983-ME</v>
      </c>
      <c r="I1708" s="40" t="s">
        <v>484</v>
      </c>
      <c r="J170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0.21440000000000001</v>
      </c>
      <c r="K1708" t="s">
        <v>113</v>
      </c>
    </row>
    <row r="1709" spans="1:11" x14ac:dyDescent="0.35">
      <c r="A1709" t="s">
        <v>256</v>
      </c>
      <c r="B1709" t="s">
        <v>298</v>
      </c>
      <c r="C1709" t="s">
        <v>262</v>
      </c>
      <c r="D1709">
        <v>0.21440000000000001</v>
      </c>
      <c r="E1709" t="s">
        <v>826</v>
      </c>
      <c r="F1709">
        <v>2024</v>
      </c>
      <c r="G1709" t="str">
        <f>TRIM(RIGHT(Table156[[#This Row],[Item-Codigo]], LEN(Table156[[#This Row],[Item-Codigo]]) - FIND("|", CONCATENATE(B1709), FIND("|", CONCATENATE(B1709)) + 1)))</f>
        <v>UND</v>
      </c>
      <c r="H170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1019-ME</v>
      </c>
      <c r="I1709" s="40" t="s">
        <v>497</v>
      </c>
      <c r="J170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0.21440000000000001</v>
      </c>
      <c r="K1709" t="s">
        <v>111</v>
      </c>
    </row>
    <row r="1710" spans="1:11" x14ac:dyDescent="0.35">
      <c r="A1710" t="s">
        <v>256</v>
      </c>
      <c r="B1710" t="s">
        <v>299</v>
      </c>
      <c r="C1710" t="s">
        <v>263</v>
      </c>
      <c r="D1710">
        <v>0.21840000000000001</v>
      </c>
      <c r="E1710" t="s">
        <v>826</v>
      </c>
      <c r="F1710">
        <v>2024</v>
      </c>
      <c r="G1710" t="str">
        <f>TRIM(RIGHT(Table156[[#This Row],[Item-Codigo]], LEN(Table156[[#This Row],[Item-Codigo]]) - FIND("|", CONCATENATE(B1710), FIND("|", CONCATENATE(B1710)) + 1)))</f>
        <v>UND</v>
      </c>
      <c r="H171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0112-ME</v>
      </c>
      <c r="I1710" s="40" t="s">
        <v>473</v>
      </c>
      <c r="J171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0.21840000000000001</v>
      </c>
      <c r="K1710" t="s">
        <v>124</v>
      </c>
    </row>
    <row r="1711" spans="1:11" x14ac:dyDescent="0.35">
      <c r="A1711" t="s">
        <v>256</v>
      </c>
      <c r="B1711" t="s">
        <v>301</v>
      </c>
      <c r="C1711" t="s">
        <v>262</v>
      </c>
      <c r="D1711">
        <v>0.22220000000000001</v>
      </c>
      <c r="E1711" t="s">
        <v>826</v>
      </c>
      <c r="F1711">
        <v>2024</v>
      </c>
      <c r="G1711" t="str">
        <f>TRIM(RIGHT(Table156[[#This Row],[Item-Codigo]], LEN(Table156[[#This Row],[Item-Codigo]]) - FIND("|", CONCATENATE(B1711), FIND("|", CONCATENATE(B1711)) + 1)))</f>
        <v>UND</v>
      </c>
      <c r="H171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0171-ME</v>
      </c>
      <c r="I1711" s="40" t="s">
        <v>476</v>
      </c>
      <c r="J171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0.22220000000000001</v>
      </c>
      <c r="K1711" t="s">
        <v>107</v>
      </c>
    </row>
    <row r="1712" spans="1:11" x14ac:dyDescent="0.35">
      <c r="A1712" t="s">
        <v>256</v>
      </c>
      <c r="B1712" t="s">
        <v>301</v>
      </c>
      <c r="C1712" t="s">
        <v>263</v>
      </c>
      <c r="D1712">
        <v>0.2328002669</v>
      </c>
      <c r="E1712" t="s">
        <v>826</v>
      </c>
      <c r="F1712">
        <v>2024</v>
      </c>
      <c r="G1712" t="str">
        <f>TRIM(RIGHT(Table156[[#This Row],[Item-Codigo]], LEN(Table156[[#This Row],[Item-Codigo]]) - FIND("|", CONCATENATE(B1712), FIND("|", CONCATENATE(B1712)) + 1)))</f>
        <v>UND</v>
      </c>
      <c r="H171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0171-ME</v>
      </c>
      <c r="I1712" s="40" t="s">
        <v>476</v>
      </c>
      <c r="J171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0.2328002669</v>
      </c>
      <c r="K1712" t="s">
        <v>107</v>
      </c>
    </row>
    <row r="1713" spans="1:11" x14ac:dyDescent="0.35">
      <c r="A1713" t="s">
        <v>302</v>
      </c>
      <c r="B1713" t="s">
        <v>896</v>
      </c>
      <c r="C1713" t="s">
        <v>897</v>
      </c>
      <c r="D1713">
        <v>3100</v>
      </c>
      <c r="E1713" t="s">
        <v>826</v>
      </c>
      <c r="F1713">
        <v>2024</v>
      </c>
      <c r="G1713" t="str">
        <f>TRIM(RIGHT(Table156[[#This Row],[Item-Codigo]], LEN(Table156[[#This Row],[Item-Codigo]]) - FIND("|", CONCATENATE(B1713), FIND("|", CONCATENATE(B1713)) + 1)))</f>
        <v>TM</v>
      </c>
      <c r="H171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167.16</v>
      </c>
      <c r="I1713" s="40" t="s">
        <v>526</v>
      </c>
      <c r="J171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3100</v>
      </c>
      <c r="K1713" t="s">
        <v>458</v>
      </c>
    </row>
    <row r="1714" spans="1:11" x14ac:dyDescent="0.35">
      <c r="A1714" t="s">
        <v>302</v>
      </c>
      <c r="B1714" t="s">
        <v>896</v>
      </c>
      <c r="C1714" t="s">
        <v>898</v>
      </c>
      <c r="D1714">
        <v>3300</v>
      </c>
      <c r="E1714" t="s">
        <v>826</v>
      </c>
      <c r="F1714">
        <v>2024</v>
      </c>
      <c r="G1714" t="str">
        <f>TRIM(RIGHT(Table156[[#This Row],[Item-Codigo]], LEN(Table156[[#This Row],[Item-Codigo]]) - FIND("|", CONCATENATE(B1714), FIND("|", CONCATENATE(B1714)) + 1)))</f>
        <v>TM</v>
      </c>
      <c r="H171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167.16</v>
      </c>
      <c r="I1714" s="40" t="s">
        <v>526</v>
      </c>
      <c r="J171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3300</v>
      </c>
      <c r="K1714" t="s">
        <v>458</v>
      </c>
    </row>
    <row r="1715" spans="1:11" x14ac:dyDescent="0.35">
      <c r="A1715" t="s">
        <v>302</v>
      </c>
      <c r="B1715" t="s">
        <v>303</v>
      </c>
      <c r="C1715" t="s">
        <v>304</v>
      </c>
      <c r="D1715">
        <v>2.83</v>
      </c>
      <c r="E1715" t="s">
        <v>826</v>
      </c>
      <c r="F1715">
        <v>2024</v>
      </c>
      <c r="G1715" t="str">
        <f>TRIM(RIGHT(Table156[[#This Row],[Item-Codigo]], LEN(Table156[[#This Row],[Item-Codigo]]) - FIND("|", CONCATENATE(B1715), FIND("|", CONCATENATE(B1715)) + 1)))</f>
        <v>KG</v>
      </c>
      <c r="H171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511.2</v>
      </c>
      <c r="I1715" s="40" t="s">
        <v>545</v>
      </c>
      <c r="J171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2830</v>
      </c>
      <c r="K1715" t="s">
        <v>130</v>
      </c>
    </row>
    <row r="1716" spans="1:11" x14ac:dyDescent="0.35">
      <c r="A1716" t="s">
        <v>305</v>
      </c>
      <c r="B1716" t="s">
        <v>306</v>
      </c>
      <c r="C1716" t="s">
        <v>307</v>
      </c>
      <c r="D1716">
        <v>5.6</v>
      </c>
      <c r="E1716" t="s">
        <v>826</v>
      </c>
      <c r="F1716">
        <v>2024</v>
      </c>
      <c r="G1716" t="str">
        <f>TRIM(RIGHT(Table156[[#This Row],[Item-Codigo]], LEN(Table156[[#This Row],[Item-Codigo]]) - FIND("|", CONCATENATE(B1716), FIND("|", CONCATENATE(B1716)) + 1)))</f>
        <v>KG</v>
      </c>
      <c r="H171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732</v>
      </c>
      <c r="I1716" s="40">
        <v>732</v>
      </c>
      <c r="J171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1716" t="s">
        <v>1227</v>
      </c>
    </row>
    <row r="1717" spans="1:11" x14ac:dyDescent="0.35">
      <c r="A1717" t="s">
        <v>305</v>
      </c>
      <c r="B1717" t="s">
        <v>308</v>
      </c>
      <c r="C1717" t="s">
        <v>309</v>
      </c>
      <c r="D1717">
        <v>9.1999999999999993</v>
      </c>
      <c r="E1717" t="s">
        <v>826</v>
      </c>
      <c r="F1717">
        <v>2024</v>
      </c>
      <c r="G1717" t="str">
        <f>TRIM(RIGHT(Table156[[#This Row],[Item-Codigo]], LEN(Table156[[#This Row],[Item-Codigo]]) - FIND("|", CONCATENATE(B1717), FIND("|", CONCATENATE(B1717)) + 1)))</f>
        <v>KG</v>
      </c>
      <c r="H171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1039</v>
      </c>
      <c r="I1717" s="40">
        <v>1039</v>
      </c>
      <c r="J171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9200</v>
      </c>
      <c r="K1717" t="s">
        <v>67</v>
      </c>
    </row>
    <row r="1718" spans="1:11" x14ac:dyDescent="0.35">
      <c r="A1718" t="s">
        <v>305</v>
      </c>
      <c r="B1718" t="s">
        <v>310</v>
      </c>
      <c r="C1718" t="s">
        <v>311</v>
      </c>
      <c r="D1718">
        <v>1.92</v>
      </c>
      <c r="E1718" t="s">
        <v>826</v>
      </c>
      <c r="F1718">
        <v>2024</v>
      </c>
      <c r="G1718" t="str">
        <f>TRIM(RIGHT(Table156[[#This Row],[Item-Codigo]], LEN(Table156[[#This Row],[Item-Codigo]]) - FIND("|", CONCATENATE(B1718), FIND("|", CONCATENATE(B1718)) + 1)))</f>
        <v>KG</v>
      </c>
      <c r="H171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1010</v>
      </c>
      <c r="I1718" s="40">
        <v>1010</v>
      </c>
      <c r="J171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1920</v>
      </c>
      <c r="K1718" t="s">
        <v>68</v>
      </c>
    </row>
    <row r="1719" spans="1:11" x14ac:dyDescent="0.35">
      <c r="A1719" t="s">
        <v>305</v>
      </c>
      <c r="B1719" t="s">
        <v>316</v>
      </c>
      <c r="C1719" t="s">
        <v>327</v>
      </c>
      <c r="D1719">
        <v>65</v>
      </c>
      <c r="E1719" t="s">
        <v>826</v>
      </c>
      <c r="F1719">
        <v>2024</v>
      </c>
      <c r="G1719" t="str">
        <f>TRIM(RIGHT(Table156[[#This Row],[Item-Codigo]], LEN(Table156[[#This Row],[Item-Codigo]]) - FIND("|", CONCATENATE(B1719), FIND("|", CONCATENATE(B1719)) + 1)))</f>
        <v>KG</v>
      </c>
      <c r="H171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929</v>
      </c>
      <c r="I1719" s="40">
        <v>929</v>
      </c>
      <c r="J171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65000</v>
      </c>
      <c r="K1719" t="s">
        <v>71</v>
      </c>
    </row>
    <row r="1720" spans="1:11" x14ac:dyDescent="0.35">
      <c r="A1720" t="s">
        <v>305</v>
      </c>
      <c r="B1720" t="s">
        <v>320</v>
      </c>
      <c r="C1720" t="s">
        <v>321</v>
      </c>
      <c r="D1720">
        <v>8.75</v>
      </c>
      <c r="E1720" t="s">
        <v>826</v>
      </c>
      <c r="F1720">
        <v>2024</v>
      </c>
      <c r="G1720" t="str">
        <f>TRIM(RIGHT(Table156[[#This Row],[Item-Codigo]], LEN(Table156[[#This Row],[Item-Codigo]]) - FIND("|", CONCATENATE(B1720), FIND("|", CONCATENATE(B1720)) + 1)))</f>
        <v>KG</v>
      </c>
      <c r="H172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1009</v>
      </c>
      <c r="I1720" s="40">
        <v>1009</v>
      </c>
      <c r="J172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8750</v>
      </c>
      <c r="K1720" t="s">
        <v>73</v>
      </c>
    </row>
    <row r="1721" spans="1:11" x14ac:dyDescent="0.35">
      <c r="A1721" t="s">
        <v>305</v>
      </c>
      <c r="B1721" t="s">
        <v>326</v>
      </c>
      <c r="C1721" t="s">
        <v>327</v>
      </c>
      <c r="D1721">
        <v>5.85</v>
      </c>
      <c r="E1721" t="s">
        <v>826</v>
      </c>
      <c r="F1721">
        <v>2024</v>
      </c>
      <c r="G1721" t="str">
        <f>TRIM(RIGHT(Table156[[#This Row],[Item-Codigo]], LEN(Table156[[#This Row],[Item-Codigo]]) - FIND("|", CONCATENATE(B1721), FIND("|", CONCATENATE(B1721)) + 1)))</f>
        <v>KG</v>
      </c>
      <c r="H172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470.5</v>
      </c>
      <c r="I1721" s="40" t="s">
        <v>536</v>
      </c>
      <c r="J172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5850</v>
      </c>
      <c r="K1721" t="s">
        <v>77</v>
      </c>
    </row>
    <row r="1722" spans="1:11" x14ac:dyDescent="0.35">
      <c r="A1722" t="s">
        <v>305</v>
      </c>
      <c r="B1722" t="s">
        <v>328</v>
      </c>
      <c r="C1722" t="s">
        <v>385</v>
      </c>
      <c r="D1722">
        <v>1.68</v>
      </c>
      <c r="E1722" t="s">
        <v>826</v>
      </c>
      <c r="F1722">
        <v>2024</v>
      </c>
      <c r="G1722" t="str">
        <f>TRIM(RIGHT(Table156[[#This Row],[Item-Codigo]], LEN(Table156[[#This Row],[Item-Codigo]]) - FIND("|", CONCATENATE(B1722), FIND("|", CONCATENATE(B1722)) + 1)))</f>
        <v>KG</v>
      </c>
      <c r="H172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495</v>
      </c>
      <c r="I1722" s="40">
        <v>495</v>
      </c>
      <c r="J172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1680</v>
      </c>
      <c r="K1722" t="s">
        <v>78</v>
      </c>
    </row>
    <row r="1723" spans="1:11" x14ac:dyDescent="0.35">
      <c r="A1723" t="s">
        <v>305</v>
      </c>
      <c r="B1723" t="s">
        <v>335</v>
      </c>
      <c r="C1723" t="s">
        <v>309</v>
      </c>
      <c r="D1723">
        <v>1.45</v>
      </c>
      <c r="E1723" t="s">
        <v>826</v>
      </c>
      <c r="F1723">
        <v>2024</v>
      </c>
      <c r="G1723" t="str">
        <f>TRIM(RIGHT(Table156[[#This Row],[Item-Codigo]], LEN(Table156[[#This Row],[Item-Codigo]]) - FIND("|", CONCATENATE(B1723), FIND("|", CONCATENATE(B1723)) + 1)))</f>
        <v>KG</v>
      </c>
      <c r="H172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131.3</v>
      </c>
      <c r="I1723" s="40" t="s">
        <v>523</v>
      </c>
      <c r="J172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1450</v>
      </c>
      <c r="K1723" t="s">
        <v>83</v>
      </c>
    </row>
    <row r="1724" spans="1:11" x14ac:dyDescent="0.35">
      <c r="A1724" t="s">
        <v>305</v>
      </c>
      <c r="B1724" t="s">
        <v>340</v>
      </c>
      <c r="C1724" t="s">
        <v>327</v>
      </c>
      <c r="D1724">
        <v>11.25</v>
      </c>
      <c r="E1724" t="s">
        <v>826</v>
      </c>
      <c r="F1724">
        <v>2024</v>
      </c>
      <c r="G1724" t="str">
        <f>TRIM(RIGHT(Table156[[#This Row],[Item-Codigo]], LEN(Table156[[#This Row],[Item-Codigo]]) - FIND("|", CONCATENATE(B1724), FIND("|", CONCATENATE(B1724)) + 1)))</f>
        <v>KG</v>
      </c>
      <c r="H172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877</v>
      </c>
      <c r="I1724" s="40">
        <v>877</v>
      </c>
      <c r="J172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11250</v>
      </c>
      <c r="K1724" t="s">
        <v>1074</v>
      </c>
    </row>
    <row r="1725" spans="1:11" x14ac:dyDescent="0.35">
      <c r="A1725" t="s">
        <v>305</v>
      </c>
      <c r="B1725" t="s">
        <v>344</v>
      </c>
      <c r="C1725" t="s">
        <v>345</v>
      </c>
      <c r="D1725">
        <v>95</v>
      </c>
      <c r="E1725" t="s">
        <v>826</v>
      </c>
      <c r="F1725">
        <v>2024</v>
      </c>
      <c r="G1725" t="str">
        <f>TRIM(RIGHT(Table156[[#This Row],[Item-Codigo]], LEN(Table156[[#This Row],[Item-Codigo]]) - FIND("|", CONCATENATE(B1725), FIND("|", CONCATENATE(B1725)) + 1)))</f>
        <v>KG</v>
      </c>
      <c r="H172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912.5</v>
      </c>
      <c r="I1725" s="40" t="s">
        <v>555</v>
      </c>
      <c r="J172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95000</v>
      </c>
      <c r="K1725" t="s">
        <v>90</v>
      </c>
    </row>
    <row r="1726" spans="1:11" x14ac:dyDescent="0.35">
      <c r="A1726" t="s">
        <v>305</v>
      </c>
      <c r="B1726" t="s">
        <v>346</v>
      </c>
      <c r="C1726" t="s">
        <v>327</v>
      </c>
      <c r="D1726">
        <v>8.5</v>
      </c>
      <c r="E1726" t="s">
        <v>826</v>
      </c>
      <c r="F1726">
        <v>2024</v>
      </c>
      <c r="G1726" t="str">
        <f>TRIM(RIGHT(Table156[[#This Row],[Item-Codigo]], LEN(Table156[[#This Row],[Item-Codigo]]) - FIND("|", CONCATENATE(B1726), FIND("|", CONCATENATE(B1726)) + 1)))</f>
        <v>KG</v>
      </c>
      <c r="H172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492.12</v>
      </c>
      <c r="I1726" s="40" t="s">
        <v>539</v>
      </c>
      <c r="J172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8500</v>
      </c>
      <c r="K1726" t="s">
        <v>91</v>
      </c>
    </row>
    <row r="1727" spans="1:11" x14ac:dyDescent="0.35">
      <c r="A1727" t="s">
        <v>305</v>
      </c>
      <c r="B1727" t="s">
        <v>347</v>
      </c>
      <c r="C1727" t="s">
        <v>348</v>
      </c>
      <c r="D1727">
        <v>18</v>
      </c>
      <c r="E1727" t="s">
        <v>826</v>
      </c>
      <c r="F1727">
        <v>2024</v>
      </c>
      <c r="G1727" t="str">
        <f>TRIM(RIGHT(Table156[[#This Row],[Item-Codigo]], LEN(Table156[[#This Row],[Item-Codigo]]) - FIND("|", CONCATENATE(B1727), FIND("|", CONCATENATE(B1727)) + 1)))</f>
        <v>KG</v>
      </c>
      <c r="H172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550</v>
      </c>
      <c r="I1727" s="40">
        <v>550</v>
      </c>
      <c r="J172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18000</v>
      </c>
      <c r="K1727" t="s">
        <v>92</v>
      </c>
    </row>
    <row r="1728" spans="1:11" x14ac:dyDescent="0.35">
      <c r="A1728" t="s">
        <v>305</v>
      </c>
      <c r="B1728" t="s">
        <v>349</v>
      </c>
      <c r="C1728" t="s">
        <v>235</v>
      </c>
      <c r="D1728">
        <v>2.9</v>
      </c>
      <c r="E1728" t="s">
        <v>826</v>
      </c>
      <c r="F1728">
        <v>2024</v>
      </c>
      <c r="G1728" t="str">
        <f>TRIM(RIGHT(Table156[[#This Row],[Item-Codigo]], LEN(Table156[[#This Row],[Item-Codigo]]) - FIND("|", CONCATENATE(B1728), FIND("|", CONCATENATE(B1728)) + 1)))</f>
        <v>KG</v>
      </c>
      <c r="H172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160</v>
      </c>
      <c r="I1728" s="40">
        <v>160</v>
      </c>
      <c r="J172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2900</v>
      </c>
      <c r="K1728" t="s">
        <v>175</v>
      </c>
    </row>
    <row r="1729" spans="1:11" x14ac:dyDescent="0.35">
      <c r="A1729" t="s">
        <v>305</v>
      </c>
      <c r="B1729" t="s">
        <v>352</v>
      </c>
      <c r="C1729" t="s">
        <v>353</v>
      </c>
      <c r="D1729">
        <v>9.35</v>
      </c>
      <c r="E1729" t="s">
        <v>826</v>
      </c>
      <c r="F1729">
        <v>2024</v>
      </c>
      <c r="G1729" t="str">
        <f>TRIM(RIGHT(Table156[[#This Row],[Item-Codigo]], LEN(Table156[[#This Row],[Item-Codigo]]) - FIND("|", CONCATENATE(B1729), FIND("|", CONCATENATE(B1729)) + 1)))</f>
        <v>KG</v>
      </c>
      <c r="H172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742</v>
      </c>
      <c r="I1729" s="40">
        <v>742</v>
      </c>
      <c r="J172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9350</v>
      </c>
      <c r="K1729" t="s">
        <v>147</v>
      </c>
    </row>
    <row r="1730" spans="1:11" x14ac:dyDescent="0.35">
      <c r="A1730" t="s">
        <v>305</v>
      </c>
      <c r="B1730" t="s">
        <v>355</v>
      </c>
      <c r="C1730" t="s">
        <v>353</v>
      </c>
      <c r="D1730">
        <v>8.85</v>
      </c>
      <c r="E1730" t="s">
        <v>826</v>
      </c>
      <c r="F1730">
        <v>2024</v>
      </c>
      <c r="G1730" t="str">
        <f>TRIM(RIGHT(Table156[[#This Row],[Item-Codigo]], LEN(Table156[[#This Row],[Item-Codigo]]) - FIND("|", CONCATENATE(B1730), FIND("|", CONCATENATE(B1730)) + 1)))</f>
        <v>KG</v>
      </c>
      <c r="H173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740</v>
      </c>
      <c r="I1730" s="40">
        <v>740</v>
      </c>
      <c r="J173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8850</v>
      </c>
      <c r="K1730" t="s">
        <v>143</v>
      </c>
    </row>
    <row r="1731" spans="1:11" x14ac:dyDescent="0.35">
      <c r="A1731" t="s">
        <v>305</v>
      </c>
      <c r="B1731" t="s">
        <v>356</v>
      </c>
      <c r="C1731" t="s">
        <v>357</v>
      </c>
      <c r="D1731">
        <v>6.6</v>
      </c>
      <c r="E1731" t="s">
        <v>826</v>
      </c>
      <c r="F1731">
        <v>2024</v>
      </c>
      <c r="G1731" t="str">
        <f>TRIM(RIGHT(Table156[[#This Row],[Item-Codigo]], LEN(Table156[[#This Row],[Item-Codigo]]) - FIND("|", CONCATENATE(B1731), FIND("|", CONCATENATE(B1731)) + 1)))</f>
        <v>KG</v>
      </c>
      <c r="H173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1016</v>
      </c>
      <c r="I1731" s="40">
        <v>1016</v>
      </c>
      <c r="J173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6600</v>
      </c>
      <c r="K1731" t="s">
        <v>177</v>
      </c>
    </row>
    <row r="1732" spans="1:11" x14ac:dyDescent="0.35">
      <c r="A1732" t="s">
        <v>305</v>
      </c>
      <c r="B1732" t="s">
        <v>364</v>
      </c>
      <c r="C1732" t="s">
        <v>365</v>
      </c>
      <c r="D1732">
        <v>1.01</v>
      </c>
      <c r="E1732" t="s">
        <v>826</v>
      </c>
      <c r="F1732">
        <v>2024</v>
      </c>
      <c r="G1732" t="str">
        <f>TRIM(RIGHT(Table156[[#This Row],[Item-Codigo]], LEN(Table156[[#This Row],[Item-Codigo]]) - FIND("|", CONCATENATE(B1732), FIND("|", CONCATENATE(B1732)) + 1)))</f>
        <v>KG</v>
      </c>
      <c r="H173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488.1</v>
      </c>
      <c r="I1732" s="40" t="s">
        <v>538</v>
      </c>
      <c r="J173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1010</v>
      </c>
      <c r="K1732" t="s">
        <v>149</v>
      </c>
    </row>
    <row r="1733" spans="1:11" x14ac:dyDescent="0.35">
      <c r="A1733" t="s">
        <v>305</v>
      </c>
      <c r="B1733" t="s">
        <v>367</v>
      </c>
      <c r="C1733" t="s">
        <v>321</v>
      </c>
      <c r="D1733">
        <v>2.15</v>
      </c>
      <c r="E1733" t="s">
        <v>826</v>
      </c>
      <c r="F1733">
        <v>2024</v>
      </c>
      <c r="G1733" t="str">
        <f>TRIM(RIGHT(Table156[[#This Row],[Item-Codigo]], LEN(Table156[[#This Row],[Item-Codigo]]) - FIND("|", CONCATENATE(B1733), FIND("|", CONCATENATE(B1733)) + 1)))</f>
        <v>KG</v>
      </c>
      <c r="H173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910</v>
      </c>
      <c r="I1733" s="40">
        <v>910</v>
      </c>
      <c r="J173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2150</v>
      </c>
      <c r="K1733" t="s">
        <v>136</v>
      </c>
    </row>
    <row r="1734" spans="1:11" x14ac:dyDescent="0.35">
      <c r="A1734" t="s">
        <v>305</v>
      </c>
      <c r="B1734" t="s">
        <v>378</v>
      </c>
      <c r="C1734" t="s">
        <v>379</v>
      </c>
      <c r="D1734">
        <v>1.9</v>
      </c>
      <c r="E1734" t="s">
        <v>826</v>
      </c>
      <c r="F1734">
        <v>2024</v>
      </c>
      <c r="G1734" t="str">
        <f>TRIM(RIGHT(Table156[[#This Row],[Item-Codigo]], LEN(Table156[[#This Row],[Item-Codigo]]) - FIND("|", CONCATENATE(B1734), FIND("|", CONCATENATE(B1734)) + 1)))</f>
        <v>KG</v>
      </c>
      <c r="H173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316</v>
      </c>
      <c r="I1734" s="40">
        <v>316</v>
      </c>
      <c r="J173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1900</v>
      </c>
      <c r="K1734" t="s">
        <v>165</v>
      </c>
    </row>
    <row r="1735" spans="1:11" x14ac:dyDescent="0.35">
      <c r="A1735" t="s">
        <v>305</v>
      </c>
      <c r="B1735" t="s">
        <v>383</v>
      </c>
      <c r="C1735" t="s">
        <v>317</v>
      </c>
      <c r="D1735">
        <v>7.8</v>
      </c>
      <c r="E1735" t="s">
        <v>826</v>
      </c>
      <c r="F1735">
        <v>2024</v>
      </c>
      <c r="G1735" t="str">
        <f>TRIM(RIGHT(Table156[[#This Row],[Item-Codigo]], LEN(Table156[[#This Row],[Item-Codigo]]) - FIND("|", CONCATENATE(B1735), FIND("|", CONCATENATE(B1735)) + 1)))</f>
        <v>KG</v>
      </c>
      <c r="H173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1059</v>
      </c>
      <c r="I1735" s="40">
        <v>1059</v>
      </c>
      <c r="J173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7800</v>
      </c>
      <c r="K1735" t="s">
        <v>151</v>
      </c>
    </row>
    <row r="1736" spans="1:11" x14ac:dyDescent="0.35">
      <c r="A1736" t="s">
        <v>305</v>
      </c>
      <c r="B1736" t="s">
        <v>384</v>
      </c>
      <c r="C1736" t="s">
        <v>385</v>
      </c>
      <c r="D1736">
        <v>40</v>
      </c>
      <c r="E1736" t="s">
        <v>826</v>
      </c>
      <c r="F1736">
        <v>2024</v>
      </c>
      <c r="G1736" t="str">
        <f>TRIM(RIGHT(Table156[[#This Row],[Item-Codigo]], LEN(Table156[[#This Row],[Item-Codigo]]) - FIND("|", CONCATENATE(B1736), FIND("|", CONCATENATE(B1736)) + 1)))</f>
        <v>KG</v>
      </c>
      <c r="H173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527.1</v>
      </c>
      <c r="I1736" s="40" t="s">
        <v>547</v>
      </c>
      <c r="J173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40000</v>
      </c>
      <c r="K1736" t="s">
        <v>1078</v>
      </c>
    </row>
    <row r="1737" spans="1:11" x14ac:dyDescent="0.35">
      <c r="A1737" t="s">
        <v>305</v>
      </c>
      <c r="B1737" t="s">
        <v>386</v>
      </c>
      <c r="C1737" t="s">
        <v>351</v>
      </c>
      <c r="D1737">
        <v>5.9</v>
      </c>
      <c r="E1737" t="s">
        <v>826</v>
      </c>
      <c r="F1737">
        <v>2024</v>
      </c>
      <c r="G1737" t="str">
        <f>TRIM(RIGHT(Table156[[#This Row],[Item-Codigo]], LEN(Table156[[#This Row],[Item-Codigo]]) - FIND("|", CONCATENATE(B1737), FIND("|", CONCATENATE(B1737)) + 1)))</f>
        <v>KG</v>
      </c>
      <c r="H173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110.2</v>
      </c>
      <c r="I1737" s="40" t="s">
        <v>522</v>
      </c>
      <c r="J173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5900</v>
      </c>
      <c r="K1737" t="s">
        <v>170</v>
      </c>
    </row>
    <row r="1738" spans="1:11" x14ac:dyDescent="0.35">
      <c r="A1738" t="s">
        <v>305</v>
      </c>
      <c r="B1738" t="s">
        <v>388</v>
      </c>
      <c r="C1738" t="s">
        <v>321</v>
      </c>
      <c r="D1738">
        <v>7.4</v>
      </c>
      <c r="E1738" t="s">
        <v>826</v>
      </c>
      <c r="F1738">
        <v>2024</v>
      </c>
      <c r="G1738" t="str">
        <f>TRIM(RIGHT(Table156[[#This Row],[Item-Codigo]], LEN(Table156[[#This Row],[Item-Codigo]]) - FIND("|", CONCATENATE(B1738), FIND("|", CONCATENATE(B1738)) + 1)))</f>
        <v>KG</v>
      </c>
      <c r="H173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1068</v>
      </c>
      <c r="I1738" s="40">
        <v>1068</v>
      </c>
      <c r="J173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7400</v>
      </c>
      <c r="K1738" t="s">
        <v>145</v>
      </c>
    </row>
    <row r="1739" spans="1:11" x14ac:dyDescent="0.35">
      <c r="A1739" t="s">
        <v>305</v>
      </c>
      <c r="B1739" t="s">
        <v>389</v>
      </c>
      <c r="C1739" t="s">
        <v>390</v>
      </c>
      <c r="D1739">
        <v>1.05</v>
      </c>
      <c r="E1739" t="s">
        <v>826</v>
      </c>
      <c r="F1739">
        <v>2024</v>
      </c>
      <c r="G1739" t="str">
        <f>TRIM(RIGHT(Table156[[#This Row],[Item-Codigo]], LEN(Table156[[#This Row],[Item-Codigo]]) - FIND("|", CONCATENATE(B1739), FIND("|", CONCATENATE(B1739)) + 1)))</f>
        <v>KG</v>
      </c>
      <c r="H173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806</v>
      </c>
      <c r="I1739" s="40">
        <v>806</v>
      </c>
      <c r="J173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1050</v>
      </c>
      <c r="K1739" t="s">
        <v>134</v>
      </c>
    </row>
    <row r="1740" spans="1:11" x14ac:dyDescent="0.35">
      <c r="A1740" t="s">
        <v>305</v>
      </c>
      <c r="B1740" t="s">
        <v>396</v>
      </c>
      <c r="C1740" t="s">
        <v>345</v>
      </c>
      <c r="D1740">
        <v>13</v>
      </c>
      <c r="E1740" t="s">
        <v>826</v>
      </c>
      <c r="F1740">
        <v>2024</v>
      </c>
      <c r="G1740" t="str">
        <f>TRIM(RIGHT(Table156[[#This Row],[Item-Codigo]], LEN(Table156[[#This Row],[Item-Codigo]]) - FIND("|", CONCATENATE(B1740), FIND("|", CONCATENATE(B1740)) + 1)))</f>
        <v>KG</v>
      </c>
      <c r="H174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58</v>
      </c>
      <c r="I1740" s="40">
        <v>58</v>
      </c>
      <c r="J174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13000</v>
      </c>
      <c r="K1740" t="s">
        <v>172</v>
      </c>
    </row>
    <row r="1741" spans="1:11" x14ac:dyDescent="0.35">
      <c r="A1741" t="s">
        <v>305</v>
      </c>
      <c r="B1741" t="s">
        <v>398</v>
      </c>
      <c r="C1741" t="s">
        <v>399</v>
      </c>
      <c r="D1741">
        <v>0.16215177710000001</v>
      </c>
      <c r="E1741" t="s">
        <v>826</v>
      </c>
      <c r="F1741">
        <v>2024</v>
      </c>
      <c r="G1741" t="str">
        <f>TRIM(RIGHT(Table156[[#This Row],[Item-Codigo]], LEN(Table156[[#This Row],[Item-Codigo]]) - FIND("|", CONCATENATE(B1741), FIND("|", CONCATENATE(B1741)) + 1)))</f>
        <v>KG</v>
      </c>
      <c r="H174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704</v>
      </c>
      <c r="I1741" s="40">
        <v>704</v>
      </c>
      <c r="J174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162.1517771</v>
      </c>
      <c r="K1741" t="s">
        <v>132</v>
      </c>
    </row>
    <row r="1742" spans="1:11" x14ac:dyDescent="0.35">
      <c r="A1742" t="s">
        <v>305</v>
      </c>
      <c r="B1742" t="s">
        <v>400</v>
      </c>
      <c r="C1742" t="s">
        <v>309</v>
      </c>
      <c r="D1742">
        <v>14.5</v>
      </c>
      <c r="E1742" t="s">
        <v>826</v>
      </c>
      <c r="F1742">
        <v>2024</v>
      </c>
      <c r="G1742" t="str">
        <f>TRIM(RIGHT(Table156[[#This Row],[Item-Codigo]], LEN(Table156[[#This Row],[Item-Codigo]]) - FIND("|", CONCATENATE(B1742), FIND("|", CONCATENATE(B1742)) + 1)))</f>
        <v>KG</v>
      </c>
      <c r="H174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907</v>
      </c>
      <c r="I1742" s="40">
        <v>907</v>
      </c>
      <c r="J174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14500</v>
      </c>
      <c r="K1742" t="s">
        <v>155</v>
      </c>
    </row>
    <row r="1743" spans="1:11" x14ac:dyDescent="0.35">
      <c r="A1743" t="s">
        <v>305</v>
      </c>
      <c r="B1743" t="s">
        <v>925</v>
      </c>
      <c r="C1743" t="s">
        <v>345</v>
      </c>
      <c r="D1743">
        <v>28</v>
      </c>
      <c r="E1743" t="s">
        <v>826</v>
      </c>
      <c r="F1743">
        <v>2024</v>
      </c>
      <c r="G1743" t="str">
        <f>TRIM(RIGHT(Table156[[#This Row],[Item-Codigo]], LEN(Table156[[#This Row],[Item-Codigo]]) - FIND("|", CONCATENATE(B1743), FIND("|", CONCATENATE(B1743)) + 1)))</f>
        <v>KG</v>
      </c>
      <c r="H174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1050</v>
      </c>
      <c r="I1743" s="40">
        <v>1050</v>
      </c>
      <c r="J174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28000</v>
      </c>
      <c r="K1743" t="s">
        <v>973</v>
      </c>
    </row>
    <row r="1744" spans="1:11" x14ac:dyDescent="0.35">
      <c r="A1744" t="s">
        <v>305</v>
      </c>
      <c r="B1744" t="s">
        <v>402</v>
      </c>
      <c r="C1744" t="s">
        <v>331</v>
      </c>
      <c r="D1744">
        <v>3</v>
      </c>
      <c r="E1744" t="s">
        <v>826</v>
      </c>
      <c r="F1744">
        <v>2024</v>
      </c>
      <c r="G1744" t="str">
        <f>TRIM(RIGHT(Table156[[#This Row],[Item-Codigo]], LEN(Table156[[#This Row],[Item-Codigo]]) - FIND("|", CONCATENATE(B1744), FIND("|", CONCATENATE(B1744)) + 1)))</f>
        <v>KG</v>
      </c>
      <c r="H174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716</v>
      </c>
      <c r="I1744" s="40">
        <v>716</v>
      </c>
      <c r="J174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3000</v>
      </c>
      <c r="K1744" t="s">
        <v>162</v>
      </c>
    </row>
    <row r="1745" spans="1:11" x14ac:dyDescent="0.35">
      <c r="A1745" t="s">
        <v>305</v>
      </c>
      <c r="B1745" t="s">
        <v>405</v>
      </c>
      <c r="C1745" t="s">
        <v>215</v>
      </c>
      <c r="D1745">
        <v>780</v>
      </c>
      <c r="E1745" t="s">
        <v>826</v>
      </c>
      <c r="F1745">
        <v>2024</v>
      </c>
      <c r="G1745" t="str">
        <f>TRIM(RIGHT(Table156[[#This Row],[Item-Codigo]], LEN(Table156[[#This Row],[Item-Codigo]]) - FIND("|", CONCATENATE(B1745), FIND("|", CONCATENATE(B1745)) + 1)))</f>
        <v>TM</v>
      </c>
      <c r="H174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497.5</v>
      </c>
      <c r="I1745" s="40" t="s">
        <v>540</v>
      </c>
      <c r="J174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780</v>
      </c>
      <c r="K1745" t="s">
        <v>133</v>
      </c>
    </row>
    <row r="1746" spans="1:11" x14ac:dyDescent="0.35">
      <c r="A1746" t="s">
        <v>305</v>
      </c>
      <c r="B1746" t="s">
        <v>409</v>
      </c>
      <c r="C1746" t="s">
        <v>215</v>
      </c>
      <c r="D1746">
        <v>1470</v>
      </c>
      <c r="E1746" t="s">
        <v>826</v>
      </c>
      <c r="F1746">
        <v>2024</v>
      </c>
      <c r="G1746" t="str">
        <f>TRIM(RIGHT(Table156[[#This Row],[Item-Codigo]], LEN(Table156[[#This Row],[Item-Codigo]]) - FIND("|", CONCATENATE(B1746), FIND("|", CONCATENATE(B1746)) + 1)))</f>
        <v>TM</v>
      </c>
      <c r="H174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379</v>
      </c>
      <c r="I1746" s="40">
        <v>379</v>
      </c>
      <c r="J174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1470</v>
      </c>
      <c r="K1746" t="s">
        <v>139</v>
      </c>
    </row>
    <row r="1747" spans="1:11" x14ac:dyDescent="0.35">
      <c r="A1747" t="s">
        <v>305</v>
      </c>
      <c r="B1747" t="s">
        <v>928</v>
      </c>
      <c r="C1747" t="s">
        <v>385</v>
      </c>
      <c r="D1747">
        <v>10.5</v>
      </c>
      <c r="E1747" t="s">
        <v>826</v>
      </c>
      <c r="F1747">
        <v>2024</v>
      </c>
      <c r="G1747" t="str">
        <f>TRIM(RIGHT(Table156[[#This Row],[Item-Codigo]], LEN(Table156[[#This Row],[Item-Codigo]]) - FIND("|", CONCATENATE(B1747), FIND("|", CONCATENATE(B1747)) + 1)))</f>
        <v>KG</v>
      </c>
      <c r="H174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442.4</v>
      </c>
      <c r="I1747" s="40" t="s">
        <v>531</v>
      </c>
      <c r="J174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10500</v>
      </c>
      <c r="K1747" t="s">
        <v>164</v>
      </c>
    </row>
    <row r="1748" spans="1:11" x14ac:dyDescent="0.35">
      <c r="A1748" t="s">
        <v>305</v>
      </c>
      <c r="B1748" t="s">
        <v>929</v>
      </c>
      <c r="C1748" t="s">
        <v>215</v>
      </c>
      <c r="D1748">
        <v>9270</v>
      </c>
      <c r="E1748" t="s">
        <v>826</v>
      </c>
      <c r="F1748">
        <v>2024</v>
      </c>
      <c r="G1748" t="str">
        <f>TRIM(RIGHT(Table156[[#This Row],[Item-Codigo]], LEN(Table156[[#This Row],[Item-Codigo]]) - FIND("|", CONCATENATE(B1748), FIND("|", CONCATENATE(B1748)) + 1)))</f>
        <v>TM</v>
      </c>
      <c r="H174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442.4</v>
      </c>
      <c r="I1748" s="40" t="s">
        <v>531</v>
      </c>
      <c r="J174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9270</v>
      </c>
      <c r="K1748" t="s">
        <v>164</v>
      </c>
    </row>
    <row r="1749" spans="1:11" x14ac:dyDescent="0.35">
      <c r="A1749" t="s">
        <v>305</v>
      </c>
      <c r="B1749" t="s">
        <v>411</v>
      </c>
      <c r="C1749" t="s">
        <v>215</v>
      </c>
      <c r="D1749">
        <v>2100</v>
      </c>
      <c r="E1749" t="s">
        <v>826</v>
      </c>
      <c r="F1749">
        <v>2024</v>
      </c>
      <c r="G1749" t="str">
        <f>TRIM(RIGHT(Table156[[#This Row],[Item-Codigo]], LEN(Table156[[#This Row],[Item-Codigo]]) - FIND("|", CONCATENATE(B1749), FIND("|", CONCATENATE(B1749)) + 1)))</f>
        <v>TM</v>
      </c>
      <c r="H174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508</v>
      </c>
      <c r="I1749" s="40">
        <v>508</v>
      </c>
      <c r="J174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2100</v>
      </c>
      <c r="K1749" t="s">
        <v>154</v>
      </c>
    </row>
    <row r="1750" spans="1:11" x14ac:dyDescent="0.35">
      <c r="A1750" t="s">
        <v>305</v>
      </c>
      <c r="B1750" t="s">
        <v>412</v>
      </c>
      <c r="C1750" t="s">
        <v>348</v>
      </c>
      <c r="D1750">
        <v>29</v>
      </c>
      <c r="E1750" t="s">
        <v>826</v>
      </c>
      <c r="F1750">
        <v>2024</v>
      </c>
      <c r="G1750" t="str">
        <f>TRIM(RIGHT(Table156[[#This Row],[Item-Codigo]], LEN(Table156[[#This Row],[Item-Codigo]]) - FIND("|", CONCATENATE(B1750), FIND("|", CONCATENATE(B1750)) + 1)))</f>
        <v>KG</v>
      </c>
      <c r="H175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981.2</v>
      </c>
      <c r="I1750" s="40" t="s">
        <v>556</v>
      </c>
      <c r="J175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29000</v>
      </c>
      <c r="K1750" t="s">
        <v>171</v>
      </c>
    </row>
    <row r="1751" spans="1:11" x14ac:dyDescent="0.35">
      <c r="A1751" t="s">
        <v>305</v>
      </c>
      <c r="B1751" t="s">
        <v>417</v>
      </c>
      <c r="C1751" t="s">
        <v>365</v>
      </c>
      <c r="D1751">
        <v>5.36</v>
      </c>
      <c r="E1751" t="s">
        <v>826</v>
      </c>
      <c r="F1751">
        <v>2024</v>
      </c>
      <c r="G1751" t="str">
        <f>TRIM(RIGHT(Table156[[#This Row],[Item-Codigo]], LEN(Table156[[#This Row],[Item-Codigo]]) - FIND("|", CONCATENATE(B1751), FIND("|", CONCATENATE(B1751)) + 1)))</f>
        <v>KG</v>
      </c>
      <c r="H175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461</v>
      </c>
      <c r="I1751" s="40">
        <v>461</v>
      </c>
      <c r="J175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5360</v>
      </c>
      <c r="K1751" t="s">
        <v>176</v>
      </c>
    </row>
    <row r="1752" spans="1:11" x14ac:dyDescent="0.35">
      <c r="A1752" t="s">
        <v>680</v>
      </c>
      <c r="B1752" t="s">
        <v>1013</v>
      </c>
      <c r="C1752" t="s">
        <v>874</v>
      </c>
      <c r="D1752">
        <v>1.2500000000000001E-2</v>
      </c>
      <c r="E1752" t="s">
        <v>826</v>
      </c>
      <c r="F1752">
        <v>2024</v>
      </c>
      <c r="G1752" t="str">
        <f>TRIM(RIGHT(Table156[[#This Row],[Item-Codigo]], LEN(Table156[[#This Row],[Item-Codigo]]) - FIND("|", CONCATENATE(B1752), FIND("|", CONCATENATE(B1752)) + 1)))</f>
        <v>UND</v>
      </c>
      <c r="H175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4300</v>
      </c>
      <c r="I1752" s="40">
        <v>4300</v>
      </c>
      <c r="J175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1752" t="s">
        <v>787</v>
      </c>
    </row>
    <row r="1753" spans="1:11" x14ac:dyDescent="0.35">
      <c r="A1753" t="s">
        <v>196</v>
      </c>
      <c r="B1753" t="s">
        <v>214</v>
      </c>
      <c r="C1753" t="s">
        <v>817</v>
      </c>
      <c r="D1753">
        <v>389.96697707402001</v>
      </c>
      <c r="E1753" t="s">
        <v>821</v>
      </c>
      <c r="F1753">
        <v>2024</v>
      </c>
      <c r="G1753" t="str">
        <f>TRIM(RIGHT(Table156[[#This Row],[Item-Codigo]], LEN(Table156[[#This Row],[Item-Codigo]]) - FIND("|", CONCATENATE(B1753), FIND("|", CONCATENATE(B1753)) + 1)))</f>
        <v>TM</v>
      </c>
      <c r="H175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223</v>
      </c>
      <c r="I1753" s="40">
        <v>223</v>
      </c>
      <c r="J175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389.96697707402001</v>
      </c>
      <c r="K1753" t="s">
        <v>93</v>
      </c>
    </row>
    <row r="1754" spans="1:11" x14ac:dyDescent="0.35">
      <c r="A1754" t="s">
        <v>196</v>
      </c>
      <c r="B1754" t="s">
        <v>214</v>
      </c>
      <c r="C1754" t="s">
        <v>817</v>
      </c>
      <c r="D1754">
        <v>390.00320756278597</v>
      </c>
      <c r="E1754" t="s">
        <v>818</v>
      </c>
      <c r="F1754">
        <v>2024</v>
      </c>
      <c r="G1754" t="str">
        <f>TRIM(RIGHT(Table156[[#This Row],[Item-Codigo]], LEN(Table156[[#This Row],[Item-Codigo]]) - FIND("|", CONCATENATE(B1754), FIND("|", CONCATENATE(B1754)) + 1)))</f>
        <v>TM</v>
      </c>
      <c r="H175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223</v>
      </c>
      <c r="I1754" s="40">
        <v>223</v>
      </c>
      <c r="J175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390.00320756278597</v>
      </c>
      <c r="K1754" t="s">
        <v>93</v>
      </c>
    </row>
    <row r="1755" spans="1:11" x14ac:dyDescent="0.35">
      <c r="A1755" t="s">
        <v>196</v>
      </c>
      <c r="B1755" t="s">
        <v>214</v>
      </c>
      <c r="C1755" t="s">
        <v>215</v>
      </c>
      <c r="D1755">
        <v>317.74</v>
      </c>
      <c r="E1755" t="s">
        <v>821</v>
      </c>
      <c r="F1755">
        <v>2024</v>
      </c>
      <c r="G1755" t="str">
        <f>TRIM(RIGHT(Table156[[#This Row],[Item-Codigo]], LEN(Table156[[#This Row],[Item-Codigo]]) - FIND("|", CONCATENATE(B1755), FIND("|", CONCATENATE(B1755)) + 1)))</f>
        <v>TM</v>
      </c>
      <c r="H175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223</v>
      </c>
      <c r="I1755" s="40">
        <v>223</v>
      </c>
      <c r="J175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317.74</v>
      </c>
      <c r="K1755" t="s">
        <v>93</v>
      </c>
    </row>
    <row r="1756" spans="1:11" x14ac:dyDescent="0.35">
      <c r="A1756" t="s">
        <v>196</v>
      </c>
      <c r="B1756" t="s">
        <v>993</v>
      </c>
      <c r="C1756" t="s">
        <v>238</v>
      </c>
      <c r="D1756">
        <v>1089.8106304902201</v>
      </c>
      <c r="E1756" t="s">
        <v>816</v>
      </c>
      <c r="F1756">
        <v>2024</v>
      </c>
      <c r="G1756" t="str">
        <f>TRIM(RIGHT(Table156[[#This Row],[Item-Codigo]], LEN(Table156[[#This Row],[Item-Codigo]]) - FIND("|", CONCATENATE(B1756), FIND("|", CONCATENATE(B1756)) + 1)))</f>
        <v>TM</v>
      </c>
      <c r="H175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1756" s="40">
        <v>116</v>
      </c>
      <c r="J175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1089.8106304902201</v>
      </c>
      <c r="K1756" t="s">
        <v>99</v>
      </c>
    </row>
    <row r="1757" spans="1:11" x14ac:dyDescent="0.35">
      <c r="A1757" t="s">
        <v>196</v>
      </c>
      <c r="B1757" t="s">
        <v>993</v>
      </c>
      <c r="C1757" t="s">
        <v>239</v>
      </c>
      <c r="D1757">
        <v>1150</v>
      </c>
      <c r="E1757" t="s">
        <v>819</v>
      </c>
      <c r="F1757">
        <v>2024</v>
      </c>
      <c r="G1757" t="str">
        <f>TRIM(RIGHT(Table156[[#This Row],[Item-Codigo]], LEN(Table156[[#This Row],[Item-Codigo]]) - FIND("|", CONCATENATE(B1757), FIND("|", CONCATENATE(B1757)) + 1)))</f>
        <v>TM</v>
      </c>
      <c r="H175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1757" s="40">
        <v>116</v>
      </c>
      <c r="J175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1150</v>
      </c>
      <c r="K1757" t="s">
        <v>99</v>
      </c>
    </row>
    <row r="1758" spans="1:11" x14ac:dyDescent="0.35">
      <c r="A1758" t="s">
        <v>196</v>
      </c>
      <c r="B1758" t="s">
        <v>993</v>
      </c>
      <c r="C1758" t="s">
        <v>239</v>
      </c>
      <c r="D1758">
        <v>1150</v>
      </c>
      <c r="E1758" t="s">
        <v>816</v>
      </c>
      <c r="F1758">
        <v>2024</v>
      </c>
      <c r="G1758" t="str">
        <f>TRIM(RIGHT(Table156[[#This Row],[Item-Codigo]], LEN(Table156[[#This Row],[Item-Codigo]]) - FIND("|", CONCATENATE(B1758), FIND("|", CONCATENATE(B1758)) + 1)))</f>
        <v>TM</v>
      </c>
      <c r="H175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1758" s="40">
        <v>116</v>
      </c>
      <c r="J175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1150</v>
      </c>
      <c r="K1758" t="s">
        <v>99</v>
      </c>
    </row>
    <row r="1759" spans="1:11" x14ac:dyDescent="0.35">
      <c r="A1759" t="s">
        <v>196</v>
      </c>
      <c r="B1759" t="s">
        <v>993</v>
      </c>
      <c r="C1759" t="s">
        <v>1018</v>
      </c>
      <c r="D1759">
        <v>1150.11586173193</v>
      </c>
      <c r="E1759" t="s">
        <v>818</v>
      </c>
      <c r="F1759">
        <v>2024</v>
      </c>
      <c r="G1759" t="str">
        <f>TRIM(RIGHT(Table156[[#This Row],[Item-Codigo]], LEN(Table156[[#This Row],[Item-Codigo]]) - FIND("|", CONCATENATE(B1759), FIND("|", CONCATENATE(B1759)) + 1)))</f>
        <v>TM</v>
      </c>
      <c r="H175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116</v>
      </c>
      <c r="I1759" s="40">
        <v>116</v>
      </c>
      <c r="J175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1150.11586173193</v>
      </c>
      <c r="K1759" t="s">
        <v>99</v>
      </c>
    </row>
    <row r="1760" spans="1:11" x14ac:dyDescent="0.35">
      <c r="A1760" t="s">
        <v>196</v>
      </c>
      <c r="B1760" t="s">
        <v>856</v>
      </c>
      <c r="C1760" t="s">
        <v>215</v>
      </c>
      <c r="D1760">
        <v>505.03852757729999</v>
      </c>
      <c r="E1760" t="s">
        <v>821</v>
      </c>
      <c r="F1760">
        <v>2024</v>
      </c>
      <c r="G1760" t="str">
        <f>TRIM(RIGHT(Table156[[#This Row],[Item-Codigo]], LEN(Table156[[#This Row],[Item-Codigo]]) - FIND("|", CONCATENATE(B1760), FIND("|", CONCATENATE(B1760)) + 1)))</f>
        <v>TM</v>
      </c>
      <c r="H176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121</v>
      </c>
      <c r="I1760" s="40">
        <v>121</v>
      </c>
      <c r="J176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505.03852757729999</v>
      </c>
      <c r="K1760" t="s">
        <v>180</v>
      </c>
    </row>
    <row r="1761" spans="1:11" x14ac:dyDescent="0.35">
      <c r="A1761" t="s">
        <v>196</v>
      </c>
      <c r="B1761" t="s">
        <v>216</v>
      </c>
      <c r="C1761" t="s">
        <v>215</v>
      </c>
      <c r="D1761">
        <v>516.51204223720003</v>
      </c>
      <c r="E1761" t="s">
        <v>821</v>
      </c>
      <c r="F1761">
        <v>2024</v>
      </c>
      <c r="G1761" t="str">
        <f>TRIM(RIGHT(Table156[[#This Row],[Item-Codigo]], LEN(Table156[[#This Row],[Item-Codigo]]) - FIND("|", CONCATENATE(B1761), FIND("|", CONCATENATE(B1761)) + 1)))</f>
        <v>TM</v>
      </c>
      <c r="H176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122</v>
      </c>
      <c r="I1761" s="40">
        <v>122</v>
      </c>
      <c r="J176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516.51204223720003</v>
      </c>
      <c r="K1761" t="s">
        <v>180</v>
      </c>
    </row>
    <row r="1762" spans="1:11" x14ac:dyDescent="0.35">
      <c r="A1762" t="s">
        <v>196</v>
      </c>
      <c r="B1762" t="s">
        <v>216</v>
      </c>
      <c r="C1762" t="s">
        <v>215</v>
      </c>
      <c r="D1762">
        <v>509.47299928339999</v>
      </c>
      <c r="E1762" t="s">
        <v>818</v>
      </c>
      <c r="F1762">
        <v>2024</v>
      </c>
      <c r="G1762" t="str">
        <f>TRIM(RIGHT(Table156[[#This Row],[Item-Codigo]], LEN(Table156[[#This Row],[Item-Codigo]]) - FIND("|", CONCATENATE(B1762), FIND("|", CONCATENATE(B1762)) + 1)))</f>
        <v>TM</v>
      </c>
      <c r="H176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122</v>
      </c>
      <c r="I1762" s="40">
        <v>122</v>
      </c>
      <c r="J176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509.47299928339999</v>
      </c>
      <c r="K1762" t="s">
        <v>180</v>
      </c>
    </row>
    <row r="1763" spans="1:11" x14ac:dyDescent="0.35">
      <c r="A1763" t="s">
        <v>196</v>
      </c>
      <c r="B1763" t="s">
        <v>216</v>
      </c>
      <c r="C1763" t="s">
        <v>215</v>
      </c>
      <c r="D1763">
        <v>485.58534530309998</v>
      </c>
      <c r="E1763" t="s">
        <v>819</v>
      </c>
      <c r="F1763">
        <v>2024</v>
      </c>
      <c r="G1763" t="str">
        <f>TRIM(RIGHT(Table156[[#This Row],[Item-Codigo]], LEN(Table156[[#This Row],[Item-Codigo]]) - FIND("|", CONCATENATE(B1763), FIND("|", CONCATENATE(B1763)) + 1)))</f>
        <v>TM</v>
      </c>
      <c r="H176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122</v>
      </c>
      <c r="I1763" s="40">
        <v>122</v>
      </c>
      <c r="J176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485.58534530309998</v>
      </c>
      <c r="K1763" t="s">
        <v>180</v>
      </c>
    </row>
    <row r="1764" spans="1:11" x14ac:dyDescent="0.35">
      <c r="A1764" t="s">
        <v>196</v>
      </c>
      <c r="B1764" t="s">
        <v>1195</v>
      </c>
      <c r="C1764" t="s">
        <v>898</v>
      </c>
      <c r="D1764">
        <v>362.03373062635001</v>
      </c>
      <c r="E1764" t="s">
        <v>819</v>
      </c>
      <c r="F1764">
        <v>2024</v>
      </c>
      <c r="G1764" t="str">
        <f>TRIM(RIGHT(Table156[[#This Row],[Item-Codigo]], LEN(Table156[[#This Row],[Item-Codigo]]) - FIND("|", CONCATENATE(B1764), FIND("|", CONCATENATE(B1764)) + 1)))</f>
        <v>TM</v>
      </c>
      <c r="H176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</v>
      </c>
      <c r="I1764" s="40">
        <v>17</v>
      </c>
      <c r="J176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362.03373062635001</v>
      </c>
      <c r="K1764" t="s">
        <v>181</v>
      </c>
    </row>
    <row r="1765" spans="1:11" x14ac:dyDescent="0.35">
      <c r="A1765" t="s">
        <v>196</v>
      </c>
      <c r="B1765" t="s">
        <v>1195</v>
      </c>
      <c r="C1765" t="s">
        <v>898</v>
      </c>
      <c r="D1765">
        <v>361.95812262430002</v>
      </c>
      <c r="E1765" t="s">
        <v>816</v>
      </c>
      <c r="F1765">
        <v>2024</v>
      </c>
      <c r="G1765" t="str">
        <f>TRIM(RIGHT(Table156[[#This Row],[Item-Codigo]], LEN(Table156[[#This Row],[Item-Codigo]]) - FIND("|", CONCATENATE(B1765), FIND("|", CONCATENATE(B1765)) + 1)))</f>
        <v>TM</v>
      </c>
      <c r="H176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</v>
      </c>
      <c r="I1765" s="40">
        <v>17</v>
      </c>
      <c r="J176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361.95812262430002</v>
      </c>
      <c r="K1765" t="s">
        <v>181</v>
      </c>
    </row>
    <row r="1766" spans="1:11" x14ac:dyDescent="0.35">
      <c r="A1766" t="s">
        <v>196</v>
      </c>
      <c r="B1766" t="s">
        <v>1195</v>
      </c>
      <c r="C1766" t="s">
        <v>218</v>
      </c>
      <c r="D1766">
        <v>347.94283837055002</v>
      </c>
      <c r="E1766" t="s">
        <v>818</v>
      </c>
      <c r="F1766">
        <v>2024</v>
      </c>
      <c r="G1766" t="str">
        <f>TRIM(RIGHT(Table156[[#This Row],[Item-Codigo]], LEN(Table156[[#This Row],[Item-Codigo]]) - FIND("|", CONCATENATE(B1766), FIND("|", CONCATENATE(B1766)) + 1)))</f>
        <v>TM</v>
      </c>
      <c r="H176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</v>
      </c>
      <c r="I1766" s="40">
        <v>17</v>
      </c>
      <c r="J176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347.94283837055002</v>
      </c>
      <c r="K1766" t="s">
        <v>181</v>
      </c>
    </row>
    <row r="1767" spans="1:11" x14ac:dyDescent="0.35">
      <c r="A1767" t="s">
        <v>196</v>
      </c>
      <c r="B1767" t="s">
        <v>217</v>
      </c>
      <c r="C1767" t="s">
        <v>218</v>
      </c>
      <c r="D1767">
        <v>348.09285789937502</v>
      </c>
      <c r="E1767" t="s">
        <v>818</v>
      </c>
      <c r="F1767">
        <v>2024</v>
      </c>
      <c r="G1767" t="str">
        <f>TRIM(RIGHT(Table156[[#This Row],[Item-Codigo]], LEN(Table156[[#This Row],[Item-Codigo]]) - FIND("|", CONCATENATE(B1767), FIND("|", CONCATENATE(B1767)) + 1)))</f>
        <v>TM</v>
      </c>
      <c r="H176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871</v>
      </c>
      <c r="I1767" s="40">
        <v>871</v>
      </c>
      <c r="J176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348.09285789937502</v>
      </c>
      <c r="K1767" t="s">
        <v>181</v>
      </c>
    </row>
    <row r="1768" spans="1:11" x14ac:dyDescent="0.35">
      <c r="A1768" t="s">
        <v>196</v>
      </c>
      <c r="B1768" t="s">
        <v>217</v>
      </c>
      <c r="C1768" t="s">
        <v>218</v>
      </c>
      <c r="D1768">
        <v>347.99011527547401</v>
      </c>
      <c r="E1768" t="s">
        <v>819</v>
      </c>
      <c r="F1768">
        <v>2024</v>
      </c>
      <c r="G1768" t="str">
        <f>TRIM(RIGHT(Table156[[#This Row],[Item-Codigo]], LEN(Table156[[#This Row],[Item-Codigo]]) - FIND("|", CONCATENATE(B1768), FIND("|", CONCATENATE(B1768)) + 1)))</f>
        <v>TM</v>
      </c>
      <c r="H176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871</v>
      </c>
      <c r="I1768" s="40">
        <v>871</v>
      </c>
      <c r="J176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347.99011527547401</v>
      </c>
      <c r="K1768" t="s">
        <v>181</v>
      </c>
    </row>
    <row r="1769" spans="1:11" x14ac:dyDescent="0.35">
      <c r="A1769" t="s">
        <v>196</v>
      </c>
      <c r="B1769" t="s">
        <v>217</v>
      </c>
      <c r="C1769" t="s">
        <v>215</v>
      </c>
      <c r="D1769">
        <v>339.87520182089997</v>
      </c>
      <c r="E1769" t="s">
        <v>821</v>
      </c>
      <c r="F1769">
        <v>2024</v>
      </c>
      <c r="G1769" t="str">
        <f>TRIM(RIGHT(Table156[[#This Row],[Item-Codigo]], LEN(Table156[[#This Row],[Item-Codigo]]) - FIND("|", CONCATENATE(B1769), FIND("|", CONCATENATE(B1769)) + 1)))</f>
        <v>TM</v>
      </c>
      <c r="H176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871</v>
      </c>
      <c r="I1769" s="40">
        <v>871</v>
      </c>
      <c r="J176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339.87520182089997</v>
      </c>
      <c r="K1769" t="s">
        <v>181</v>
      </c>
    </row>
    <row r="1770" spans="1:11" x14ac:dyDescent="0.35">
      <c r="A1770" t="s">
        <v>196</v>
      </c>
      <c r="B1770" t="s">
        <v>217</v>
      </c>
      <c r="C1770" t="s">
        <v>215</v>
      </c>
      <c r="D1770">
        <v>292.45073847930001</v>
      </c>
      <c r="E1770" t="s">
        <v>818</v>
      </c>
      <c r="F1770">
        <v>2024</v>
      </c>
      <c r="G1770" t="str">
        <f>TRIM(RIGHT(Table156[[#This Row],[Item-Codigo]], LEN(Table156[[#This Row],[Item-Codigo]]) - FIND("|", CONCATENATE(B1770), FIND("|", CONCATENATE(B1770)) + 1)))</f>
        <v>TM</v>
      </c>
      <c r="H177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871</v>
      </c>
      <c r="I1770" s="40">
        <v>871</v>
      </c>
      <c r="J177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292.45073847930001</v>
      </c>
      <c r="K1770" t="s">
        <v>181</v>
      </c>
    </row>
    <row r="1771" spans="1:11" x14ac:dyDescent="0.35">
      <c r="A1771" t="s">
        <v>196</v>
      </c>
      <c r="B1771" t="s">
        <v>217</v>
      </c>
      <c r="C1771" t="s">
        <v>215</v>
      </c>
      <c r="D1771">
        <v>322.17608124579999</v>
      </c>
      <c r="E1771" t="s">
        <v>819</v>
      </c>
      <c r="F1771">
        <v>2024</v>
      </c>
      <c r="G1771" t="str">
        <f>TRIM(RIGHT(Table156[[#This Row],[Item-Codigo]], LEN(Table156[[#This Row],[Item-Codigo]]) - FIND("|", CONCATENATE(B1771), FIND("|", CONCATENATE(B1771)) + 1)))</f>
        <v>TM</v>
      </c>
      <c r="H177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871</v>
      </c>
      <c r="I1771" s="40">
        <v>871</v>
      </c>
      <c r="J177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322.17608124579999</v>
      </c>
      <c r="K1771" t="s">
        <v>181</v>
      </c>
    </row>
    <row r="1772" spans="1:11" x14ac:dyDescent="0.35">
      <c r="A1772" t="s">
        <v>198</v>
      </c>
      <c r="B1772" t="s">
        <v>219</v>
      </c>
      <c r="C1772" t="s">
        <v>220</v>
      </c>
      <c r="D1772">
        <v>958</v>
      </c>
      <c r="E1772" t="s">
        <v>821</v>
      </c>
      <c r="F1772">
        <v>2024</v>
      </c>
      <c r="G1772" t="str">
        <f>TRIM(RIGHT(Table156[[#This Row],[Item-Codigo]], LEN(Table156[[#This Row],[Item-Codigo]]) - FIND("|", CONCATENATE(B1772), FIND("|", CONCATENATE(B1772)) + 1)))</f>
        <v>TM</v>
      </c>
      <c r="H177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772" s="40">
        <v>42</v>
      </c>
      <c r="J177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958</v>
      </c>
      <c r="K1772" t="s">
        <v>94</v>
      </c>
    </row>
    <row r="1773" spans="1:11" x14ac:dyDescent="0.35">
      <c r="A1773" t="s">
        <v>198</v>
      </c>
      <c r="B1773" t="s">
        <v>219</v>
      </c>
      <c r="C1773" t="s">
        <v>220</v>
      </c>
      <c r="D1773">
        <v>1025</v>
      </c>
      <c r="E1773" t="s">
        <v>818</v>
      </c>
      <c r="F1773">
        <v>2024</v>
      </c>
      <c r="G1773" t="str">
        <f>TRIM(RIGHT(Table156[[#This Row],[Item-Codigo]], LEN(Table156[[#This Row],[Item-Codigo]]) - FIND("|", CONCATENATE(B1773), FIND("|", CONCATENATE(B1773)) + 1)))</f>
        <v>TM</v>
      </c>
      <c r="H177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773" s="40">
        <v>42</v>
      </c>
      <c r="J177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1025</v>
      </c>
      <c r="K1773" t="s">
        <v>94</v>
      </c>
    </row>
    <row r="1774" spans="1:11" x14ac:dyDescent="0.35">
      <c r="A1774" t="s">
        <v>198</v>
      </c>
      <c r="B1774" t="s">
        <v>219</v>
      </c>
      <c r="C1774" t="s">
        <v>220</v>
      </c>
      <c r="D1774">
        <v>995</v>
      </c>
      <c r="E1774" t="s">
        <v>819</v>
      </c>
      <c r="F1774">
        <v>2024</v>
      </c>
      <c r="G1774" t="str">
        <f>TRIM(RIGHT(Table156[[#This Row],[Item-Codigo]], LEN(Table156[[#This Row],[Item-Codigo]]) - FIND("|", CONCATENATE(B1774), FIND("|", CONCATENATE(B1774)) + 1)))</f>
        <v>TM</v>
      </c>
      <c r="H177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774" s="40">
        <v>42</v>
      </c>
      <c r="J177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995</v>
      </c>
      <c r="K1774" t="s">
        <v>94</v>
      </c>
    </row>
    <row r="1775" spans="1:11" x14ac:dyDescent="0.35">
      <c r="A1775" t="s">
        <v>198</v>
      </c>
      <c r="B1775" t="s">
        <v>219</v>
      </c>
      <c r="C1775" t="s">
        <v>221</v>
      </c>
      <c r="D1775">
        <v>961.66666666666697</v>
      </c>
      <c r="E1775" t="s">
        <v>821</v>
      </c>
      <c r="F1775">
        <v>2024</v>
      </c>
      <c r="G1775" t="str">
        <f>TRIM(RIGHT(Table156[[#This Row],[Item-Codigo]], LEN(Table156[[#This Row],[Item-Codigo]]) - FIND("|", CONCATENATE(B1775), FIND("|", CONCATENATE(B1775)) + 1)))</f>
        <v>TM</v>
      </c>
      <c r="H177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775" s="40">
        <v>42</v>
      </c>
      <c r="J177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961.66666666666697</v>
      </c>
      <c r="K1775" t="s">
        <v>94</v>
      </c>
    </row>
    <row r="1776" spans="1:11" x14ac:dyDescent="0.35">
      <c r="A1776" t="s">
        <v>198</v>
      </c>
      <c r="B1776" t="s">
        <v>219</v>
      </c>
      <c r="C1776" t="s">
        <v>221</v>
      </c>
      <c r="D1776">
        <v>1018.33333333333</v>
      </c>
      <c r="E1776" t="s">
        <v>818</v>
      </c>
      <c r="F1776">
        <v>2024</v>
      </c>
      <c r="G1776" t="str">
        <f>TRIM(RIGHT(Table156[[#This Row],[Item-Codigo]], LEN(Table156[[#This Row],[Item-Codigo]]) - FIND("|", CONCATENATE(B1776), FIND("|", CONCATENATE(B1776)) + 1)))</f>
        <v>TM</v>
      </c>
      <c r="H177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776" s="40">
        <v>42</v>
      </c>
      <c r="J177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1018.33333333333</v>
      </c>
      <c r="K1776" t="s">
        <v>94</v>
      </c>
    </row>
    <row r="1777" spans="1:11" x14ac:dyDescent="0.35">
      <c r="A1777" t="s">
        <v>198</v>
      </c>
      <c r="B1777" t="s">
        <v>219</v>
      </c>
      <c r="C1777" t="s">
        <v>221</v>
      </c>
      <c r="D1777">
        <v>993.33333333333303</v>
      </c>
      <c r="E1777" t="s">
        <v>819</v>
      </c>
      <c r="F1777">
        <v>2024</v>
      </c>
      <c r="G1777" t="str">
        <f>TRIM(RIGHT(Table156[[#This Row],[Item-Codigo]], LEN(Table156[[#This Row],[Item-Codigo]]) - FIND("|", CONCATENATE(B1777), FIND("|", CONCATENATE(B1777)) + 1)))</f>
        <v>TM</v>
      </c>
      <c r="H177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777" s="40">
        <v>42</v>
      </c>
      <c r="J177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993.33333333333303</v>
      </c>
      <c r="K1777" t="s">
        <v>94</v>
      </c>
    </row>
    <row r="1778" spans="1:11" x14ac:dyDescent="0.35">
      <c r="A1778" t="s">
        <v>198</v>
      </c>
      <c r="B1778" t="s">
        <v>219</v>
      </c>
      <c r="C1778" t="s">
        <v>221</v>
      </c>
      <c r="D1778">
        <v>1012.5</v>
      </c>
      <c r="E1778" t="s">
        <v>816</v>
      </c>
      <c r="F1778">
        <v>2024</v>
      </c>
      <c r="G1778" t="str">
        <f>TRIM(RIGHT(Table156[[#This Row],[Item-Codigo]], LEN(Table156[[#This Row],[Item-Codigo]]) - FIND("|", CONCATENATE(B1778), FIND("|", CONCATENATE(B1778)) + 1)))</f>
        <v>TM</v>
      </c>
      <c r="H177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778" s="40">
        <v>42</v>
      </c>
      <c r="J177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1012.5</v>
      </c>
      <c r="K1778" t="s">
        <v>94</v>
      </c>
    </row>
    <row r="1779" spans="1:11" x14ac:dyDescent="0.35">
      <c r="A1779" t="s">
        <v>198</v>
      </c>
      <c r="B1779" t="s">
        <v>219</v>
      </c>
      <c r="C1779" t="s">
        <v>222</v>
      </c>
      <c r="D1779">
        <v>958</v>
      </c>
      <c r="E1779" t="s">
        <v>821</v>
      </c>
      <c r="F1779">
        <v>2024</v>
      </c>
      <c r="G1779" t="str">
        <f>TRIM(RIGHT(Table156[[#This Row],[Item-Codigo]], LEN(Table156[[#This Row],[Item-Codigo]]) - FIND("|", CONCATENATE(B1779), FIND("|", CONCATENATE(B1779)) + 1)))</f>
        <v>TM</v>
      </c>
      <c r="H177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779" s="40">
        <v>42</v>
      </c>
      <c r="J177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958</v>
      </c>
      <c r="K1779" t="s">
        <v>94</v>
      </c>
    </row>
    <row r="1780" spans="1:11" x14ac:dyDescent="0.35">
      <c r="A1780" t="s">
        <v>198</v>
      </c>
      <c r="B1780" t="s">
        <v>219</v>
      </c>
      <c r="C1780" t="s">
        <v>222</v>
      </c>
      <c r="D1780">
        <v>1020</v>
      </c>
      <c r="E1780" t="s">
        <v>818</v>
      </c>
      <c r="F1780">
        <v>2024</v>
      </c>
      <c r="G1780" t="str">
        <f>TRIM(RIGHT(Table156[[#This Row],[Item-Codigo]], LEN(Table156[[#This Row],[Item-Codigo]]) - FIND("|", CONCATENATE(B1780), FIND("|", CONCATENATE(B1780)) + 1)))</f>
        <v>TM</v>
      </c>
      <c r="H178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780" s="40">
        <v>42</v>
      </c>
      <c r="J178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1020</v>
      </c>
      <c r="K1780" t="s">
        <v>94</v>
      </c>
    </row>
    <row r="1781" spans="1:11" x14ac:dyDescent="0.35">
      <c r="A1781" t="s">
        <v>198</v>
      </c>
      <c r="B1781" t="s">
        <v>219</v>
      </c>
      <c r="C1781" t="s">
        <v>222</v>
      </c>
      <c r="D1781">
        <v>1035</v>
      </c>
      <c r="E1781" t="s">
        <v>816</v>
      </c>
      <c r="F1781">
        <v>2024</v>
      </c>
      <c r="G1781" t="str">
        <f>TRIM(RIGHT(Table156[[#This Row],[Item-Codigo]], LEN(Table156[[#This Row],[Item-Codigo]]) - FIND("|", CONCATENATE(B1781), FIND("|", CONCATENATE(B1781)) + 1)))</f>
        <v>TM</v>
      </c>
      <c r="H178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</v>
      </c>
      <c r="I1781" s="40">
        <v>42</v>
      </c>
      <c r="J178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1035</v>
      </c>
      <c r="K1781" t="s">
        <v>94</v>
      </c>
    </row>
    <row r="1782" spans="1:11" x14ac:dyDescent="0.35">
      <c r="A1782" t="s">
        <v>198</v>
      </c>
      <c r="B1782" t="s">
        <v>224</v>
      </c>
      <c r="C1782" t="s">
        <v>223</v>
      </c>
      <c r="D1782">
        <v>1750</v>
      </c>
      <c r="E1782" t="s">
        <v>821</v>
      </c>
      <c r="F1782">
        <v>2024</v>
      </c>
      <c r="G1782" t="str">
        <f>TRIM(RIGHT(Table156[[#This Row],[Item-Codigo]], LEN(Table156[[#This Row],[Item-Codigo]]) - FIND("|", CONCATENATE(B1782), FIND("|", CONCATENATE(B1782)) + 1)))</f>
        <v>TM</v>
      </c>
      <c r="H178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40</v>
      </c>
      <c r="I1782" s="40">
        <v>40</v>
      </c>
      <c r="J178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1750</v>
      </c>
      <c r="K1782" t="s">
        <v>95</v>
      </c>
    </row>
    <row r="1783" spans="1:11" x14ac:dyDescent="0.35">
      <c r="A1783" t="s">
        <v>198</v>
      </c>
      <c r="B1783" t="s">
        <v>224</v>
      </c>
      <c r="C1783" t="s">
        <v>223</v>
      </c>
      <c r="D1783">
        <v>1750</v>
      </c>
      <c r="E1783" t="s">
        <v>818</v>
      </c>
      <c r="F1783">
        <v>2024</v>
      </c>
      <c r="G1783" t="str">
        <f>TRIM(RIGHT(Table156[[#This Row],[Item-Codigo]], LEN(Table156[[#This Row],[Item-Codigo]]) - FIND("|", CONCATENATE(B1783), FIND("|", CONCATENATE(B1783)) + 1)))</f>
        <v>TM</v>
      </c>
      <c r="H178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40</v>
      </c>
      <c r="I1783" s="40">
        <v>40</v>
      </c>
      <c r="J178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1750</v>
      </c>
      <c r="K1783" t="s">
        <v>95</v>
      </c>
    </row>
    <row r="1784" spans="1:11" x14ac:dyDescent="0.35">
      <c r="A1784" t="s">
        <v>198</v>
      </c>
      <c r="B1784" t="s">
        <v>1196</v>
      </c>
      <c r="C1784" t="s">
        <v>223</v>
      </c>
      <c r="D1784">
        <v>1750</v>
      </c>
      <c r="E1784" t="s">
        <v>819</v>
      </c>
      <c r="F1784">
        <v>2024</v>
      </c>
      <c r="G1784" t="str">
        <f>TRIM(RIGHT(Table156[[#This Row],[Item-Codigo]], LEN(Table156[[#This Row],[Item-Codigo]]) - FIND("|", CONCATENATE(B1784), FIND("|", CONCATENATE(B1784)) + 1)))</f>
        <v>TM</v>
      </c>
      <c r="H178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40.1</v>
      </c>
      <c r="I1784" s="40" t="s">
        <v>812</v>
      </c>
      <c r="J178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1750</v>
      </c>
      <c r="K1784" t="s">
        <v>95</v>
      </c>
    </row>
    <row r="1785" spans="1:11" x14ac:dyDescent="0.35">
      <c r="A1785" t="s">
        <v>198</v>
      </c>
      <c r="B1785" t="s">
        <v>1196</v>
      </c>
      <c r="C1785" t="s">
        <v>223</v>
      </c>
      <c r="D1785">
        <v>1745</v>
      </c>
      <c r="E1785" t="s">
        <v>816</v>
      </c>
      <c r="F1785">
        <v>2024</v>
      </c>
      <c r="G1785" t="str">
        <f>TRIM(RIGHT(Table156[[#This Row],[Item-Codigo]], LEN(Table156[[#This Row],[Item-Codigo]]) - FIND("|", CONCATENATE(B1785), FIND("|", CONCATENATE(B1785)) + 1)))</f>
        <v>TM</v>
      </c>
      <c r="H178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40.1</v>
      </c>
      <c r="I1785" s="40" t="s">
        <v>812</v>
      </c>
      <c r="J178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1745</v>
      </c>
      <c r="K1785" t="s">
        <v>95</v>
      </c>
    </row>
    <row r="1786" spans="1:11" x14ac:dyDescent="0.35">
      <c r="A1786" t="s">
        <v>198</v>
      </c>
      <c r="B1786" t="s">
        <v>225</v>
      </c>
      <c r="C1786" t="s">
        <v>226</v>
      </c>
      <c r="D1786">
        <v>387.00035945360003</v>
      </c>
      <c r="E1786" t="s">
        <v>821</v>
      </c>
      <c r="F1786">
        <v>2024</v>
      </c>
      <c r="G1786" t="str">
        <f>TRIM(RIGHT(Table156[[#This Row],[Item-Codigo]], LEN(Table156[[#This Row],[Item-Codigo]]) - FIND("|", CONCATENATE(B1786), FIND("|", CONCATENATE(B1786)) + 1)))</f>
        <v>TM</v>
      </c>
      <c r="H178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301</v>
      </c>
      <c r="I1786" s="40">
        <v>301</v>
      </c>
      <c r="J178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387.00035945360003</v>
      </c>
      <c r="K1786" t="s">
        <v>96</v>
      </c>
    </row>
    <row r="1787" spans="1:11" x14ac:dyDescent="0.35">
      <c r="A1787" t="s">
        <v>198</v>
      </c>
      <c r="B1787" t="s">
        <v>225</v>
      </c>
      <c r="C1787" t="s">
        <v>226</v>
      </c>
      <c r="D1787">
        <v>387.00035848710002</v>
      </c>
      <c r="E1787" t="s">
        <v>819</v>
      </c>
      <c r="F1787">
        <v>2024</v>
      </c>
      <c r="G1787" t="str">
        <f>TRIM(RIGHT(Table156[[#This Row],[Item-Codigo]], LEN(Table156[[#This Row],[Item-Codigo]]) - FIND("|", CONCATENATE(B1787), FIND("|", CONCATENATE(B1787)) + 1)))</f>
        <v>TM</v>
      </c>
      <c r="H178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301</v>
      </c>
      <c r="I1787" s="40">
        <v>301</v>
      </c>
      <c r="J178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387.00035848710002</v>
      </c>
      <c r="K1787" t="s">
        <v>96</v>
      </c>
    </row>
    <row r="1788" spans="1:11" x14ac:dyDescent="0.35">
      <c r="A1788" t="s">
        <v>198</v>
      </c>
      <c r="B1788" t="s">
        <v>225</v>
      </c>
      <c r="C1788" t="s">
        <v>226</v>
      </c>
      <c r="D1788">
        <v>387.0003581661</v>
      </c>
      <c r="E1788" t="s">
        <v>816</v>
      </c>
      <c r="F1788">
        <v>2024</v>
      </c>
      <c r="G1788" t="str">
        <f>TRIM(RIGHT(Table156[[#This Row],[Item-Codigo]], LEN(Table156[[#This Row],[Item-Codigo]]) - FIND("|", CONCATENATE(B1788), FIND("|", CONCATENATE(B1788)) + 1)))</f>
        <v>TM</v>
      </c>
      <c r="H178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301</v>
      </c>
      <c r="I1788" s="40">
        <v>301</v>
      </c>
      <c r="J178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387.0003581661</v>
      </c>
      <c r="K1788" t="s">
        <v>96</v>
      </c>
    </row>
    <row r="1789" spans="1:11" x14ac:dyDescent="0.35">
      <c r="A1789" t="s">
        <v>198</v>
      </c>
      <c r="B1789" t="s">
        <v>228</v>
      </c>
      <c r="C1789" t="s">
        <v>218</v>
      </c>
      <c r="D1789">
        <v>318.15469234275997</v>
      </c>
      <c r="E1789" t="s">
        <v>821</v>
      </c>
      <c r="F1789">
        <v>2024</v>
      </c>
      <c r="G1789" t="str">
        <f>TRIM(RIGHT(Table156[[#This Row],[Item-Codigo]], LEN(Table156[[#This Row],[Item-Codigo]]) - FIND("|", CONCATENATE(B1789), FIND("|", CONCATENATE(B1789)) + 1)))</f>
        <v>TM</v>
      </c>
      <c r="H178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1789" s="40">
        <v>200</v>
      </c>
      <c r="J178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318.15469234275997</v>
      </c>
      <c r="K1789" t="s">
        <v>97</v>
      </c>
    </row>
    <row r="1790" spans="1:11" x14ac:dyDescent="0.35">
      <c r="A1790" t="s">
        <v>198</v>
      </c>
      <c r="B1790" t="s">
        <v>228</v>
      </c>
      <c r="C1790" t="s">
        <v>218</v>
      </c>
      <c r="D1790">
        <v>319.47663631645702</v>
      </c>
      <c r="E1790" t="s">
        <v>818</v>
      </c>
      <c r="F1790">
        <v>2024</v>
      </c>
      <c r="G1790" t="str">
        <f>TRIM(RIGHT(Table156[[#This Row],[Item-Codigo]], LEN(Table156[[#This Row],[Item-Codigo]]) - FIND("|", CONCATENATE(B1790), FIND("|", CONCATENATE(B1790)) + 1)))</f>
        <v>TM</v>
      </c>
      <c r="H179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1790" s="40">
        <v>200</v>
      </c>
      <c r="J179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319.47663631645702</v>
      </c>
      <c r="K1790" t="s">
        <v>97</v>
      </c>
    </row>
    <row r="1791" spans="1:11" x14ac:dyDescent="0.35">
      <c r="A1791" t="s">
        <v>198</v>
      </c>
      <c r="B1791" t="s">
        <v>228</v>
      </c>
      <c r="C1791" t="s">
        <v>218</v>
      </c>
      <c r="D1791">
        <v>318.34016687904</v>
      </c>
      <c r="E1791" t="s">
        <v>819</v>
      </c>
      <c r="F1791">
        <v>2024</v>
      </c>
      <c r="G1791" t="str">
        <f>TRIM(RIGHT(Table156[[#This Row],[Item-Codigo]], LEN(Table156[[#This Row],[Item-Codigo]]) - FIND("|", CONCATENATE(B1791), FIND("|", CONCATENATE(B1791)) + 1)))</f>
        <v>TM</v>
      </c>
      <c r="H179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1791" s="40">
        <v>200</v>
      </c>
      <c r="J179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318.34016687904</v>
      </c>
      <c r="K1791" t="s">
        <v>97</v>
      </c>
    </row>
    <row r="1792" spans="1:11" x14ac:dyDescent="0.35">
      <c r="A1792" t="s">
        <v>198</v>
      </c>
      <c r="B1792" t="s">
        <v>228</v>
      </c>
      <c r="C1792" t="s">
        <v>218</v>
      </c>
      <c r="D1792">
        <v>329.19880096663002</v>
      </c>
      <c r="E1792" t="s">
        <v>816</v>
      </c>
      <c r="F1792">
        <v>2024</v>
      </c>
      <c r="G1792" t="str">
        <f>TRIM(RIGHT(Table156[[#This Row],[Item-Codigo]], LEN(Table156[[#This Row],[Item-Codigo]]) - FIND("|", CONCATENATE(B1792), FIND("|", CONCATENATE(B1792)) + 1)))</f>
        <v>TM</v>
      </c>
      <c r="H179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200</v>
      </c>
      <c r="I1792" s="40">
        <v>200</v>
      </c>
      <c r="J179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329.19880096663002</v>
      </c>
      <c r="K1792" t="s">
        <v>97</v>
      </c>
    </row>
    <row r="1793" spans="1:11" x14ac:dyDescent="0.35">
      <c r="A1793" t="s">
        <v>198</v>
      </c>
      <c r="B1793" t="s">
        <v>1197</v>
      </c>
      <c r="C1793" t="s">
        <v>1198</v>
      </c>
      <c r="D1793">
        <v>16.000077135833301</v>
      </c>
      <c r="E1793" t="s">
        <v>821</v>
      </c>
      <c r="F1793">
        <v>2024</v>
      </c>
      <c r="G1793" t="str">
        <f>TRIM(RIGHT(Table156[[#This Row],[Item-Codigo]], LEN(Table156[[#This Row],[Item-Codigo]]) - FIND("|", CONCATENATE(B1793), FIND("|", CONCATENATE(B1793)) + 1)))</f>
        <v>QQ</v>
      </c>
      <c r="H179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27</v>
      </c>
      <c r="I1793" s="40">
        <v>27</v>
      </c>
      <c r="J179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352.00169698833264</v>
      </c>
      <c r="K1793" t="s">
        <v>967</v>
      </c>
    </row>
    <row r="1794" spans="1:11" x14ac:dyDescent="0.35">
      <c r="A1794" t="s">
        <v>198</v>
      </c>
      <c r="B1794" t="s">
        <v>1197</v>
      </c>
      <c r="C1794" t="s">
        <v>1198</v>
      </c>
      <c r="D1794">
        <v>15.985956955200001</v>
      </c>
      <c r="E1794" t="s">
        <v>818</v>
      </c>
      <c r="F1794">
        <v>2024</v>
      </c>
      <c r="G1794" t="str">
        <f>TRIM(RIGHT(Table156[[#This Row],[Item-Codigo]], LEN(Table156[[#This Row],[Item-Codigo]]) - FIND("|", CONCATENATE(B1794), FIND("|", CONCATENATE(B1794)) + 1)))</f>
        <v>QQ</v>
      </c>
      <c r="H179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27</v>
      </c>
      <c r="I1794" s="40">
        <v>27</v>
      </c>
      <c r="J179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351.69105301440004</v>
      </c>
      <c r="K1794" t="s">
        <v>967</v>
      </c>
    </row>
    <row r="1795" spans="1:11" x14ac:dyDescent="0.35">
      <c r="A1795" t="s">
        <v>198</v>
      </c>
      <c r="B1795" t="s">
        <v>1197</v>
      </c>
      <c r="C1795" t="s">
        <v>994</v>
      </c>
      <c r="D1795">
        <v>15.9999854669</v>
      </c>
      <c r="E1795" t="s">
        <v>821</v>
      </c>
      <c r="F1795">
        <v>2024</v>
      </c>
      <c r="G1795" t="str">
        <f>TRIM(RIGHT(Table156[[#This Row],[Item-Codigo]], LEN(Table156[[#This Row],[Item-Codigo]]) - FIND("|", CONCATENATE(B1795), FIND("|", CONCATENATE(B1795)) + 1)))</f>
        <v>QQ</v>
      </c>
      <c r="H179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27</v>
      </c>
      <c r="I1795" s="40">
        <v>27</v>
      </c>
      <c r="J179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351.9996802718</v>
      </c>
      <c r="K1795" t="s">
        <v>967</v>
      </c>
    </row>
    <row r="1796" spans="1:11" x14ac:dyDescent="0.35">
      <c r="A1796" t="s">
        <v>198</v>
      </c>
      <c r="B1796" t="s">
        <v>1197</v>
      </c>
      <c r="C1796" t="s">
        <v>994</v>
      </c>
      <c r="D1796">
        <v>15.9999330793</v>
      </c>
      <c r="E1796" t="s">
        <v>818</v>
      </c>
      <c r="F1796">
        <v>2024</v>
      </c>
      <c r="G1796" t="str">
        <f>TRIM(RIGHT(Table156[[#This Row],[Item-Codigo]], LEN(Table156[[#This Row],[Item-Codigo]]) - FIND("|", CONCATENATE(B1796), FIND("|", CONCATENATE(B1796)) + 1)))</f>
        <v>QQ</v>
      </c>
      <c r="H179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27</v>
      </c>
      <c r="I1796" s="40">
        <v>27</v>
      </c>
      <c r="J179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351.99852774459998</v>
      </c>
      <c r="K1796" t="s">
        <v>967</v>
      </c>
    </row>
    <row r="1797" spans="1:11" x14ac:dyDescent="0.35">
      <c r="A1797" t="s">
        <v>198</v>
      </c>
      <c r="B1797" t="s">
        <v>1197</v>
      </c>
      <c r="C1797" t="s">
        <v>994</v>
      </c>
      <c r="D1797">
        <v>16.000151045980001</v>
      </c>
      <c r="E1797" t="s">
        <v>819</v>
      </c>
      <c r="F1797">
        <v>2024</v>
      </c>
      <c r="G1797" t="str">
        <f>TRIM(RIGHT(Table156[[#This Row],[Item-Codigo]], LEN(Table156[[#This Row],[Item-Codigo]]) - FIND("|", CONCATENATE(B1797), FIND("|", CONCATENATE(B1797)) + 1)))</f>
        <v>QQ</v>
      </c>
      <c r="H179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27</v>
      </c>
      <c r="I1797" s="40">
        <v>27</v>
      </c>
      <c r="J179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352.00332301156004</v>
      </c>
      <c r="K1797" t="s">
        <v>967</v>
      </c>
    </row>
    <row r="1798" spans="1:11" x14ac:dyDescent="0.35">
      <c r="A1798" t="s">
        <v>198</v>
      </c>
      <c r="B1798" t="s">
        <v>1197</v>
      </c>
      <c r="C1798" t="s">
        <v>994</v>
      </c>
      <c r="D1798">
        <v>16.3750161014</v>
      </c>
      <c r="E1798" t="s">
        <v>816</v>
      </c>
      <c r="F1798">
        <v>2024</v>
      </c>
      <c r="G1798" t="str">
        <f>TRIM(RIGHT(Table156[[#This Row],[Item-Codigo]], LEN(Table156[[#This Row],[Item-Codigo]]) - FIND("|", CONCATENATE(B1798), FIND("|", CONCATENATE(B1798)) + 1)))</f>
        <v>QQ</v>
      </c>
      <c r="H179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27</v>
      </c>
      <c r="I1798" s="40">
        <v>27</v>
      </c>
      <c r="J179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360.25035423079999</v>
      </c>
      <c r="K1798" t="s">
        <v>967</v>
      </c>
    </row>
    <row r="1799" spans="1:11" x14ac:dyDescent="0.35">
      <c r="A1799" t="s">
        <v>198</v>
      </c>
      <c r="B1799" t="s">
        <v>1197</v>
      </c>
      <c r="C1799" t="s">
        <v>1199</v>
      </c>
      <c r="D1799">
        <v>17.500010427783302</v>
      </c>
      <c r="E1799" t="s">
        <v>816</v>
      </c>
      <c r="F1799">
        <v>2024</v>
      </c>
      <c r="G1799" t="str">
        <f>TRIM(RIGHT(Table156[[#This Row],[Item-Codigo]], LEN(Table156[[#This Row],[Item-Codigo]]) - FIND("|", CONCATENATE(B1799), FIND("|", CONCATENATE(B1799)) + 1)))</f>
        <v>QQ</v>
      </c>
      <c r="H179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27</v>
      </c>
      <c r="I1799" s="40">
        <v>27</v>
      </c>
      <c r="J179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385.00022941123262</v>
      </c>
      <c r="K1799" t="s">
        <v>967</v>
      </c>
    </row>
    <row r="1800" spans="1:11" x14ac:dyDescent="0.35">
      <c r="A1800" t="s">
        <v>198</v>
      </c>
      <c r="B1800" t="s">
        <v>1197</v>
      </c>
      <c r="C1800" t="s">
        <v>209</v>
      </c>
      <c r="D1800">
        <v>16.499750519900001</v>
      </c>
      <c r="E1800" t="s">
        <v>816</v>
      </c>
      <c r="F1800">
        <v>2024</v>
      </c>
      <c r="G1800" t="str">
        <f>TRIM(RIGHT(Table156[[#This Row],[Item-Codigo]], LEN(Table156[[#This Row],[Item-Codigo]]) - FIND("|", CONCATENATE(B1800), FIND("|", CONCATENATE(B1800)) + 1)))</f>
        <v>QQ</v>
      </c>
      <c r="H180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27</v>
      </c>
      <c r="I1800" s="40">
        <v>27</v>
      </c>
      <c r="J180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362.99451143780004</v>
      </c>
      <c r="K1800" t="s">
        <v>967</v>
      </c>
    </row>
    <row r="1801" spans="1:11" x14ac:dyDescent="0.35">
      <c r="A1801" t="s">
        <v>198</v>
      </c>
      <c r="B1801" t="s">
        <v>1197</v>
      </c>
      <c r="C1801" t="s">
        <v>211</v>
      </c>
      <c r="D1801">
        <v>16.000115234475</v>
      </c>
      <c r="E1801" t="s">
        <v>821</v>
      </c>
      <c r="F1801">
        <v>2024</v>
      </c>
      <c r="G1801" t="str">
        <f>TRIM(RIGHT(Table156[[#This Row],[Item-Codigo]], LEN(Table156[[#This Row],[Item-Codigo]]) - FIND("|", CONCATENATE(B1801), FIND("|", CONCATENATE(B1801)) + 1)))</f>
        <v>QQ</v>
      </c>
      <c r="H180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27</v>
      </c>
      <c r="I1801" s="40">
        <v>27</v>
      </c>
      <c r="J180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352.00253515845003</v>
      </c>
      <c r="K1801" t="s">
        <v>967</v>
      </c>
    </row>
    <row r="1802" spans="1:11" x14ac:dyDescent="0.35">
      <c r="A1802" t="s">
        <v>198</v>
      </c>
      <c r="B1802" t="s">
        <v>1197</v>
      </c>
      <c r="C1802" t="s">
        <v>211</v>
      </c>
      <c r="D1802">
        <v>15.999889353</v>
      </c>
      <c r="E1802" t="s">
        <v>818</v>
      </c>
      <c r="F1802">
        <v>2024</v>
      </c>
      <c r="G1802" t="str">
        <f>TRIM(RIGHT(Table156[[#This Row],[Item-Codigo]], LEN(Table156[[#This Row],[Item-Codigo]]) - FIND("|", CONCATENATE(B1802), FIND("|", CONCATENATE(B1802)) + 1)))</f>
        <v>QQ</v>
      </c>
      <c r="H180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27</v>
      </c>
      <c r="I1802" s="40">
        <v>27</v>
      </c>
      <c r="J180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351.99756576599998</v>
      </c>
      <c r="K1802" t="s">
        <v>967</v>
      </c>
    </row>
    <row r="1803" spans="1:11" x14ac:dyDescent="0.35">
      <c r="A1803" t="s">
        <v>198</v>
      </c>
      <c r="B1803" t="s">
        <v>1197</v>
      </c>
      <c r="C1803" t="s">
        <v>211</v>
      </c>
      <c r="D1803">
        <v>16.0002451960667</v>
      </c>
      <c r="E1803" t="s">
        <v>819</v>
      </c>
      <c r="F1803">
        <v>2024</v>
      </c>
      <c r="G1803" t="str">
        <f>TRIM(RIGHT(Table156[[#This Row],[Item-Codigo]], LEN(Table156[[#This Row],[Item-Codigo]]) - FIND("|", CONCATENATE(B1803), FIND("|", CONCATENATE(B1803)) + 1)))</f>
        <v>QQ</v>
      </c>
      <c r="H180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27</v>
      </c>
      <c r="I1803" s="40">
        <v>27</v>
      </c>
      <c r="J180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352.00539431346738</v>
      </c>
      <c r="K1803" t="s">
        <v>967</v>
      </c>
    </row>
    <row r="1804" spans="1:11" x14ac:dyDescent="0.35">
      <c r="A1804" t="s">
        <v>198</v>
      </c>
      <c r="B1804" t="s">
        <v>1197</v>
      </c>
      <c r="C1804" t="s">
        <v>211</v>
      </c>
      <c r="D1804">
        <v>16.50023617455</v>
      </c>
      <c r="E1804" t="s">
        <v>816</v>
      </c>
      <c r="F1804">
        <v>2024</v>
      </c>
      <c r="G1804" t="str">
        <f>TRIM(RIGHT(Table156[[#This Row],[Item-Codigo]], LEN(Table156[[#This Row],[Item-Codigo]]) - FIND("|", CONCATENATE(B1804), FIND("|", CONCATENATE(B1804)) + 1)))</f>
        <v>QQ</v>
      </c>
      <c r="H180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27</v>
      </c>
      <c r="I1804" s="40">
        <v>27</v>
      </c>
      <c r="J180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363.00519584009999</v>
      </c>
      <c r="K1804" t="s">
        <v>967</v>
      </c>
    </row>
    <row r="1805" spans="1:11" x14ac:dyDescent="0.35">
      <c r="A1805" t="s">
        <v>198</v>
      </c>
      <c r="B1805" t="s">
        <v>1197</v>
      </c>
      <c r="C1805" t="s">
        <v>212</v>
      </c>
      <c r="D1805">
        <v>16.000049039566701</v>
      </c>
      <c r="E1805" t="s">
        <v>821</v>
      </c>
      <c r="F1805">
        <v>2024</v>
      </c>
      <c r="G1805" t="str">
        <f>TRIM(RIGHT(Table156[[#This Row],[Item-Codigo]], LEN(Table156[[#This Row],[Item-Codigo]]) - FIND("|", CONCATENATE(B1805), FIND("|", CONCATENATE(B1805)) + 1)))</f>
        <v>QQ</v>
      </c>
      <c r="H180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27</v>
      </c>
      <c r="I1805" s="40">
        <v>27</v>
      </c>
      <c r="J180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352.00107887046744</v>
      </c>
      <c r="K1805" t="s">
        <v>967</v>
      </c>
    </row>
    <row r="1806" spans="1:11" x14ac:dyDescent="0.35">
      <c r="A1806" t="s">
        <v>198</v>
      </c>
      <c r="B1806" t="s">
        <v>1197</v>
      </c>
      <c r="C1806" t="s">
        <v>212</v>
      </c>
      <c r="D1806">
        <v>16.000014853666698</v>
      </c>
      <c r="E1806" t="s">
        <v>818</v>
      </c>
      <c r="F1806">
        <v>2024</v>
      </c>
      <c r="G1806" t="str">
        <f>TRIM(RIGHT(Table156[[#This Row],[Item-Codigo]], LEN(Table156[[#This Row],[Item-Codigo]]) - FIND("|", CONCATENATE(B1806), FIND("|", CONCATENATE(B1806)) + 1)))</f>
        <v>QQ</v>
      </c>
      <c r="H180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27</v>
      </c>
      <c r="I1806" s="40">
        <v>27</v>
      </c>
      <c r="J180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352.00032678066736</v>
      </c>
      <c r="K1806" t="s">
        <v>967</v>
      </c>
    </row>
    <row r="1807" spans="1:11" x14ac:dyDescent="0.35">
      <c r="A1807" t="s">
        <v>198</v>
      </c>
      <c r="B1807" t="s">
        <v>1197</v>
      </c>
      <c r="C1807" t="s">
        <v>212</v>
      </c>
      <c r="D1807">
        <v>15.999938472466701</v>
      </c>
      <c r="E1807" t="s">
        <v>819</v>
      </c>
      <c r="F1807">
        <v>2024</v>
      </c>
      <c r="G1807" t="str">
        <f>TRIM(RIGHT(Table156[[#This Row],[Item-Codigo]], LEN(Table156[[#This Row],[Item-Codigo]]) - FIND("|", CONCATENATE(B1807), FIND("|", CONCATENATE(B1807)) + 1)))</f>
        <v>QQ</v>
      </c>
      <c r="H180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27</v>
      </c>
      <c r="I1807" s="40">
        <v>27</v>
      </c>
      <c r="J180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351.99864639426744</v>
      </c>
      <c r="K1807" t="s">
        <v>967</v>
      </c>
    </row>
    <row r="1808" spans="1:11" x14ac:dyDescent="0.35">
      <c r="A1808" t="s">
        <v>198</v>
      </c>
      <c r="B1808" t="s">
        <v>1197</v>
      </c>
      <c r="C1808" t="s">
        <v>212</v>
      </c>
      <c r="D1808">
        <v>16.000005524700001</v>
      </c>
      <c r="E1808" t="s">
        <v>816</v>
      </c>
      <c r="F1808">
        <v>2024</v>
      </c>
      <c r="G1808" t="str">
        <f>TRIM(RIGHT(Table156[[#This Row],[Item-Codigo]], LEN(Table156[[#This Row],[Item-Codigo]]) - FIND("|", CONCATENATE(B1808), FIND("|", CONCATENATE(B1808)) + 1)))</f>
        <v>QQ</v>
      </c>
      <c r="H180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27</v>
      </c>
      <c r="I1808" s="40">
        <v>27</v>
      </c>
      <c r="J180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352.00012154340004</v>
      </c>
      <c r="K1808" t="s">
        <v>967</v>
      </c>
    </row>
    <row r="1809" spans="1:11" x14ac:dyDescent="0.35">
      <c r="A1809" t="s">
        <v>198</v>
      </c>
      <c r="B1809" t="s">
        <v>1197</v>
      </c>
      <c r="C1809" t="s">
        <v>213</v>
      </c>
      <c r="D1809">
        <v>16.0000926598</v>
      </c>
      <c r="E1809" t="s">
        <v>819</v>
      </c>
      <c r="F1809">
        <v>2024</v>
      </c>
      <c r="G1809" t="str">
        <f>TRIM(RIGHT(Table156[[#This Row],[Item-Codigo]], LEN(Table156[[#This Row],[Item-Codigo]]) - FIND("|", CONCATENATE(B1809), FIND("|", CONCATENATE(B1809)) + 1)))</f>
        <v>QQ</v>
      </c>
      <c r="H180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27</v>
      </c>
      <c r="I1809" s="40">
        <v>27</v>
      </c>
      <c r="J180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352.00203851560002</v>
      </c>
      <c r="K1809" t="s">
        <v>967</v>
      </c>
    </row>
    <row r="1810" spans="1:11" x14ac:dyDescent="0.35">
      <c r="A1810" t="s">
        <v>198</v>
      </c>
      <c r="B1810" t="s">
        <v>1197</v>
      </c>
      <c r="C1810" t="s">
        <v>213</v>
      </c>
      <c r="D1810">
        <v>15.9999644266</v>
      </c>
      <c r="E1810" t="s">
        <v>816</v>
      </c>
      <c r="F1810">
        <v>2024</v>
      </c>
      <c r="G1810" t="str">
        <f>TRIM(RIGHT(Table156[[#This Row],[Item-Codigo]], LEN(Table156[[#This Row],[Item-Codigo]]) - FIND("|", CONCATENATE(B1810), FIND("|", CONCATENATE(B1810)) + 1)))</f>
        <v>QQ</v>
      </c>
      <c r="H181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27</v>
      </c>
      <c r="I1810" s="40">
        <v>27</v>
      </c>
      <c r="J181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351.99921738519998</v>
      </c>
      <c r="K1810" t="s">
        <v>967</v>
      </c>
    </row>
    <row r="1811" spans="1:11" x14ac:dyDescent="0.35">
      <c r="A1811" t="s">
        <v>198</v>
      </c>
      <c r="B1811" t="s">
        <v>232</v>
      </c>
      <c r="C1811" t="s">
        <v>231</v>
      </c>
      <c r="D1811">
        <v>46</v>
      </c>
      <c r="E1811" t="s">
        <v>821</v>
      </c>
      <c r="F1811">
        <v>2024</v>
      </c>
      <c r="G1811" t="str">
        <f>TRIM(RIGHT(Table156[[#This Row],[Item-Codigo]], LEN(Table156[[#This Row],[Item-Codigo]]) - FIND("|", CONCATENATE(B1811), FIND("|", CONCATENATE(B1811)) + 1)))</f>
        <v>TM</v>
      </c>
      <c r="H181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1811" s="40">
        <v>701</v>
      </c>
      <c r="J181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46</v>
      </c>
      <c r="K1811" t="s">
        <v>98</v>
      </c>
    </row>
    <row r="1812" spans="1:11" x14ac:dyDescent="0.35">
      <c r="A1812" t="s">
        <v>198</v>
      </c>
      <c r="B1812" t="s">
        <v>232</v>
      </c>
      <c r="C1812" t="s">
        <v>231</v>
      </c>
      <c r="D1812">
        <v>46.001896750775003</v>
      </c>
      <c r="E1812" t="s">
        <v>818</v>
      </c>
      <c r="F1812">
        <v>2024</v>
      </c>
      <c r="G1812" t="str">
        <f>TRIM(RIGHT(Table156[[#This Row],[Item-Codigo]], LEN(Table156[[#This Row],[Item-Codigo]]) - FIND("|", CONCATENATE(B1812), FIND("|", CONCATENATE(B1812)) + 1)))</f>
        <v>TM</v>
      </c>
      <c r="H181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1812" s="40">
        <v>701</v>
      </c>
      <c r="J181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46.001896750775003</v>
      </c>
      <c r="K1812" t="s">
        <v>98</v>
      </c>
    </row>
    <row r="1813" spans="1:11" x14ac:dyDescent="0.35">
      <c r="A1813" t="s">
        <v>198</v>
      </c>
      <c r="B1813" t="s">
        <v>232</v>
      </c>
      <c r="C1813" t="s">
        <v>231</v>
      </c>
      <c r="D1813">
        <v>46</v>
      </c>
      <c r="E1813" t="s">
        <v>819</v>
      </c>
      <c r="F1813">
        <v>2024</v>
      </c>
      <c r="G1813" t="str">
        <f>TRIM(RIGHT(Table156[[#This Row],[Item-Codigo]], LEN(Table156[[#This Row],[Item-Codigo]]) - FIND("|", CONCATENATE(B1813), FIND("|", CONCATENATE(B1813)) + 1)))</f>
        <v>TM</v>
      </c>
      <c r="H181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1813" s="40">
        <v>701</v>
      </c>
      <c r="J181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46</v>
      </c>
      <c r="K1813" t="s">
        <v>98</v>
      </c>
    </row>
    <row r="1814" spans="1:11" x14ac:dyDescent="0.35">
      <c r="A1814" t="s">
        <v>198</v>
      </c>
      <c r="B1814" t="s">
        <v>232</v>
      </c>
      <c r="C1814" t="s">
        <v>231</v>
      </c>
      <c r="D1814">
        <v>46</v>
      </c>
      <c r="E1814" t="s">
        <v>816</v>
      </c>
      <c r="F1814">
        <v>2024</v>
      </c>
      <c r="G1814" t="str">
        <f>TRIM(RIGHT(Table156[[#This Row],[Item-Codigo]], LEN(Table156[[#This Row],[Item-Codigo]]) - FIND("|", CONCATENATE(B1814), FIND("|", CONCATENATE(B1814)) + 1)))</f>
        <v>TM</v>
      </c>
      <c r="H181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701</v>
      </c>
      <c r="I1814" s="40">
        <v>701</v>
      </c>
      <c r="J181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46</v>
      </c>
      <c r="K1814" t="s">
        <v>98</v>
      </c>
    </row>
    <row r="1815" spans="1:11" x14ac:dyDescent="0.35">
      <c r="A1815" t="s">
        <v>198</v>
      </c>
      <c r="B1815" t="s">
        <v>233</v>
      </c>
      <c r="C1815" t="s">
        <v>234</v>
      </c>
      <c r="D1815">
        <v>1520</v>
      </c>
      <c r="E1815" t="s">
        <v>821</v>
      </c>
      <c r="F1815">
        <v>2024</v>
      </c>
      <c r="G1815" t="str">
        <f>TRIM(RIGHT(Table156[[#This Row],[Item-Codigo]], LEN(Table156[[#This Row],[Item-Codigo]]) - FIND("|", CONCATENATE(B1815), FIND("|", CONCATENATE(B1815)) + 1)))</f>
        <v>TM</v>
      </c>
      <c r="H181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156.4</v>
      </c>
      <c r="I1815" s="40" t="s">
        <v>524</v>
      </c>
      <c r="J181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1520</v>
      </c>
      <c r="K1815" t="s">
        <v>977</v>
      </c>
    </row>
    <row r="1816" spans="1:11" x14ac:dyDescent="0.35">
      <c r="A1816" t="s">
        <v>198</v>
      </c>
      <c r="B1816" t="s">
        <v>233</v>
      </c>
      <c r="C1816" t="s">
        <v>234</v>
      </c>
      <c r="D1816">
        <v>1520</v>
      </c>
      <c r="E1816" t="s">
        <v>818</v>
      </c>
      <c r="F1816">
        <v>2024</v>
      </c>
      <c r="G1816" t="str">
        <f>TRIM(RIGHT(Table156[[#This Row],[Item-Codigo]], LEN(Table156[[#This Row],[Item-Codigo]]) - FIND("|", CONCATENATE(B1816), FIND("|", CONCATENATE(B1816)) + 1)))</f>
        <v>TM</v>
      </c>
      <c r="H181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156.4</v>
      </c>
      <c r="I1816" s="40" t="s">
        <v>524</v>
      </c>
      <c r="J181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1520</v>
      </c>
      <c r="K1816" t="s">
        <v>977</v>
      </c>
    </row>
    <row r="1817" spans="1:11" x14ac:dyDescent="0.35">
      <c r="A1817" t="s">
        <v>198</v>
      </c>
      <c r="B1817" t="s">
        <v>233</v>
      </c>
      <c r="C1817" t="s">
        <v>234</v>
      </c>
      <c r="D1817">
        <v>1520</v>
      </c>
      <c r="E1817" t="s">
        <v>819</v>
      </c>
      <c r="F1817">
        <v>2024</v>
      </c>
      <c r="G1817" t="str">
        <f>TRIM(RIGHT(Table156[[#This Row],[Item-Codigo]], LEN(Table156[[#This Row],[Item-Codigo]]) - FIND("|", CONCATENATE(B1817), FIND("|", CONCATENATE(B1817)) + 1)))</f>
        <v>TM</v>
      </c>
      <c r="H181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156.4</v>
      </c>
      <c r="I1817" s="40" t="s">
        <v>524</v>
      </c>
      <c r="J181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1520</v>
      </c>
      <c r="K1817" t="s">
        <v>977</v>
      </c>
    </row>
    <row r="1818" spans="1:11" x14ac:dyDescent="0.35">
      <c r="A1818" t="s">
        <v>198</v>
      </c>
      <c r="B1818" t="s">
        <v>233</v>
      </c>
      <c r="C1818" t="s">
        <v>234</v>
      </c>
      <c r="D1818">
        <v>1520</v>
      </c>
      <c r="E1818" t="s">
        <v>816</v>
      </c>
      <c r="F1818">
        <v>2024</v>
      </c>
      <c r="G1818" t="str">
        <f>TRIM(RIGHT(Table156[[#This Row],[Item-Codigo]], LEN(Table156[[#This Row],[Item-Codigo]]) - FIND("|", CONCATENATE(B1818), FIND("|", CONCATENATE(B1818)) + 1)))</f>
        <v>TM</v>
      </c>
      <c r="H181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156.4</v>
      </c>
      <c r="I1818" s="40" t="s">
        <v>524</v>
      </c>
      <c r="J181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1520</v>
      </c>
      <c r="K1818" t="s">
        <v>977</v>
      </c>
    </row>
    <row r="1819" spans="1:11" x14ac:dyDescent="0.35">
      <c r="A1819" t="s">
        <v>198</v>
      </c>
      <c r="B1819" t="s">
        <v>240</v>
      </c>
      <c r="C1819" t="s">
        <v>239</v>
      </c>
      <c r="D1819">
        <v>850</v>
      </c>
      <c r="E1819" t="s">
        <v>818</v>
      </c>
      <c r="F1819">
        <v>2024</v>
      </c>
      <c r="G1819" t="str">
        <f>TRIM(RIGHT(Table156[[#This Row],[Item-Codigo]], LEN(Table156[[#This Row],[Item-Codigo]]) - FIND("|", CONCATENATE(B1819), FIND("|", CONCATENATE(B1819)) + 1)))</f>
        <v>TM</v>
      </c>
      <c r="H181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111</v>
      </c>
      <c r="I1819" s="40">
        <v>111</v>
      </c>
      <c r="J181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850</v>
      </c>
      <c r="K1819" t="s">
        <v>184</v>
      </c>
    </row>
    <row r="1820" spans="1:11" x14ac:dyDescent="0.35">
      <c r="A1820" t="s">
        <v>198</v>
      </c>
      <c r="B1820" t="s">
        <v>240</v>
      </c>
      <c r="C1820" t="s">
        <v>239</v>
      </c>
      <c r="D1820">
        <v>850</v>
      </c>
      <c r="E1820" t="s">
        <v>819</v>
      </c>
      <c r="F1820">
        <v>2024</v>
      </c>
      <c r="G1820" t="str">
        <f>TRIM(RIGHT(Table156[[#This Row],[Item-Codigo]], LEN(Table156[[#This Row],[Item-Codigo]]) - FIND("|", CONCATENATE(B1820), FIND("|", CONCATENATE(B1820)) + 1)))</f>
        <v>TM</v>
      </c>
      <c r="H182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111</v>
      </c>
      <c r="I1820" s="40">
        <v>111</v>
      </c>
      <c r="J182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850</v>
      </c>
      <c r="K1820" t="s">
        <v>184</v>
      </c>
    </row>
    <row r="1821" spans="1:11" x14ac:dyDescent="0.35">
      <c r="A1821" t="s">
        <v>198</v>
      </c>
      <c r="B1821" t="s">
        <v>240</v>
      </c>
      <c r="C1821" t="s">
        <v>239</v>
      </c>
      <c r="D1821">
        <v>850</v>
      </c>
      <c r="E1821" t="s">
        <v>816</v>
      </c>
      <c r="F1821">
        <v>2024</v>
      </c>
      <c r="G1821" t="str">
        <f>TRIM(RIGHT(Table156[[#This Row],[Item-Codigo]], LEN(Table156[[#This Row],[Item-Codigo]]) - FIND("|", CONCATENATE(B1821), FIND("|", CONCATENATE(B1821)) + 1)))</f>
        <v>TM</v>
      </c>
      <c r="H182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111</v>
      </c>
      <c r="I1821" s="40">
        <v>111</v>
      </c>
      <c r="J182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850</v>
      </c>
      <c r="K1821" t="s">
        <v>184</v>
      </c>
    </row>
    <row r="1822" spans="1:11" x14ac:dyDescent="0.35">
      <c r="A1822" t="s">
        <v>198</v>
      </c>
      <c r="B1822" t="s">
        <v>240</v>
      </c>
      <c r="C1822" t="s">
        <v>1018</v>
      </c>
      <c r="D1822">
        <v>858.85092209003301</v>
      </c>
      <c r="E1822" t="s">
        <v>818</v>
      </c>
      <c r="F1822">
        <v>2024</v>
      </c>
      <c r="G1822" t="str">
        <f>TRIM(RIGHT(Table156[[#This Row],[Item-Codigo]], LEN(Table156[[#This Row],[Item-Codigo]]) - FIND("|", CONCATENATE(B1822), FIND("|", CONCATENATE(B1822)) + 1)))</f>
        <v>TM</v>
      </c>
      <c r="H182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111</v>
      </c>
      <c r="I1822" s="40">
        <v>111</v>
      </c>
      <c r="J182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858.85092209003301</v>
      </c>
      <c r="K1822" t="s">
        <v>184</v>
      </c>
    </row>
    <row r="1823" spans="1:11" x14ac:dyDescent="0.35">
      <c r="A1823" t="s">
        <v>198</v>
      </c>
      <c r="B1823" t="s">
        <v>240</v>
      </c>
      <c r="C1823" t="s">
        <v>1018</v>
      </c>
      <c r="D1823">
        <v>824.92504769690004</v>
      </c>
      <c r="E1823" t="s">
        <v>819</v>
      </c>
      <c r="F1823">
        <v>2024</v>
      </c>
      <c r="G1823" t="str">
        <f>TRIM(RIGHT(Table156[[#This Row],[Item-Codigo]], LEN(Table156[[#This Row],[Item-Codigo]]) - FIND("|", CONCATENATE(B1823), FIND("|", CONCATENATE(B1823)) + 1)))</f>
        <v>TM</v>
      </c>
      <c r="H182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111</v>
      </c>
      <c r="I1823" s="40">
        <v>111</v>
      </c>
      <c r="J182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824.92504769690004</v>
      </c>
      <c r="K1823" t="s">
        <v>184</v>
      </c>
    </row>
    <row r="1824" spans="1:11" x14ac:dyDescent="0.35">
      <c r="A1824" t="s">
        <v>198</v>
      </c>
      <c r="B1824" t="s">
        <v>243</v>
      </c>
      <c r="C1824" t="s">
        <v>218</v>
      </c>
      <c r="D1824">
        <v>360.00213766105003</v>
      </c>
      <c r="E1824" t="s">
        <v>818</v>
      </c>
      <c r="F1824">
        <v>2024</v>
      </c>
      <c r="G1824" t="str">
        <f>TRIM(RIGHT(Table156[[#This Row],[Item-Codigo]], LEN(Table156[[#This Row],[Item-Codigo]]) - FIND("|", CONCATENATE(B1824), FIND("|", CONCATENATE(B1824)) + 1)))</f>
        <v>TM</v>
      </c>
      <c r="H182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211</v>
      </c>
      <c r="I1824" s="40">
        <v>211</v>
      </c>
      <c r="J182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360.00213766105003</v>
      </c>
      <c r="K1824" t="s">
        <v>188</v>
      </c>
    </row>
    <row r="1825" spans="1:11" x14ac:dyDescent="0.35">
      <c r="A1825" t="s">
        <v>198</v>
      </c>
      <c r="B1825" t="s">
        <v>243</v>
      </c>
      <c r="C1825" t="s">
        <v>218</v>
      </c>
      <c r="D1825">
        <v>360.41189931349999</v>
      </c>
      <c r="E1825" t="s">
        <v>819</v>
      </c>
      <c r="F1825">
        <v>2024</v>
      </c>
      <c r="G1825" t="str">
        <f>TRIM(RIGHT(Table156[[#This Row],[Item-Codigo]], LEN(Table156[[#This Row],[Item-Codigo]]) - FIND("|", CONCATENATE(B1825), FIND("|", CONCATENATE(B1825)) + 1)))</f>
        <v>TM</v>
      </c>
      <c r="H182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211</v>
      </c>
      <c r="I1825" s="40">
        <v>211</v>
      </c>
      <c r="J182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360.41189931349999</v>
      </c>
      <c r="K1825" t="s">
        <v>188</v>
      </c>
    </row>
    <row r="1826" spans="1:11" x14ac:dyDescent="0.35">
      <c r="A1826" t="s">
        <v>198</v>
      </c>
      <c r="B1826" t="s">
        <v>360</v>
      </c>
      <c r="C1826" t="s">
        <v>215</v>
      </c>
      <c r="D1826">
        <v>918.9318600368</v>
      </c>
      <c r="E1826" t="s">
        <v>818</v>
      </c>
      <c r="F1826">
        <v>2024</v>
      </c>
      <c r="G1826" t="str">
        <f>TRIM(RIGHT(Table156[[#This Row],[Item-Codigo]], LEN(Table156[[#This Row],[Item-Codigo]]) - FIND("|", CONCATENATE(B1826), FIND("|", CONCATENATE(B1826)) + 1)))</f>
        <v>TM</v>
      </c>
      <c r="H182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</v>
      </c>
      <c r="I1826" s="40">
        <v>45</v>
      </c>
      <c r="J182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918.9318600368</v>
      </c>
      <c r="K1826" t="s">
        <v>131</v>
      </c>
    </row>
    <row r="1827" spans="1:11" x14ac:dyDescent="0.35">
      <c r="A1827" t="s">
        <v>198</v>
      </c>
      <c r="B1827" t="s">
        <v>360</v>
      </c>
      <c r="C1827" t="s">
        <v>215</v>
      </c>
      <c r="D1827">
        <v>913.67670011140001</v>
      </c>
      <c r="E1827" t="s">
        <v>819</v>
      </c>
      <c r="F1827">
        <v>2024</v>
      </c>
      <c r="G1827" t="str">
        <f>TRIM(RIGHT(Table156[[#This Row],[Item-Codigo]], LEN(Table156[[#This Row],[Item-Codigo]]) - FIND("|", CONCATENATE(B1827), FIND("|", CONCATENATE(B1827)) + 1)))</f>
        <v>TM</v>
      </c>
      <c r="H182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</v>
      </c>
      <c r="I1827" s="40">
        <v>45</v>
      </c>
      <c r="J182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913.67670011140001</v>
      </c>
      <c r="K1827" t="s">
        <v>131</v>
      </c>
    </row>
    <row r="1828" spans="1:11" x14ac:dyDescent="0.35">
      <c r="A1828" t="s">
        <v>198</v>
      </c>
      <c r="B1828" t="s">
        <v>199</v>
      </c>
      <c r="C1828" t="s">
        <v>200</v>
      </c>
      <c r="D1828">
        <v>20.499969435883301</v>
      </c>
      <c r="E1828" t="s">
        <v>821</v>
      </c>
      <c r="F1828">
        <v>2024</v>
      </c>
      <c r="G1828" t="str">
        <f>TRIM(RIGHT(Table156[[#This Row],[Item-Codigo]], LEN(Table156[[#This Row],[Item-Codigo]]) - FIND("|", CONCATENATE(B1828), FIND("|", CONCATENATE(B1828)) + 1)))</f>
        <v>QQ</v>
      </c>
      <c r="H182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1828" s="40">
        <v>1</v>
      </c>
      <c r="J182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450.9993275894326</v>
      </c>
      <c r="K1828" t="s">
        <v>182</v>
      </c>
    </row>
    <row r="1829" spans="1:11" x14ac:dyDescent="0.35">
      <c r="A1829" t="s">
        <v>198</v>
      </c>
      <c r="B1829" t="s">
        <v>199</v>
      </c>
      <c r="C1829" t="s">
        <v>200</v>
      </c>
      <c r="D1829">
        <v>20.499947835699999</v>
      </c>
      <c r="E1829" t="s">
        <v>818</v>
      </c>
      <c r="F1829">
        <v>2024</v>
      </c>
      <c r="G1829" t="str">
        <f>TRIM(RIGHT(Table156[[#This Row],[Item-Codigo]], LEN(Table156[[#This Row],[Item-Codigo]]) - FIND("|", CONCATENATE(B1829), FIND("|", CONCATENATE(B1829)) + 1)))</f>
        <v>QQ</v>
      </c>
      <c r="H182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1829" s="40">
        <v>1</v>
      </c>
      <c r="J182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450.99885238539997</v>
      </c>
      <c r="K1829" t="s">
        <v>182</v>
      </c>
    </row>
    <row r="1830" spans="1:11" x14ac:dyDescent="0.35">
      <c r="A1830" t="s">
        <v>198</v>
      </c>
      <c r="B1830" t="s">
        <v>199</v>
      </c>
      <c r="C1830" t="s">
        <v>200</v>
      </c>
      <c r="D1830">
        <v>20.999954952309999</v>
      </c>
      <c r="E1830" t="s">
        <v>819</v>
      </c>
      <c r="F1830">
        <v>2024</v>
      </c>
      <c r="G1830" t="str">
        <f>TRIM(RIGHT(Table156[[#This Row],[Item-Codigo]], LEN(Table156[[#This Row],[Item-Codigo]]) - FIND("|", CONCATENATE(B1830), FIND("|", CONCATENATE(B1830)) + 1)))</f>
        <v>QQ</v>
      </c>
      <c r="H183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1830" s="40">
        <v>1</v>
      </c>
      <c r="J183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461.99900895081998</v>
      </c>
      <c r="K1830" t="s">
        <v>182</v>
      </c>
    </row>
    <row r="1831" spans="1:11" x14ac:dyDescent="0.35">
      <c r="A1831" t="s">
        <v>198</v>
      </c>
      <c r="B1831" t="s">
        <v>199</v>
      </c>
      <c r="C1831" t="s">
        <v>201</v>
      </c>
      <c r="D1831">
        <v>20.272714782272701</v>
      </c>
      <c r="E1831" t="s">
        <v>821</v>
      </c>
      <c r="F1831">
        <v>2024</v>
      </c>
      <c r="G1831" t="str">
        <f>TRIM(RIGHT(Table156[[#This Row],[Item-Codigo]], LEN(Table156[[#This Row],[Item-Codigo]]) - FIND("|", CONCATENATE(B1831), FIND("|", CONCATENATE(B1831)) + 1)))</f>
        <v>QQ</v>
      </c>
      <c r="H183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1831" s="40">
        <v>1</v>
      </c>
      <c r="J183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445.99972520999938</v>
      </c>
      <c r="K1831" t="s">
        <v>182</v>
      </c>
    </row>
    <row r="1832" spans="1:11" x14ac:dyDescent="0.35">
      <c r="A1832" t="s">
        <v>198</v>
      </c>
      <c r="B1832" t="s">
        <v>199</v>
      </c>
      <c r="C1832" t="s">
        <v>201</v>
      </c>
      <c r="D1832">
        <v>20.5000407504</v>
      </c>
      <c r="E1832" t="s">
        <v>818</v>
      </c>
      <c r="F1832">
        <v>2024</v>
      </c>
      <c r="G1832" t="str">
        <f>TRIM(RIGHT(Table156[[#This Row],[Item-Codigo]], LEN(Table156[[#This Row],[Item-Codigo]]) - FIND("|", CONCATENATE(B1832), FIND("|", CONCATENATE(B1832)) + 1)))</f>
        <v>QQ</v>
      </c>
      <c r="H183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1832" s="40">
        <v>1</v>
      </c>
      <c r="J183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451.0008965088</v>
      </c>
      <c r="K1832" t="s">
        <v>182</v>
      </c>
    </row>
    <row r="1833" spans="1:11" x14ac:dyDescent="0.35">
      <c r="A1833" t="s">
        <v>198</v>
      </c>
      <c r="B1833" t="s">
        <v>199</v>
      </c>
      <c r="C1833" t="s">
        <v>201</v>
      </c>
      <c r="D1833">
        <v>21.499994596966701</v>
      </c>
      <c r="E1833" t="s">
        <v>819</v>
      </c>
      <c r="F1833">
        <v>2024</v>
      </c>
      <c r="G1833" t="str">
        <f>TRIM(RIGHT(Table156[[#This Row],[Item-Codigo]], LEN(Table156[[#This Row],[Item-Codigo]]) - FIND("|", CONCATENATE(B1833), FIND("|", CONCATENATE(B1833)) + 1)))</f>
        <v>QQ</v>
      </c>
      <c r="H183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1833" s="40">
        <v>1</v>
      </c>
      <c r="J183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472.99988113326742</v>
      </c>
      <c r="K1833" t="s">
        <v>182</v>
      </c>
    </row>
    <row r="1834" spans="1:11" x14ac:dyDescent="0.35">
      <c r="A1834" t="s">
        <v>198</v>
      </c>
      <c r="B1834" t="s">
        <v>199</v>
      </c>
      <c r="C1834" t="s">
        <v>203</v>
      </c>
      <c r="D1834">
        <v>20.499980583774999</v>
      </c>
      <c r="E1834" t="s">
        <v>821</v>
      </c>
      <c r="F1834">
        <v>2024</v>
      </c>
      <c r="G1834" t="str">
        <f>TRIM(RIGHT(Table156[[#This Row],[Item-Codigo]], LEN(Table156[[#This Row],[Item-Codigo]]) - FIND("|", CONCATENATE(B1834), FIND("|", CONCATENATE(B1834)) + 1)))</f>
        <v>QQ</v>
      </c>
      <c r="H183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1834" s="40">
        <v>1</v>
      </c>
      <c r="J183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450.99957284304998</v>
      </c>
      <c r="K1834" t="s">
        <v>182</v>
      </c>
    </row>
    <row r="1835" spans="1:11" x14ac:dyDescent="0.35">
      <c r="A1835" t="s">
        <v>198</v>
      </c>
      <c r="B1835" t="s">
        <v>199</v>
      </c>
      <c r="C1835" t="s">
        <v>203</v>
      </c>
      <c r="D1835">
        <v>20.500038791249999</v>
      </c>
      <c r="E1835" t="s">
        <v>818</v>
      </c>
      <c r="F1835">
        <v>2024</v>
      </c>
      <c r="G1835" t="str">
        <f>TRIM(RIGHT(Table156[[#This Row],[Item-Codigo]], LEN(Table156[[#This Row],[Item-Codigo]]) - FIND("|", CONCATENATE(B1835), FIND("|", CONCATENATE(B1835)) + 1)))</f>
        <v>QQ</v>
      </c>
      <c r="H183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</v>
      </c>
      <c r="I1835" s="40">
        <v>1</v>
      </c>
      <c r="J183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451.00085340749996</v>
      </c>
      <c r="K1835" t="s">
        <v>182</v>
      </c>
    </row>
    <row r="1836" spans="1:11" x14ac:dyDescent="0.35">
      <c r="A1836" t="s">
        <v>198</v>
      </c>
      <c r="B1836" t="s">
        <v>245</v>
      </c>
      <c r="C1836" t="s">
        <v>851</v>
      </c>
      <c r="D1836">
        <v>230</v>
      </c>
      <c r="E1836" t="s">
        <v>818</v>
      </c>
      <c r="F1836">
        <v>2024</v>
      </c>
      <c r="G1836" t="str">
        <f>TRIM(RIGHT(Table156[[#This Row],[Item-Codigo]], LEN(Table156[[#This Row],[Item-Codigo]]) - FIND("|", CONCATENATE(B1836), FIND("|", CONCATENATE(B1836)) + 1)))</f>
        <v>TM</v>
      </c>
      <c r="H183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14</v>
      </c>
      <c r="I1836" s="40">
        <v>14</v>
      </c>
      <c r="J183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230</v>
      </c>
      <c r="K1836" t="s">
        <v>187</v>
      </c>
    </row>
    <row r="1837" spans="1:11" x14ac:dyDescent="0.35">
      <c r="A1837" t="s">
        <v>198</v>
      </c>
      <c r="B1837" t="s">
        <v>245</v>
      </c>
      <c r="C1837" t="s">
        <v>851</v>
      </c>
      <c r="D1837">
        <v>230</v>
      </c>
      <c r="E1837" t="s">
        <v>819</v>
      </c>
      <c r="F1837">
        <v>2024</v>
      </c>
      <c r="G1837" t="str">
        <f>TRIM(RIGHT(Table156[[#This Row],[Item-Codigo]], LEN(Table156[[#This Row],[Item-Codigo]]) - FIND("|", CONCATENATE(B1837), FIND("|", CONCATENATE(B1837)) + 1)))</f>
        <v>TM</v>
      </c>
      <c r="H183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14</v>
      </c>
      <c r="I1837" s="40">
        <v>14</v>
      </c>
      <c r="J183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230</v>
      </c>
      <c r="K1837" t="s">
        <v>187</v>
      </c>
    </row>
    <row r="1838" spans="1:11" x14ac:dyDescent="0.35">
      <c r="A1838" t="s">
        <v>198</v>
      </c>
      <c r="B1838" t="s">
        <v>245</v>
      </c>
      <c r="C1838" t="s">
        <v>851</v>
      </c>
      <c r="D1838">
        <v>230</v>
      </c>
      <c r="E1838" t="s">
        <v>816</v>
      </c>
      <c r="F1838">
        <v>2024</v>
      </c>
      <c r="G1838" t="str">
        <f>TRIM(RIGHT(Table156[[#This Row],[Item-Codigo]], LEN(Table156[[#This Row],[Item-Codigo]]) - FIND("|", CONCATENATE(B1838), FIND("|", CONCATENATE(B1838)) + 1)))</f>
        <v>TM</v>
      </c>
      <c r="H183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14</v>
      </c>
      <c r="I1838" s="40">
        <v>14</v>
      </c>
      <c r="J183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230</v>
      </c>
      <c r="K1838" t="s">
        <v>187</v>
      </c>
    </row>
    <row r="1839" spans="1:11" x14ac:dyDescent="0.35">
      <c r="A1839" t="s">
        <v>198</v>
      </c>
      <c r="B1839" t="s">
        <v>854</v>
      </c>
      <c r="C1839" t="s">
        <v>248</v>
      </c>
      <c r="D1839">
        <v>308.65202310500001</v>
      </c>
      <c r="E1839" t="s">
        <v>821</v>
      </c>
      <c r="F1839">
        <v>2024</v>
      </c>
      <c r="G1839" t="str">
        <f>TRIM(RIGHT(Table156[[#This Row],[Item-Codigo]], LEN(Table156[[#This Row],[Item-Codigo]]) - FIND("|", CONCATENATE(B1839), FIND("|", CONCATENATE(B1839)) + 1)))</f>
        <v>TM</v>
      </c>
      <c r="H183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214</v>
      </c>
      <c r="I1839" s="40">
        <v>214</v>
      </c>
      <c r="J183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308.65202310500001</v>
      </c>
      <c r="K1839" t="s">
        <v>186</v>
      </c>
    </row>
    <row r="1840" spans="1:11" x14ac:dyDescent="0.35">
      <c r="A1840" t="s">
        <v>198</v>
      </c>
      <c r="B1840" t="s">
        <v>854</v>
      </c>
      <c r="C1840" t="s">
        <v>248</v>
      </c>
      <c r="D1840">
        <v>352.7484710027</v>
      </c>
      <c r="E1840" t="s">
        <v>819</v>
      </c>
      <c r="F1840">
        <v>2024</v>
      </c>
      <c r="G1840" t="str">
        <f>TRIM(RIGHT(Table156[[#This Row],[Item-Codigo]], LEN(Table156[[#This Row],[Item-Codigo]]) - FIND("|", CONCATENATE(B1840), FIND("|", CONCATENATE(B1840)) + 1)))</f>
        <v>TM</v>
      </c>
      <c r="H184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214</v>
      </c>
      <c r="I1840" s="40">
        <v>214</v>
      </c>
      <c r="J184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352.7484710027</v>
      </c>
      <c r="K1840" t="s">
        <v>186</v>
      </c>
    </row>
    <row r="1841" spans="1:11" x14ac:dyDescent="0.35">
      <c r="A1841" t="s">
        <v>198</v>
      </c>
      <c r="B1841" t="s">
        <v>854</v>
      </c>
      <c r="C1841" t="s">
        <v>248</v>
      </c>
      <c r="D1841">
        <v>352.74619933746698</v>
      </c>
      <c r="E1841" t="s">
        <v>816</v>
      </c>
      <c r="F1841">
        <v>2024</v>
      </c>
      <c r="G1841" t="str">
        <f>TRIM(RIGHT(Table156[[#This Row],[Item-Codigo]], LEN(Table156[[#This Row],[Item-Codigo]]) - FIND("|", CONCATENATE(B1841), FIND("|", CONCATENATE(B1841)) + 1)))</f>
        <v>TM</v>
      </c>
      <c r="H184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214</v>
      </c>
      <c r="I1841" s="40">
        <v>214</v>
      </c>
      <c r="J184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352.74619933746698</v>
      </c>
      <c r="K1841" t="s">
        <v>186</v>
      </c>
    </row>
    <row r="1842" spans="1:11" x14ac:dyDescent="0.35">
      <c r="A1842" t="s">
        <v>198</v>
      </c>
      <c r="B1842" t="s">
        <v>854</v>
      </c>
      <c r="C1842" t="s">
        <v>1200</v>
      </c>
      <c r="D1842">
        <v>268.99853006260003</v>
      </c>
      <c r="E1842" t="s">
        <v>818</v>
      </c>
      <c r="F1842">
        <v>2024</v>
      </c>
      <c r="G1842" t="str">
        <f>TRIM(RIGHT(Table156[[#This Row],[Item-Codigo]], LEN(Table156[[#This Row],[Item-Codigo]]) - FIND("|", CONCATENATE(B1842), FIND("|", CONCATENATE(B1842)) + 1)))</f>
        <v>TM</v>
      </c>
      <c r="H184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214</v>
      </c>
      <c r="I1842" s="40">
        <v>214</v>
      </c>
      <c r="J184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268.99853006260003</v>
      </c>
      <c r="K1842" t="s">
        <v>186</v>
      </c>
    </row>
    <row r="1843" spans="1:11" x14ac:dyDescent="0.35">
      <c r="A1843" t="s">
        <v>198</v>
      </c>
      <c r="B1843" t="s">
        <v>854</v>
      </c>
      <c r="C1843" t="s">
        <v>1200</v>
      </c>
      <c r="D1843">
        <v>336.03163778610002</v>
      </c>
      <c r="E1843" t="s">
        <v>819</v>
      </c>
      <c r="F1843">
        <v>2024</v>
      </c>
      <c r="G1843" t="str">
        <f>TRIM(RIGHT(Table156[[#This Row],[Item-Codigo]], LEN(Table156[[#This Row],[Item-Codigo]]) - FIND("|", CONCATENATE(B1843), FIND("|", CONCATENATE(B1843)) + 1)))</f>
        <v>TM</v>
      </c>
      <c r="H184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214</v>
      </c>
      <c r="I1843" s="40">
        <v>214</v>
      </c>
      <c r="J184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336.03163778610002</v>
      </c>
      <c r="K1843" t="s">
        <v>186</v>
      </c>
    </row>
    <row r="1844" spans="1:11" x14ac:dyDescent="0.35">
      <c r="A1844" t="s">
        <v>198</v>
      </c>
      <c r="B1844" t="s">
        <v>854</v>
      </c>
      <c r="C1844" t="s">
        <v>1200</v>
      </c>
      <c r="D1844">
        <v>336.03163778610002</v>
      </c>
      <c r="E1844" t="s">
        <v>816</v>
      </c>
      <c r="F1844">
        <v>2024</v>
      </c>
      <c r="G1844" t="str">
        <f>TRIM(RIGHT(Table156[[#This Row],[Item-Codigo]], LEN(Table156[[#This Row],[Item-Codigo]]) - FIND("|", CONCATENATE(B1844), FIND("|", CONCATENATE(B1844)) + 1)))</f>
        <v>TM</v>
      </c>
      <c r="H184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214</v>
      </c>
      <c r="I1844" s="40">
        <v>214</v>
      </c>
      <c r="J184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336.03163778610002</v>
      </c>
      <c r="K1844" t="s">
        <v>186</v>
      </c>
    </row>
    <row r="1845" spans="1:11" x14ac:dyDescent="0.35">
      <c r="A1845" t="s">
        <v>198</v>
      </c>
      <c r="B1845" t="s">
        <v>207</v>
      </c>
      <c r="C1845" t="s">
        <v>1198</v>
      </c>
      <c r="D1845">
        <v>14.0000399235667</v>
      </c>
      <c r="E1845" t="s">
        <v>821</v>
      </c>
      <c r="F1845">
        <v>2024</v>
      </c>
      <c r="G1845" t="str">
        <f>TRIM(RIGHT(Table156[[#This Row],[Item-Codigo]], LEN(Table156[[#This Row],[Item-Codigo]]) - FIND("|", CONCATENATE(B1845), FIND("|", CONCATENATE(B1845)) + 1)))</f>
        <v>QQ</v>
      </c>
      <c r="H184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845" s="40">
        <v>410</v>
      </c>
      <c r="J184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308.00087831846741</v>
      </c>
      <c r="K1845" t="s">
        <v>183</v>
      </c>
    </row>
    <row r="1846" spans="1:11" x14ac:dyDescent="0.35">
      <c r="A1846" t="s">
        <v>198</v>
      </c>
      <c r="B1846" t="s">
        <v>207</v>
      </c>
      <c r="C1846" t="s">
        <v>994</v>
      </c>
      <c r="D1846">
        <v>12.9998949551333</v>
      </c>
      <c r="E1846" t="s">
        <v>821</v>
      </c>
      <c r="F1846">
        <v>2024</v>
      </c>
      <c r="G1846" t="str">
        <f>TRIM(RIGHT(Table156[[#This Row],[Item-Codigo]], LEN(Table156[[#This Row],[Item-Codigo]]) - FIND("|", CONCATENATE(B1846), FIND("|", CONCATENATE(B1846)) + 1)))</f>
        <v>QQ</v>
      </c>
      <c r="H184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846" s="40">
        <v>410</v>
      </c>
      <c r="J184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285.9976890129326</v>
      </c>
      <c r="K1846" t="s">
        <v>183</v>
      </c>
    </row>
    <row r="1847" spans="1:11" x14ac:dyDescent="0.35">
      <c r="A1847" t="s">
        <v>198</v>
      </c>
      <c r="B1847" t="s">
        <v>207</v>
      </c>
      <c r="C1847" t="s">
        <v>994</v>
      </c>
      <c r="D1847">
        <v>13.00008455855</v>
      </c>
      <c r="E1847" t="s">
        <v>818</v>
      </c>
      <c r="F1847">
        <v>2024</v>
      </c>
      <c r="G1847" t="str">
        <f>TRIM(RIGHT(Table156[[#This Row],[Item-Codigo]], LEN(Table156[[#This Row],[Item-Codigo]]) - FIND("|", CONCATENATE(B1847), FIND("|", CONCATENATE(B1847)) + 1)))</f>
        <v>QQ</v>
      </c>
      <c r="H184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847" s="40">
        <v>410</v>
      </c>
      <c r="J184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286.00186028810003</v>
      </c>
      <c r="K1847" t="s">
        <v>183</v>
      </c>
    </row>
    <row r="1848" spans="1:11" x14ac:dyDescent="0.35">
      <c r="A1848" t="s">
        <v>198</v>
      </c>
      <c r="B1848" t="s">
        <v>207</v>
      </c>
      <c r="C1848" t="s">
        <v>994</v>
      </c>
      <c r="D1848">
        <v>13.000054524499999</v>
      </c>
      <c r="E1848" t="s">
        <v>819</v>
      </c>
      <c r="F1848">
        <v>2024</v>
      </c>
      <c r="G1848" t="str">
        <f>TRIM(RIGHT(Table156[[#This Row],[Item-Codigo]], LEN(Table156[[#This Row],[Item-Codigo]]) - FIND("|", CONCATENATE(B1848), FIND("|", CONCATENATE(B1848)) + 1)))</f>
        <v>QQ</v>
      </c>
      <c r="H184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848" s="40">
        <v>410</v>
      </c>
      <c r="J184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286.00119953899997</v>
      </c>
      <c r="K1848" t="s">
        <v>183</v>
      </c>
    </row>
    <row r="1849" spans="1:11" x14ac:dyDescent="0.35">
      <c r="A1849" t="s">
        <v>198</v>
      </c>
      <c r="B1849" t="s">
        <v>207</v>
      </c>
      <c r="C1849" t="s">
        <v>994</v>
      </c>
      <c r="D1849">
        <v>13.000112313600001</v>
      </c>
      <c r="E1849" t="s">
        <v>816</v>
      </c>
      <c r="F1849">
        <v>2024</v>
      </c>
      <c r="G1849" t="str">
        <f>TRIM(RIGHT(Table156[[#This Row],[Item-Codigo]], LEN(Table156[[#This Row],[Item-Codigo]]) - FIND("|", CONCATENATE(B1849), FIND("|", CONCATENATE(B1849)) + 1)))</f>
        <v>QQ</v>
      </c>
      <c r="H184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849" s="40">
        <v>410</v>
      </c>
      <c r="J184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286.00247089920003</v>
      </c>
      <c r="K1849" t="s">
        <v>183</v>
      </c>
    </row>
    <row r="1850" spans="1:11" x14ac:dyDescent="0.35">
      <c r="A1850" t="s">
        <v>198</v>
      </c>
      <c r="B1850" t="s">
        <v>207</v>
      </c>
      <c r="C1850" t="s">
        <v>209</v>
      </c>
      <c r="D1850">
        <v>13.000114283566701</v>
      </c>
      <c r="E1850" t="s">
        <v>821</v>
      </c>
      <c r="F1850">
        <v>2024</v>
      </c>
      <c r="G1850" t="str">
        <f>TRIM(RIGHT(Table156[[#This Row],[Item-Codigo]], LEN(Table156[[#This Row],[Item-Codigo]]) - FIND("|", CONCATENATE(B1850), FIND("|", CONCATENATE(B1850)) + 1)))</f>
        <v>QQ</v>
      </c>
      <c r="H185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850" s="40">
        <v>410</v>
      </c>
      <c r="J185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286.00251423846743</v>
      </c>
      <c r="K1850" t="s">
        <v>183</v>
      </c>
    </row>
    <row r="1851" spans="1:11" x14ac:dyDescent="0.35">
      <c r="A1851" t="s">
        <v>198</v>
      </c>
      <c r="B1851" t="s">
        <v>207</v>
      </c>
      <c r="C1851" t="s">
        <v>209</v>
      </c>
      <c r="D1851">
        <v>12.9999359505667</v>
      </c>
      <c r="E1851" t="s">
        <v>818</v>
      </c>
      <c r="F1851">
        <v>2024</v>
      </c>
      <c r="G1851" t="str">
        <f>TRIM(RIGHT(Table156[[#This Row],[Item-Codigo]], LEN(Table156[[#This Row],[Item-Codigo]]) - FIND("|", CONCATENATE(B1851), FIND("|", CONCATENATE(B1851)) + 1)))</f>
        <v>QQ</v>
      </c>
      <c r="H185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851" s="40">
        <v>410</v>
      </c>
      <c r="J185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285.99859091246742</v>
      </c>
      <c r="K1851" t="s">
        <v>183</v>
      </c>
    </row>
    <row r="1852" spans="1:11" x14ac:dyDescent="0.35">
      <c r="A1852" t="s">
        <v>198</v>
      </c>
      <c r="B1852" t="s">
        <v>207</v>
      </c>
      <c r="C1852" t="s">
        <v>209</v>
      </c>
      <c r="D1852">
        <v>12.99993867155</v>
      </c>
      <c r="E1852" t="s">
        <v>816</v>
      </c>
      <c r="F1852">
        <v>2024</v>
      </c>
      <c r="G1852" t="str">
        <f>TRIM(RIGHT(Table156[[#This Row],[Item-Codigo]], LEN(Table156[[#This Row],[Item-Codigo]]) - FIND("|", CONCATENATE(B1852), FIND("|", CONCATENATE(B1852)) + 1)))</f>
        <v>QQ</v>
      </c>
      <c r="H185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852" s="40">
        <v>410</v>
      </c>
      <c r="J185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285.99865077409999</v>
      </c>
      <c r="K1852" t="s">
        <v>183</v>
      </c>
    </row>
    <row r="1853" spans="1:11" x14ac:dyDescent="0.35">
      <c r="A1853" t="s">
        <v>198</v>
      </c>
      <c r="B1853" t="s">
        <v>207</v>
      </c>
      <c r="C1853" t="s">
        <v>210</v>
      </c>
      <c r="D1853">
        <v>12.999946756050001</v>
      </c>
      <c r="E1853" t="s">
        <v>821</v>
      </c>
      <c r="F1853">
        <v>2024</v>
      </c>
      <c r="G1853" t="str">
        <f>TRIM(RIGHT(Table156[[#This Row],[Item-Codigo]], LEN(Table156[[#This Row],[Item-Codigo]]) - FIND("|", CONCATENATE(B1853), FIND("|", CONCATENATE(B1853)) + 1)))</f>
        <v>QQ</v>
      </c>
      <c r="H185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853" s="40">
        <v>410</v>
      </c>
      <c r="J185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285.9988286331</v>
      </c>
      <c r="K1853" t="s">
        <v>183</v>
      </c>
    </row>
    <row r="1854" spans="1:11" x14ac:dyDescent="0.35">
      <c r="A1854" t="s">
        <v>198</v>
      </c>
      <c r="B1854" t="s">
        <v>207</v>
      </c>
      <c r="C1854" t="s">
        <v>210</v>
      </c>
      <c r="D1854">
        <v>12.9999934245429</v>
      </c>
      <c r="E1854" t="s">
        <v>818</v>
      </c>
      <c r="F1854">
        <v>2024</v>
      </c>
      <c r="G1854" t="str">
        <f>TRIM(RIGHT(Table156[[#This Row],[Item-Codigo]], LEN(Table156[[#This Row],[Item-Codigo]]) - FIND("|", CONCATENATE(B1854), FIND("|", CONCATENATE(B1854)) + 1)))</f>
        <v>QQ</v>
      </c>
      <c r="H185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854" s="40">
        <v>410</v>
      </c>
      <c r="J185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285.99985533994379</v>
      </c>
      <c r="K1854" t="s">
        <v>183</v>
      </c>
    </row>
    <row r="1855" spans="1:11" x14ac:dyDescent="0.35">
      <c r="A1855" t="s">
        <v>198</v>
      </c>
      <c r="B1855" t="s">
        <v>207</v>
      </c>
      <c r="C1855" t="s">
        <v>210</v>
      </c>
      <c r="D1855">
        <v>12.999956692762501</v>
      </c>
      <c r="E1855" t="s">
        <v>819</v>
      </c>
      <c r="F1855">
        <v>2024</v>
      </c>
      <c r="G1855" t="str">
        <f>TRIM(RIGHT(Table156[[#This Row],[Item-Codigo]], LEN(Table156[[#This Row],[Item-Codigo]]) - FIND("|", CONCATENATE(B1855), FIND("|", CONCATENATE(B1855)) + 1)))</f>
        <v>QQ</v>
      </c>
      <c r="H185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855" s="40">
        <v>410</v>
      </c>
      <c r="J185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285.99904724077504</v>
      </c>
      <c r="K1855" t="s">
        <v>183</v>
      </c>
    </row>
    <row r="1856" spans="1:11" x14ac:dyDescent="0.35">
      <c r="A1856" t="s">
        <v>198</v>
      </c>
      <c r="B1856" t="s">
        <v>207</v>
      </c>
      <c r="C1856" t="s">
        <v>210</v>
      </c>
      <c r="D1856">
        <v>12.9999755314333</v>
      </c>
      <c r="E1856" t="s">
        <v>816</v>
      </c>
      <c r="F1856">
        <v>2024</v>
      </c>
      <c r="G1856" t="str">
        <f>TRIM(RIGHT(Table156[[#This Row],[Item-Codigo]], LEN(Table156[[#This Row],[Item-Codigo]]) - FIND("|", CONCATENATE(B1856), FIND("|", CONCATENATE(B1856)) + 1)))</f>
        <v>QQ</v>
      </c>
      <c r="H185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856" s="40">
        <v>410</v>
      </c>
      <c r="J185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285.99946169153259</v>
      </c>
      <c r="K1856" t="s">
        <v>183</v>
      </c>
    </row>
    <row r="1857" spans="1:11" x14ac:dyDescent="0.35">
      <c r="A1857" t="s">
        <v>198</v>
      </c>
      <c r="B1857" t="s">
        <v>207</v>
      </c>
      <c r="C1857" t="s">
        <v>211</v>
      </c>
      <c r="D1857">
        <v>12.999987147166699</v>
      </c>
      <c r="E1857" t="s">
        <v>818</v>
      </c>
      <c r="F1857">
        <v>2024</v>
      </c>
      <c r="G1857" t="str">
        <f>TRIM(RIGHT(Table156[[#This Row],[Item-Codigo]], LEN(Table156[[#This Row],[Item-Codigo]]) - FIND("|", CONCATENATE(B1857), FIND("|", CONCATENATE(B1857)) + 1)))</f>
        <v>QQ</v>
      </c>
      <c r="H185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857" s="40">
        <v>410</v>
      </c>
      <c r="J185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285.99971723766737</v>
      </c>
      <c r="K1857" t="s">
        <v>183</v>
      </c>
    </row>
    <row r="1858" spans="1:11" x14ac:dyDescent="0.35">
      <c r="A1858" t="s">
        <v>198</v>
      </c>
      <c r="B1858" t="s">
        <v>207</v>
      </c>
      <c r="C1858" t="s">
        <v>211</v>
      </c>
      <c r="D1858">
        <v>12.999956345016701</v>
      </c>
      <c r="E1858" t="s">
        <v>819</v>
      </c>
      <c r="F1858">
        <v>2024</v>
      </c>
      <c r="G1858" t="str">
        <f>TRIM(RIGHT(Table156[[#This Row],[Item-Codigo]], LEN(Table156[[#This Row],[Item-Codigo]]) - FIND("|", CONCATENATE(B1858), FIND("|", CONCATENATE(B1858)) + 1)))</f>
        <v>QQ</v>
      </c>
      <c r="H185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858" s="40">
        <v>410</v>
      </c>
      <c r="J185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285.99903959036743</v>
      </c>
      <c r="K1858" t="s">
        <v>183</v>
      </c>
    </row>
    <row r="1859" spans="1:11" x14ac:dyDescent="0.35">
      <c r="A1859" t="s">
        <v>198</v>
      </c>
      <c r="B1859" t="s">
        <v>207</v>
      </c>
      <c r="C1859" t="s">
        <v>211</v>
      </c>
      <c r="D1859">
        <v>12.9999681342</v>
      </c>
      <c r="E1859" t="s">
        <v>816</v>
      </c>
      <c r="F1859">
        <v>2024</v>
      </c>
      <c r="G1859" t="str">
        <f>TRIM(RIGHT(Table156[[#This Row],[Item-Codigo]], LEN(Table156[[#This Row],[Item-Codigo]]) - FIND("|", CONCATENATE(B1859), FIND("|", CONCATENATE(B1859)) + 1)))</f>
        <v>QQ</v>
      </c>
      <c r="H185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859" s="40">
        <v>410</v>
      </c>
      <c r="J185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285.99929895240001</v>
      </c>
      <c r="K1859" t="s">
        <v>183</v>
      </c>
    </row>
    <row r="1860" spans="1:11" x14ac:dyDescent="0.35">
      <c r="A1860" t="s">
        <v>198</v>
      </c>
      <c r="B1860" t="s">
        <v>207</v>
      </c>
      <c r="C1860" t="s">
        <v>212</v>
      </c>
      <c r="D1860">
        <v>13.000018872928599</v>
      </c>
      <c r="E1860" t="s">
        <v>821</v>
      </c>
      <c r="F1860">
        <v>2024</v>
      </c>
      <c r="G1860" t="str">
        <f>TRIM(RIGHT(Table156[[#This Row],[Item-Codigo]], LEN(Table156[[#This Row],[Item-Codigo]]) - FIND("|", CONCATENATE(B1860), FIND("|", CONCATENATE(B1860)) + 1)))</f>
        <v>QQ</v>
      </c>
      <c r="H186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860" s="40">
        <v>410</v>
      </c>
      <c r="J186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286.0004152044292</v>
      </c>
      <c r="K1860" t="s">
        <v>183</v>
      </c>
    </row>
    <row r="1861" spans="1:11" x14ac:dyDescent="0.35">
      <c r="A1861" t="s">
        <v>198</v>
      </c>
      <c r="B1861" t="s">
        <v>207</v>
      </c>
      <c r="C1861" t="s">
        <v>212</v>
      </c>
      <c r="D1861">
        <v>12.9999893132607</v>
      </c>
      <c r="E1861" t="s">
        <v>818</v>
      </c>
      <c r="F1861">
        <v>2024</v>
      </c>
      <c r="G1861" t="str">
        <f>TRIM(RIGHT(Table156[[#This Row],[Item-Codigo]], LEN(Table156[[#This Row],[Item-Codigo]]) - FIND("|", CONCATENATE(B1861), FIND("|", CONCATENATE(B1861)) + 1)))</f>
        <v>QQ</v>
      </c>
      <c r="H186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861" s="40">
        <v>410</v>
      </c>
      <c r="J186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285.99976489173542</v>
      </c>
      <c r="K1861" t="s">
        <v>183</v>
      </c>
    </row>
    <row r="1862" spans="1:11" x14ac:dyDescent="0.35">
      <c r="A1862" t="s">
        <v>198</v>
      </c>
      <c r="B1862" t="s">
        <v>207</v>
      </c>
      <c r="C1862" t="s">
        <v>212</v>
      </c>
      <c r="D1862">
        <v>13.000000003605599</v>
      </c>
      <c r="E1862" t="s">
        <v>819</v>
      </c>
      <c r="F1862">
        <v>2024</v>
      </c>
      <c r="G1862" t="str">
        <f>TRIM(RIGHT(Table156[[#This Row],[Item-Codigo]], LEN(Table156[[#This Row],[Item-Codigo]]) - FIND("|", CONCATENATE(B1862), FIND("|", CONCATENATE(B1862)) + 1)))</f>
        <v>QQ</v>
      </c>
      <c r="H186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862" s="40">
        <v>410</v>
      </c>
      <c r="J186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286.00000007932317</v>
      </c>
      <c r="K1862" t="s">
        <v>183</v>
      </c>
    </row>
    <row r="1863" spans="1:11" x14ac:dyDescent="0.35">
      <c r="A1863" t="s">
        <v>198</v>
      </c>
      <c r="B1863" t="s">
        <v>207</v>
      </c>
      <c r="C1863" t="s">
        <v>212</v>
      </c>
      <c r="D1863">
        <v>12.999996150390499</v>
      </c>
      <c r="E1863" t="s">
        <v>816</v>
      </c>
      <c r="F1863">
        <v>2024</v>
      </c>
      <c r="G1863" t="str">
        <f>TRIM(RIGHT(Table156[[#This Row],[Item-Codigo]], LEN(Table156[[#This Row],[Item-Codigo]]) - FIND("|", CONCATENATE(B1863), FIND("|", CONCATENATE(B1863)) + 1)))</f>
        <v>QQ</v>
      </c>
      <c r="H186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863" s="40">
        <v>410</v>
      </c>
      <c r="J186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285.99991530859097</v>
      </c>
      <c r="K1863" t="s">
        <v>183</v>
      </c>
    </row>
    <row r="1864" spans="1:11" x14ac:dyDescent="0.35">
      <c r="A1864" t="s">
        <v>198</v>
      </c>
      <c r="B1864" t="s">
        <v>207</v>
      </c>
      <c r="C1864" t="s">
        <v>213</v>
      </c>
      <c r="D1864">
        <v>13.8570829515429</v>
      </c>
      <c r="E1864" t="s">
        <v>818</v>
      </c>
      <c r="F1864">
        <v>2024</v>
      </c>
      <c r="G1864" t="str">
        <f>TRIM(RIGHT(Table156[[#This Row],[Item-Codigo]], LEN(Table156[[#This Row],[Item-Codigo]]) - FIND("|", CONCATENATE(B1864), FIND("|", CONCATENATE(B1864)) + 1)))</f>
        <v>QQ</v>
      </c>
      <c r="H186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864" s="40">
        <v>410</v>
      </c>
      <c r="J186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304.85582493394378</v>
      </c>
      <c r="K1864" t="s">
        <v>183</v>
      </c>
    </row>
    <row r="1865" spans="1:11" x14ac:dyDescent="0.35">
      <c r="A1865" t="s">
        <v>198</v>
      </c>
      <c r="B1865" t="s">
        <v>207</v>
      </c>
      <c r="C1865" t="s">
        <v>213</v>
      </c>
      <c r="D1865">
        <v>12.999980455614301</v>
      </c>
      <c r="E1865" t="s">
        <v>819</v>
      </c>
      <c r="F1865">
        <v>2024</v>
      </c>
      <c r="G1865" t="str">
        <f>TRIM(RIGHT(Table156[[#This Row],[Item-Codigo]], LEN(Table156[[#This Row],[Item-Codigo]]) - FIND("|", CONCATENATE(B1865), FIND("|", CONCATENATE(B1865)) + 1)))</f>
        <v>QQ</v>
      </c>
      <c r="H186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865" s="40">
        <v>410</v>
      </c>
      <c r="J186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285.99957002351459</v>
      </c>
      <c r="K1865" t="s">
        <v>183</v>
      </c>
    </row>
    <row r="1866" spans="1:11" x14ac:dyDescent="0.35">
      <c r="A1866" t="s">
        <v>198</v>
      </c>
      <c r="B1866" t="s">
        <v>207</v>
      </c>
      <c r="C1866" t="s">
        <v>213</v>
      </c>
      <c r="D1866">
        <v>12.999976705090001</v>
      </c>
      <c r="E1866" t="s">
        <v>816</v>
      </c>
      <c r="F1866">
        <v>2024</v>
      </c>
      <c r="G1866" t="str">
        <f>TRIM(RIGHT(Table156[[#This Row],[Item-Codigo]], LEN(Table156[[#This Row],[Item-Codigo]]) - FIND("|", CONCATENATE(B1866), FIND("|", CONCATENATE(B1866)) + 1)))</f>
        <v>QQ</v>
      </c>
      <c r="H186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</v>
      </c>
      <c r="I1866" s="40">
        <v>410</v>
      </c>
      <c r="J186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285.99948751198002</v>
      </c>
      <c r="K1866" t="s">
        <v>183</v>
      </c>
    </row>
    <row r="1867" spans="1:11" x14ac:dyDescent="0.35">
      <c r="A1867" t="s">
        <v>198</v>
      </c>
      <c r="B1867" t="s">
        <v>1201</v>
      </c>
      <c r="C1867" t="s">
        <v>870</v>
      </c>
      <c r="D1867">
        <v>672.34999095047101</v>
      </c>
      <c r="E1867" t="s">
        <v>816</v>
      </c>
      <c r="F1867">
        <v>2024</v>
      </c>
      <c r="G1867" t="str">
        <f>TRIM(RIGHT(Table156[[#This Row],[Item-Codigo]], LEN(Table156[[#This Row],[Item-Codigo]]) - FIND("|", CONCATENATE(B1867), FIND("|", CONCATENATE(B1867)) + 1)))</f>
        <v>TM</v>
      </c>
      <c r="H186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</v>
      </c>
      <c r="I1867" s="40">
        <v>100</v>
      </c>
      <c r="J186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672.34999095047101</v>
      </c>
      <c r="K1867" t="s">
        <v>1201</v>
      </c>
    </row>
    <row r="1868" spans="1:11" x14ac:dyDescent="0.35">
      <c r="A1868" t="s">
        <v>256</v>
      </c>
      <c r="B1868" t="s">
        <v>875</v>
      </c>
      <c r="C1868" t="s">
        <v>874</v>
      </c>
      <c r="D1868">
        <v>0.03</v>
      </c>
      <c r="E1868" t="s">
        <v>821</v>
      </c>
      <c r="F1868">
        <v>2024</v>
      </c>
      <c r="G1868" t="str">
        <f>TRIM(RIGHT(Table156[[#This Row],[Item-Codigo]], LEN(Table156[[#This Row],[Item-Codigo]]) - FIND("|", CONCATENATE(B1868), FIND("|", CONCATENATE(B1868)) + 1)))</f>
        <v>UND</v>
      </c>
      <c r="H186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9534</v>
      </c>
      <c r="I1868" s="40">
        <v>9534</v>
      </c>
      <c r="J186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0.03</v>
      </c>
      <c r="K1868" t="s">
        <v>41</v>
      </c>
    </row>
    <row r="1869" spans="1:11" x14ac:dyDescent="0.35">
      <c r="A1869" t="s">
        <v>256</v>
      </c>
      <c r="B1869" t="s">
        <v>261</v>
      </c>
      <c r="C1869" t="s">
        <v>262</v>
      </c>
      <c r="D1869">
        <v>0.14489985890000001</v>
      </c>
      <c r="E1869" t="s">
        <v>821</v>
      </c>
      <c r="F1869">
        <v>2024</v>
      </c>
      <c r="G1869" t="str">
        <f>TRIM(RIGHT(Table156[[#This Row],[Item-Codigo]], LEN(Table156[[#This Row],[Item-Codigo]]) - FIND("|", CONCATENATE(B1869), FIND("|", CONCATENATE(B1869)) + 1)))</f>
        <v>UND</v>
      </c>
      <c r="H186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1869" s="40" t="s">
        <v>500</v>
      </c>
      <c r="J186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0.14489985890000001</v>
      </c>
      <c r="K1869" t="s">
        <v>43</v>
      </c>
    </row>
    <row r="1870" spans="1:11" x14ac:dyDescent="0.35">
      <c r="A1870" t="s">
        <v>256</v>
      </c>
      <c r="B1870" t="s">
        <v>261</v>
      </c>
      <c r="C1870" t="s">
        <v>262</v>
      </c>
      <c r="D1870">
        <v>0.14489965869999999</v>
      </c>
      <c r="E1870" t="s">
        <v>819</v>
      </c>
      <c r="F1870">
        <v>2024</v>
      </c>
      <c r="G1870" t="str">
        <f>TRIM(RIGHT(Table156[[#This Row],[Item-Codigo]], LEN(Table156[[#This Row],[Item-Codigo]]) - FIND("|", CONCATENATE(B1870), FIND("|", CONCATENATE(B1870)) + 1)))</f>
        <v>UND</v>
      </c>
      <c r="H187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1870" s="40" t="s">
        <v>500</v>
      </c>
      <c r="J187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0.14489965869999999</v>
      </c>
      <c r="K1870" t="s">
        <v>43</v>
      </c>
    </row>
    <row r="1871" spans="1:11" x14ac:dyDescent="0.35">
      <c r="A1871" t="s">
        <v>256</v>
      </c>
      <c r="B1871" t="s">
        <v>261</v>
      </c>
      <c r="C1871" t="s">
        <v>262</v>
      </c>
      <c r="D1871">
        <v>0.1449</v>
      </c>
      <c r="E1871" t="s">
        <v>816</v>
      </c>
      <c r="F1871">
        <v>2024</v>
      </c>
      <c r="G1871" t="str">
        <f>TRIM(RIGHT(Table156[[#This Row],[Item-Codigo]], LEN(Table156[[#This Row],[Item-Codigo]]) - FIND("|", CONCATENATE(B1871), FIND("|", CONCATENATE(B1871)) + 1)))</f>
        <v>UND</v>
      </c>
      <c r="H187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1871" s="40" t="s">
        <v>500</v>
      </c>
      <c r="J187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0.1449</v>
      </c>
      <c r="K1871" t="s">
        <v>43</v>
      </c>
    </row>
    <row r="1872" spans="1:11" x14ac:dyDescent="0.35">
      <c r="A1872" t="s">
        <v>256</v>
      </c>
      <c r="B1872" t="s">
        <v>261</v>
      </c>
      <c r="C1872" t="s">
        <v>263</v>
      </c>
      <c r="D1872">
        <v>0.14439995880000001</v>
      </c>
      <c r="E1872" t="s">
        <v>821</v>
      </c>
      <c r="F1872">
        <v>2024</v>
      </c>
      <c r="G1872" t="str">
        <f>TRIM(RIGHT(Table156[[#This Row],[Item-Codigo]], LEN(Table156[[#This Row],[Item-Codigo]]) - FIND("|", CONCATENATE(B1872), FIND("|", CONCATENATE(B1872)) + 1)))</f>
        <v>UND</v>
      </c>
      <c r="H187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1872" s="40" t="s">
        <v>500</v>
      </c>
      <c r="J187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0.14439995880000001</v>
      </c>
      <c r="K1872" t="s">
        <v>43</v>
      </c>
    </row>
    <row r="1873" spans="1:11" x14ac:dyDescent="0.35">
      <c r="A1873" t="s">
        <v>256</v>
      </c>
      <c r="B1873" t="s">
        <v>261</v>
      </c>
      <c r="C1873" t="s">
        <v>263</v>
      </c>
      <c r="D1873">
        <v>0.14440002569999999</v>
      </c>
      <c r="E1873" t="s">
        <v>819</v>
      </c>
      <c r="F1873">
        <v>2024</v>
      </c>
      <c r="G1873" t="str">
        <f>TRIM(RIGHT(Table156[[#This Row],[Item-Codigo]], LEN(Table156[[#This Row],[Item-Codigo]]) - FIND("|", CONCATENATE(B1873), FIND("|", CONCATENATE(B1873)) + 1)))</f>
        <v>UND</v>
      </c>
      <c r="H187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1873" s="40" t="s">
        <v>500</v>
      </c>
      <c r="J187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0.14440002569999999</v>
      </c>
      <c r="K1873" t="s">
        <v>43</v>
      </c>
    </row>
    <row r="1874" spans="1:11" x14ac:dyDescent="0.35">
      <c r="A1874" t="s">
        <v>256</v>
      </c>
      <c r="B1874" t="s">
        <v>261</v>
      </c>
      <c r="C1874" t="s">
        <v>263</v>
      </c>
      <c r="D1874">
        <v>0.1444007319</v>
      </c>
      <c r="E1874" t="s">
        <v>816</v>
      </c>
      <c r="F1874">
        <v>2024</v>
      </c>
      <c r="G1874" t="str">
        <f>TRIM(RIGHT(Table156[[#This Row],[Item-Codigo]], LEN(Table156[[#This Row],[Item-Codigo]]) - FIND("|", CONCATENATE(B1874), FIND("|", CONCATENATE(B1874)) + 1)))</f>
        <v>UND</v>
      </c>
      <c r="H187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1023-ME</v>
      </c>
      <c r="I1874" s="40" t="s">
        <v>500</v>
      </c>
      <c r="J187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0.1444007319</v>
      </c>
      <c r="K1874" t="s">
        <v>43</v>
      </c>
    </row>
    <row r="1875" spans="1:11" x14ac:dyDescent="0.35">
      <c r="A1875" t="s">
        <v>256</v>
      </c>
      <c r="B1875" t="s">
        <v>265</v>
      </c>
      <c r="C1875" t="s">
        <v>262</v>
      </c>
      <c r="D1875">
        <v>0.144899845</v>
      </c>
      <c r="E1875" t="s">
        <v>821</v>
      </c>
      <c r="F1875">
        <v>2024</v>
      </c>
      <c r="G1875" t="str">
        <f>TRIM(RIGHT(Table156[[#This Row],[Item-Codigo]], LEN(Table156[[#This Row],[Item-Codigo]]) - FIND("|", CONCATENATE(B1875), FIND("|", CONCATENATE(B1875)) + 1)))</f>
        <v>UND</v>
      </c>
      <c r="H187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1025-ME</v>
      </c>
      <c r="I1875" s="40" t="s">
        <v>502</v>
      </c>
      <c r="J187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0.144899845</v>
      </c>
      <c r="K1875" t="s">
        <v>45</v>
      </c>
    </row>
    <row r="1876" spans="1:11" x14ac:dyDescent="0.35">
      <c r="A1876" t="s">
        <v>256</v>
      </c>
      <c r="B1876" t="s">
        <v>265</v>
      </c>
      <c r="C1876" t="s">
        <v>263</v>
      </c>
      <c r="D1876">
        <v>0.14440004816666699</v>
      </c>
      <c r="E1876" t="s">
        <v>818</v>
      </c>
      <c r="F1876">
        <v>2024</v>
      </c>
      <c r="G1876" t="str">
        <f>TRIM(RIGHT(Table156[[#This Row],[Item-Codigo]], LEN(Table156[[#This Row],[Item-Codigo]]) - FIND("|", CONCATENATE(B1876), FIND("|", CONCATENATE(B1876)) + 1)))</f>
        <v>UND</v>
      </c>
      <c r="H187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1025-ME</v>
      </c>
      <c r="I1876" s="40" t="s">
        <v>502</v>
      </c>
      <c r="J187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0.14440004816666699</v>
      </c>
      <c r="K1876" t="s">
        <v>45</v>
      </c>
    </row>
    <row r="1877" spans="1:11" x14ac:dyDescent="0.35">
      <c r="A1877" t="s">
        <v>256</v>
      </c>
      <c r="B1877" t="s">
        <v>265</v>
      </c>
      <c r="C1877" t="s">
        <v>263</v>
      </c>
      <c r="D1877">
        <v>0.14440010365</v>
      </c>
      <c r="E1877" t="s">
        <v>816</v>
      </c>
      <c r="F1877">
        <v>2024</v>
      </c>
      <c r="G1877" t="str">
        <f>TRIM(RIGHT(Table156[[#This Row],[Item-Codigo]], LEN(Table156[[#This Row],[Item-Codigo]]) - FIND("|", CONCATENATE(B1877), FIND("|", CONCATENATE(B1877)) + 1)))</f>
        <v>UND</v>
      </c>
      <c r="H187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1025-ME</v>
      </c>
      <c r="I1877" s="40" t="s">
        <v>502</v>
      </c>
      <c r="J187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0.14440010365</v>
      </c>
      <c r="K1877" t="s">
        <v>45</v>
      </c>
    </row>
    <row r="1878" spans="1:11" x14ac:dyDescent="0.35">
      <c r="A1878" t="s">
        <v>256</v>
      </c>
      <c r="B1878" t="s">
        <v>269</v>
      </c>
      <c r="C1878" t="s">
        <v>263</v>
      </c>
      <c r="D1878">
        <v>14.2</v>
      </c>
      <c r="E1878" t="s">
        <v>816</v>
      </c>
      <c r="F1878">
        <v>2024</v>
      </c>
      <c r="G1878" t="str">
        <f>TRIM(RIGHT(Table156[[#This Row],[Item-Codigo]], LEN(Table156[[#This Row],[Item-Codigo]]) - FIND("|", CONCATENATE(B1878), FIND("|", CONCATENATE(B1878)) + 1)))</f>
        <v>UND</v>
      </c>
      <c r="H187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1021-ME</v>
      </c>
      <c r="I1878" s="40" t="s">
        <v>498</v>
      </c>
      <c r="J187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14.2</v>
      </c>
      <c r="K1878" t="s">
        <v>49</v>
      </c>
    </row>
    <row r="1879" spans="1:11" x14ac:dyDescent="0.35">
      <c r="A1879" t="s">
        <v>256</v>
      </c>
      <c r="B1879" t="s">
        <v>272</v>
      </c>
      <c r="C1879" t="s">
        <v>262</v>
      </c>
      <c r="D1879">
        <v>0.1449</v>
      </c>
      <c r="E1879" t="s">
        <v>818</v>
      </c>
      <c r="F1879">
        <v>2024</v>
      </c>
      <c r="G1879" t="str">
        <f>TRIM(RIGHT(Table156[[#This Row],[Item-Codigo]], LEN(Table156[[#This Row],[Item-Codigo]]) - FIND("|", CONCATENATE(B1879), FIND("|", CONCATENATE(B1879)) + 1)))</f>
        <v>UND</v>
      </c>
      <c r="H187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1029-ME</v>
      </c>
      <c r="I1879" s="40" t="s">
        <v>506</v>
      </c>
      <c r="J187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0.1449</v>
      </c>
      <c r="K1879" t="s">
        <v>51</v>
      </c>
    </row>
    <row r="1880" spans="1:11" x14ac:dyDescent="0.35">
      <c r="A1880" t="s">
        <v>256</v>
      </c>
      <c r="B1880" t="s">
        <v>272</v>
      </c>
      <c r="C1880" t="s">
        <v>262</v>
      </c>
      <c r="D1880">
        <v>0.1449</v>
      </c>
      <c r="E1880" t="s">
        <v>816</v>
      </c>
      <c r="F1880">
        <v>2024</v>
      </c>
      <c r="G1880" t="str">
        <f>TRIM(RIGHT(Table156[[#This Row],[Item-Codigo]], LEN(Table156[[#This Row],[Item-Codigo]]) - FIND("|", CONCATENATE(B1880), FIND("|", CONCATENATE(B1880)) + 1)))</f>
        <v>UND</v>
      </c>
      <c r="H188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1029-ME</v>
      </c>
      <c r="I1880" s="40" t="s">
        <v>506</v>
      </c>
      <c r="J188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0.1449</v>
      </c>
      <c r="K1880" t="s">
        <v>51</v>
      </c>
    </row>
    <row r="1881" spans="1:11" x14ac:dyDescent="0.35">
      <c r="A1881" t="s">
        <v>256</v>
      </c>
      <c r="B1881" t="s">
        <v>272</v>
      </c>
      <c r="C1881" t="s">
        <v>263</v>
      </c>
      <c r="D1881">
        <v>0.1444</v>
      </c>
      <c r="E1881" t="s">
        <v>821</v>
      </c>
      <c r="F1881">
        <v>2024</v>
      </c>
      <c r="G1881" t="str">
        <f>TRIM(RIGHT(Table156[[#This Row],[Item-Codigo]], LEN(Table156[[#This Row],[Item-Codigo]]) - FIND("|", CONCATENATE(B1881), FIND("|", CONCATENATE(B1881)) + 1)))</f>
        <v>UND</v>
      </c>
      <c r="H188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1029-ME</v>
      </c>
      <c r="I1881" s="40" t="s">
        <v>506</v>
      </c>
      <c r="J188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0.1444</v>
      </c>
      <c r="K1881" t="s">
        <v>51</v>
      </c>
    </row>
    <row r="1882" spans="1:11" x14ac:dyDescent="0.35">
      <c r="A1882" t="s">
        <v>256</v>
      </c>
      <c r="B1882" t="s">
        <v>273</v>
      </c>
      <c r="C1882" t="s">
        <v>262</v>
      </c>
      <c r="D1882">
        <v>0.14493333329999999</v>
      </c>
      <c r="E1882" t="s">
        <v>819</v>
      </c>
      <c r="F1882">
        <v>2024</v>
      </c>
      <c r="G1882" t="str">
        <f>TRIM(RIGHT(Table156[[#This Row],[Item-Codigo]], LEN(Table156[[#This Row],[Item-Codigo]]) - FIND("|", CONCATENATE(B1882), FIND("|", CONCATENATE(B1882)) + 1)))</f>
        <v>UND</v>
      </c>
      <c r="H188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1030-ME</v>
      </c>
      <c r="I1882" s="40" t="s">
        <v>507</v>
      </c>
      <c r="J188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0.14493333329999999</v>
      </c>
      <c r="K1882" t="s">
        <v>52</v>
      </c>
    </row>
    <row r="1883" spans="1:11" x14ac:dyDescent="0.35">
      <c r="A1883" t="s">
        <v>256</v>
      </c>
      <c r="B1883" t="s">
        <v>273</v>
      </c>
      <c r="C1883" t="s">
        <v>263</v>
      </c>
      <c r="D1883">
        <v>0.14439981175</v>
      </c>
      <c r="E1883" t="s">
        <v>818</v>
      </c>
      <c r="F1883">
        <v>2024</v>
      </c>
      <c r="G1883" t="str">
        <f>TRIM(RIGHT(Table156[[#This Row],[Item-Codigo]], LEN(Table156[[#This Row],[Item-Codigo]]) - FIND("|", CONCATENATE(B1883), FIND("|", CONCATENATE(B1883)) + 1)))</f>
        <v>UND</v>
      </c>
      <c r="H188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1030-ME</v>
      </c>
      <c r="I1883" s="40" t="s">
        <v>507</v>
      </c>
      <c r="J188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0.14439981175</v>
      </c>
      <c r="K1883" t="s">
        <v>52</v>
      </c>
    </row>
    <row r="1884" spans="1:11" x14ac:dyDescent="0.35">
      <c r="A1884" t="s">
        <v>256</v>
      </c>
      <c r="B1884" t="s">
        <v>273</v>
      </c>
      <c r="C1884" t="s">
        <v>263</v>
      </c>
      <c r="D1884">
        <v>0.1444</v>
      </c>
      <c r="E1884" t="s">
        <v>816</v>
      </c>
      <c r="F1884">
        <v>2024</v>
      </c>
      <c r="G1884" t="str">
        <f>TRIM(RIGHT(Table156[[#This Row],[Item-Codigo]], LEN(Table156[[#This Row],[Item-Codigo]]) - FIND("|", CONCATENATE(B1884), FIND("|", CONCATENATE(B1884)) + 1)))</f>
        <v>UND</v>
      </c>
      <c r="H188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1030-ME</v>
      </c>
      <c r="I1884" s="40" t="s">
        <v>507</v>
      </c>
      <c r="J188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0.1444</v>
      </c>
      <c r="K1884" t="s">
        <v>52</v>
      </c>
    </row>
    <row r="1885" spans="1:11" x14ac:dyDescent="0.35">
      <c r="A1885" t="s">
        <v>256</v>
      </c>
      <c r="B1885" t="s">
        <v>274</v>
      </c>
      <c r="C1885" t="s">
        <v>262</v>
      </c>
      <c r="D1885">
        <v>0.14489896899999999</v>
      </c>
      <c r="E1885" t="s">
        <v>821</v>
      </c>
      <c r="F1885">
        <v>2024</v>
      </c>
      <c r="G1885" t="str">
        <f>TRIM(RIGHT(Table156[[#This Row],[Item-Codigo]], LEN(Table156[[#This Row],[Item-Codigo]]) - FIND("|", CONCATENATE(B1885), FIND("|", CONCATENATE(B1885)) + 1)))</f>
        <v>UND</v>
      </c>
      <c r="H188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1031-ME</v>
      </c>
      <c r="I1885" s="40" t="s">
        <v>508</v>
      </c>
      <c r="J188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0.14489896899999999</v>
      </c>
      <c r="K1885" t="s">
        <v>53</v>
      </c>
    </row>
    <row r="1886" spans="1:11" x14ac:dyDescent="0.35">
      <c r="A1886" t="s">
        <v>256</v>
      </c>
      <c r="B1886" t="s">
        <v>274</v>
      </c>
      <c r="C1886" t="s">
        <v>262</v>
      </c>
      <c r="D1886">
        <v>0.1449</v>
      </c>
      <c r="E1886" t="s">
        <v>819</v>
      </c>
      <c r="F1886">
        <v>2024</v>
      </c>
      <c r="G1886" t="str">
        <f>TRIM(RIGHT(Table156[[#This Row],[Item-Codigo]], LEN(Table156[[#This Row],[Item-Codigo]]) - FIND("|", CONCATENATE(B1886), FIND("|", CONCATENATE(B1886)) + 1)))</f>
        <v>UND</v>
      </c>
      <c r="H188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1031-ME</v>
      </c>
      <c r="I1886" s="40" t="s">
        <v>508</v>
      </c>
      <c r="J188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0.1449</v>
      </c>
      <c r="K1886" t="s">
        <v>53</v>
      </c>
    </row>
    <row r="1887" spans="1:11" x14ac:dyDescent="0.35">
      <c r="A1887" t="s">
        <v>256</v>
      </c>
      <c r="B1887" t="s">
        <v>274</v>
      </c>
      <c r="C1887" t="s">
        <v>263</v>
      </c>
      <c r="D1887">
        <v>0.1444</v>
      </c>
      <c r="E1887" t="s">
        <v>821</v>
      </c>
      <c r="F1887">
        <v>2024</v>
      </c>
      <c r="G1887" t="str">
        <f>TRIM(RIGHT(Table156[[#This Row],[Item-Codigo]], LEN(Table156[[#This Row],[Item-Codigo]]) - FIND("|", CONCATENATE(B1887), FIND("|", CONCATENATE(B1887)) + 1)))</f>
        <v>UND</v>
      </c>
      <c r="H188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1031-ME</v>
      </c>
      <c r="I1887" s="40" t="s">
        <v>508</v>
      </c>
      <c r="J188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0.1444</v>
      </c>
      <c r="K1887" t="s">
        <v>53</v>
      </c>
    </row>
    <row r="1888" spans="1:11" x14ac:dyDescent="0.35">
      <c r="A1888" t="s">
        <v>256</v>
      </c>
      <c r="B1888" t="s">
        <v>274</v>
      </c>
      <c r="C1888" t="s">
        <v>263</v>
      </c>
      <c r="D1888">
        <v>0.1444</v>
      </c>
      <c r="E1888" t="s">
        <v>818</v>
      </c>
      <c r="F1888">
        <v>2024</v>
      </c>
      <c r="G1888" t="str">
        <f>TRIM(RIGHT(Table156[[#This Row],[Item-Codigo]], LEN(Table156[[#This Row],[Item-Codigo]]) - FIND("|", CONCATENATE(B1888), FIND("|", CONCATENATE(B1888)) + 1)))</f>
        <v>UND</v>
      </c>
      <c r="H188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1031-ME</v>
      </c>
      <c r="I1888" s="40" t="s">
        <v>508</v>
      </c>
      <c r="J188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0.1444</v>
      </c>
      <c r="K1888" t="s">
        <v>53</v>
      </c>
    </row>
    <row r="1889" spans="1:11" x14ac:dyDescent="0.35">
      <c r="A1889" t="s">
        <v>256</v>
      </c>
      <c r="B1889" t="s">
        <v>274</v>
      </c>
      <c r="C1889" t="s">
        <v>263</v>
      </c>
      <c r="D1889">
        <v>0.14439883640000001</v>
      </c>
      <c r="E1889" t="s">
        <v>819</v>
      </c>
      <c r="F1889">
        <v>2024</v>
      </c>
      <c r="G1889" t="str">
        <f>TRIM(RIGHT(Table156[[#This Row],[Item-Codigo]], LEN(Table156[[#This Row],[Item-Codigo]]) - FIND("|", CONCATENATE(B1889), FIND("|", CONCATENATE(B1889)) + 1)))</f>
        <v>UND</v>
      </c>
      <c r="H188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1031-ME</v>
      </c>
      <c r="I1889" s="40" t="s">
        <v>508</v>
      </c>
      <c r="J188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0.14439883640000001</v>
      </c>
      <c r="K1889" t="s">
        <v>53</v>
      </c>
    </row>
    <row r="1890" spans="1:11" x14ac:dyDescent="0.35">
      <c r="A1890" t="s">
        <v>256</v>
      </c>
      <c r="B1890" t="s">
        <v>274</v>
      </c>
      <c r="C1890" t="s">
        <v>263</v>
      </c>
      <c r="D1890">
        <v>0.144399775966667</v>
      </c>
      <c r="E1890" t="s">
        <v>816</v>
      </c>
      <c r="F1890">
        <v>2024</v>
      </c>
      <c r="G1890" t="str">
        <f>TRIM(RIGHT(Table156[[#This Row],[Item-Codigo]], LEN(Table156[[#This Row],[Item-Codigo]]) - FIND("|", CONCATENATE(B1890), FIND("|", CONCATENATE(B1890)) + 1)))</f>
        <v>UND</v>
      </c>
      <c r="H189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1031-ME</v>
      </c>
      <c r="I1890" s="40" t="s">
        <v>508</v>
      </c>
      <c r="J189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0.144399775966667</v>
      </c>
      <c r="K1890" t="s">
        <v>53</v>
      </c>
    </row>
    <row r="1891" spans="1:11" x14ac:dyDescent="0.35">
      <c r="A1891" t="s">
        <v>256</v>
      </c>
      <c r="B1891" t="s">
        <v>1202</v>
      </c>
      <c r="C1891" t="s">
        <v>874</v>
      </c>
      <c r="D1891">
        <v>0.06</v>
      </c>
      <c r="E1891" t="s">
        <v>821</v>
      </c>
      <c r="F1891">
        <v>2024</v>
      </c>
      <c r="G1891" t="str">
        <f>TRIM(RIGHT(Table156[[#This Row],[Item-Codigo]], LEN(Table156[[#This Row],[Item-Codigo]]) - FIND("|", CONCATENATE(B1891), FIND("|", CONCATENATE(B1891)) + 1)))</f>
        <v>UND</v>
      </c>
      <c r="H189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9513</v>
      </c>
      <c r="I1891" s="40">
        <v>9513</v>
      </c>
      <c r="J189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0.06</v>
      </c>
      <c r="K1891" t="s">
        <v>60</v>
      </c>
    </row>
    <row r="1892" spans="1:11" x14ac:dyDescent="0.35">
      <c r="A1892" t="s">
        <v>256</v>
      </c>
      <c r="B1892" t="s">
        <v>1203</v>
      </c>
      <c r="C1892" t="s">
        <v>1204</v>
      </c>
      <c r="D1892">
        <v>0.38522894730000001</v>
      </c>
      <c r="E1892" t="s">
        <v>821</v>
      </c>
      <c r="F1892">
        <v>2024</v>
      </c>
      <c r="G1892" t="str">
        <f>TRIM(RIGHT(Table156[[#This Row],[Item-Codigo]], LEN(Table156[[#This Row],[Item-Codigo]]) - FIND("|", CONCATENATE(B1892), FIND("|", CONCATENATE(B1892)) + 1)))</f>
        <v>UND</v>
      </c>
      <c r="H189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0083-ME</v>
      </c>
      <c r="I1892" s="40" t="s">
        <v>470</v>
      </c>
      <c r="J189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0.38522894730000001</v>
      </c>
      <c r="K1892" t="s">
        <v>62</v>
      </c>
    </row>
    <row r="1893" spans="1:11" x14ac:dyDescent="0.35">
      <c r="A1893" t="s">
        <v>256</v>
      </c>
      <c r="B1893" t="s">
        <v>281</v>
      </c>
      <c r="C1893" t="s">
        <v>282</v>
      </c>
      <c r="D1893">
        <v>0.17150000000000001</v>
      </c>
      <c r="E1893" t="s">
        <v>816</v>
      </c>
      <c r="F1893">
        <v>2024</v>
      </c>
      <c r="G1893" t="str">
        <f>TRIM(RIGHT(Table156[[#This Row],[Item-Codigo]], LEN(Table156[[#This Row],[Item-Codigo]]) - FIND("|", CONCATENATE(B1893), FIND("|", CONCATENATE(B1893)) + 1)))</f>
        <v>UND</v>
      </c>
      <c r="H189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0077-ME</v>
      </c>
      <c r="I1893" s="40" t="s">
        <v>469</v>
      </c>
      <c r="J189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0.17150000000000001</v>
      </c>
      <c r="K1893" t="s">
        <v>63</v>
      </c>
    </row>
    <row r="1894" spans="1:11" x14ac:dyDescent="0.35">
      <c r="A1894" t="s">
        <v>256</v>
      </c>
      <c r="B1894" t="s">
        <v>283</v>
      </c>
      <c r="C1894" t="s">
        <v>262</v>
      </c>
      <c r="D1894">
        <v>0.21440072199999999</v>
      </c>
      <c r="E1894" t="s">
        <v>819</v>
      </c>
      <c r="F1894">
        <v>2024</v>
      </c>
      <c r="G1894" t="str">
        <f>TRIM(RIGHT(Table156[[#This Row],[Item-Codigo]], LEN(Table156[[#This Row],[Item-Codigo]]) - FIND("|", CONCATENATE(B1894), FIND("|", CONCATENATE(B1894)) + 1)))</f>
        <v>UND</v>
      </c>
      <c r="H189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0754-ME</v>
      </c>
      <c r="I1894" s="40" t="s">
        <v>482</v>
      </c>
      <c r="J189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0.21440072199999999</v>
      </c>
      <c r="K1894" t="s">
        <v>112</v>
      </c>
    </row>
    <row r="1895" spans="1:11" x14ac:dyDescent="0.35">
      <c r="A1895" t="s">
        <v>256</v>
      </c>
      <c r="B1895" t="s">
        <v>283</v>
      </c>
      <c r="C1895" t="s">
        <v>262</v>
      </c>
      <c r="D1895">
        <v>0.21453606554999999</v>
      </c>
      <c r="E1895" t="s">
        <v>816</v>
      </c>
      <c r="F1895">
        <v>2024</v>
      </c>
      <c r="G1895" t="str">
        <f>TRIM(RIGHT(Table156[[#This Row],[Item-Codigo]], LEN(Table156[[#This Row],[Item-Codigo]]) - FIND("|", CONCATENATE(B1895), FIND("|", CONCATENATE(B1895)) + 1)))</f>
        <v>UND</v>
      </c>
      <c r="H189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0754-ME</v>
      </c>
      <c r="I1895" s="40" t="s">
        <v>482</v>
      </c>
      <c r="J189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0.21453606554999999</v>
      </c>
      <c r="K1895" t="s">
        <v>112</v>
      </c>
    </row>
    <row r="1896" spans="1:11" x14ac:dyDescent="0.35">
      <c r="A1896" t="s">
        <v>256</v>
      </c>
      <c r="B1896" t="s">
        <v>284</v>
      </c>
      <c r="C1896" t="s">
        <v>285</v>
      </c>
      <c r="D1896">
        <v>9</v>
      </c>
      <c r="E1896" t="s">
        <v>821</v>
      </c>
      <c r="F1896">
        <v>2024</v>
      </c>
      <c r="G1896" t="str">
        <f>TRIM(RIGHT(Table156[[#This Row],[Item-Codigo]], LEN(Table156[[#This Row],[Item-Codigo]]) - FIND("|", CONCATENATE(B1896), FIND("|", CONCATENATE(B1896)) + 1)))</f>
        <v>UND</v>
      </c>
      <c r="H189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PIOLA (UNID)</v>
      </c>
      <c r="I1896" s="40" t="s">
        <v>558</v>
      </c>
      <c r="J189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</v>
      </c>
      <c r="K1896" t="s">
        <v>127</v>
      </c>
    </row>
    <row r="1897" spans="1:11" x14ac:dyDescent="0.35">
      <c r="A1897" t="s">
        <v>256</v>
      </c>
      <c r="B1897" t="s">
        <v>284</v>
      </c>
      <c r="C1897" t="s">
        <v>285</v>
      </c>
      <c r="D1897">
        <v>9</v>
      </c>
      <c r="E1897" t="s">
        <v>819</v>
      </c>
      <c r="F1897">
        <v>2024</v>
      </c>
      <c r="G1897" t="str">
        <f>TRIM(RIGHT(Table156[[#This Row],[Item-Codigo]], LEN(Table156[[#This Row],[Item-Codigo]]) - FIND("|", CONCATENATE(B1897), FIND("|", CONCATENATE(B1897)) + 1)))</f>
        <v>UND</v>
      </c>
      <c r="H189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PIOLA (UNID)</v>
      </c>
      <c r="I1897" s="40" t="s">
        <v>558</v>
      </c>
      <c r="J189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</v>
      </c>
      <c r="K1897" t="s">
        <v>127</v>
      </c>
    </row>
    <row r="1898" spans="1:11" x14ac:dyDescent="0.35">
      <c r="A1898" t="s">
        <v>256</v>
      </c>
      <c r="B1898" t="s">
        <v>888</v>
      </c>
      <c r="C1898" t="s">
        <v>263</v>
      </c>
      <c r="D1898">
        <v>0.2184006272</v>
      </c>
      <c r="E1898" t="s">
        <v>821</v>
      </c>
      <c r="F1898">
        <v>2024</v>
      </c>
      <c r="G1898" t="str">
        <f>TRIM(RIGHT(Table156[[#This Row],[Item-Codigo]], LEN(Table156[[#This Row],[Item-Codigo]]) - FIND("|", CONCATENATE(B1898), FIND("|", CONCATENATE(B1898)) + 1)))</f>
        <v>UND</v>
      </c>
      <c r="H189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0174-ME</v>
      </c>
      <c r="I1898" s="40" t="s">
        <v>477</v>
      </c>
      <c r="J189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0.2184006272</v>
      </c>
      <c r="K1898" t="s">
        <v>122</v>
      </c>
    </row>
    <row r="1899" spans="1:11" x14ac:dyDescent="0.35">
      <c r="A1899" t="s">
        <v>256</v>
      </c>
      <c r="B1899" t="s">
        <v>998</v>
      </c>
      <c r="C1899" t="s">
        <v>263</v>
      </c>
      <c r="D1899">
        <v>0.43</v>
      </c>
      <c r="E1899" t="s">
        <v>821</v>
      </c>
      <c r="F1899">
        <v>2024</v>
      </c>
      <c r="G1899" t="str">
        <f>TRIM(RIGHT(Table156[[#This Row],[Item-Codigo]], LEN(Table156[[#This Row],[Item-Codigo]]) - FIND("|", CONCATENATE(B1899), FIND("|", CONCATENATE(B1899)) + 1)))</f>
        <v>UND</v>
      </c>
      <c r="H189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1047-ME</v>
      </c>
      <c r="I1899" s="40" t="s">
        <v>953</v>
      </c>
      <c r="J189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0.43</v>
      </c>
      <c r="K1899" t="s">
        <v>998</v>
      </c>
    </row>
    <row r="1900" spans="1:11" x14ac:dyDescent="0.35">
      <c r="A1900" t="s">
        <v>256</v>
      </c>
      <c r="B1900" t="s">
        <v>287</v>
      </c>
      <c r="C1900" t="s">
        <v>263</v>
      </c>
      <c r="D1900">
        <v>0.2183999136</v>
      </c>
      <c r="E1900" t="s">
        <v>819</v>
      </c>
      <c r="F1900">
        <v>2024</v>
      </c>
      <c r="G1900" t="str">
        <f>TRIM(RIGHT(Table156[[#This Row],[Item-Codigo]], LEN(Table156[[#This Row],[Item-Codigo]]) - FIND("|", CONCATENATE(B1900), FIND("|", CONCATENATE(B1900)) + 1)))</f>
        <v>UND</v>
      </c>
      <c r="H190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0115-ME</v>
      </c>
      <c r="I1900" s="40" t="s">
        <v>474</v>
      </c>
      <c r="J190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0.2183999136</v>
      </c>
      <c r="K1900" t="s">
        <v>115</v>
      </c>
    </row>
    <row r="1901" spans="1:11" x14ac:dyDescent="0.35">
      <c r="A1901" t="s">
        <v>256</v>
      </c>
      <c r="B1901" t="s">
        <v>287</v>
      </c>
      <c r="C1901" t="s">
        <v>263</v>
      </c>
      <c r="D1901">
        <v>0.21840154305000001</v>
      </c>
      <c r="E1901" t="s">
        <v>816</v>
      </c>
      <c r="F1901">
        <v>2024</v>
      </c>
      <c r="G1901" t="str">
        <f>TRIM(RIGHT(Table156[[#This Row],[Item-Codigo]], LEN(Table156[[#This Row],[Item-Codigo]]) - FIND("|", CONCATENATE(B1901), FIND("|", CONCATENATE(B1901)) + 1)))</f>
        <v>UND</v>
      </c>
      <c r="H190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0115-ME</v>
      </c>
      <c r="I1901" s="40" t="s">
        <v>474</v>
      </c>
      <c r="J190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0.21840154305000001</v>
      </c>
      <c r="K1901" t="s">
        <v>115</v>
      </c>
    </row>
    <row r="1902" spans="1:11" x14ac:dyDescent="0.35">
      <c r="A1902" t="s">
        <v>256</v>
      </c>
      <c r="B1902" t="s">
        <v>288</v>
      </c>
      <c r="C1902" t="s">
        <v>262</v>
      </c>
      <c r="D1902">
        <v>0.21440000000000001</v>
      </c>
      <c r="E1902" t="s">
        <v>816</v>
      </c>
      <c r="F1902">
        <v>2024</v>
      </c>
      <c r="G1902" t="str">
        <f>TRIM(RIGHT(Table156[[#This Row],[Item-Codigo]], LEN(Table156[[#This Row],[Item-Codigo]]) - FIND("|", CONCATENATE(B1902), FIND("|", CONCATENATE(B1902)) + 1)))</f>
        <v>UND</v>
      </c>
      <c r="H190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0993-ME</v>
      </c>
      <c r="I1902" s="40" t="s">
        <v>490</v>
      </c>
      <c r="J190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0.21440000000000001</v>
      </c>
      <c r="K1902" t="s">
        <v>106</v>
      </c>
    </row>
    <row r="1903" spans="1:11" x14ac:dyDescent="0.35">
      <c r="A1903" t="s">
        <v>256</v>
      </c>
      <c r="B1903" t="s">
        <v>289</v>
      </c>
      <c r="C1903" t="s">
        <v>263</v>
      </c>
      <c r="D1903">
        <v>0.21840000000000001</v>
      </c>
      <c r="E1903" t="s">
        <v>819</v>
      </c>
      <c r="F1903">
        <v>2024</v>
      </c>
      <c r="G1903" t="str">
        <f>TRIM(RIGHT(Table156[[#This Row],[Item-Codigo]], LEN(Table156[[#This Row],[Item-Codigo]]) - FIND("|", CONCATENATE(B1903), FIND("|", CONCATENATE(B1903)) + 1)))</f>
        <v>UND</v>
      </c>
      <c r="H190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0994-ME</v>
      </c>
      <c r="I1903" s="40" t="s">
        <v>491</v>
      </c>
      <c r="J190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0.21840000000000001</v>
      </c>
      <c r="K1903" t="s">
        <v>118</v>
      </c>
    </row>
    <row r="1904" spans="1:11" x14ac:dyDescent="0.35">
      <c r="A1904" t="s">
        <v>256</v>
      </c>
      <c r="B1904" t="s">
        <v>290</v>
      </c>
      <c r="C1904" t="s">
        <v>262</v>
      </c>
      <c r="D1904">
        <v>0.22220000000000001</v>
      </c>
      <c r="E1904" t="s">
        <v>821</v>
      </c>
      <c r="F1904">
        <v>2024</v>
      </c>
      <c r="G1904" t="str">
        <f>TRIM(RIGHT(Table156[[#This Row],[Item-Codigo]], LEN(Table156[[#This Row],[Item-Codigo]]) - FIND("|", CONCATENATE(B1904), FIND("|", CONCATENATE(B1904)) + 1)))</f>
        <v>UND</v>
      </c>
      <c r="H190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0995-ME</v>
      </c>
      <c r="I1904" s="40" t="s">
        <v>492</v>
      </c>
      <c r="J190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0.22220000000000001</v>
      </c>
      <c r="K1904" t="s">
        <v>108</v>
      </c>
    </row>
    <row r="1905" spans="1:11" x14ac:dyDescent="0.35">
      <c r="A1905" t="s">
        <v>256</v>
      </c>
      <c r="B1905" t="s">
        <v>290</v>
      </c>
      <c r="C1905" t="s">
        <v>263</v>
      </c>
      <c r="D1905">
        <v>0.2274994457</v>
      </c>
      <c r="E1905" t="s">
        <v>816</v>
      </c>
      <c r="F1905">
        <v>2024</v>
      </c>
      <c r="G1905" t="str">
        <f>TRIM(RIGHT(Table156[[#This Row],[Item-Codigo]], LEN(Table156[[#This Row],[Item-Codigo]]) - FIND("|", CONCATENATE(B1905), FIND("|", CONCATENATE(B1905)) + 1)))</f>
        <v>UND</v>
      </c>
      <c r="H190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0995-ME</v>
      </c>
      <c r="I1905" s="40" t="s">
        <v>492</v>
      </c>
      <c r="J190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0.2274994457</v>
      </c>
      <c r="K1905" t="s">
        <v>108</v>
      </c>
    </row>
    <row r="1906" spans="1:11" x14ac:dyDescent="0.35">
      <c r="A1906" t="s">
        <v>256</v>
      </c>
      <c r="B1906" t="s">
        <v>291</v>
      </c>
      <c r="C1906" t="s">
        <v>262</v>
      </c>
      <c r="D1906">
        <v>0.21440000000000001</v>
      </c>
      <c r="E1906" t="s">
        <v>821</v>
      </c>
      <c r="F1906">
        <v>2024</v>
      </c>
      <c r="G1906" t="str">
        <f>TRIM(RIGHT(Table156[[#This Row],[Item-Codigo]], LEN(Table156[[#This Row],[Item-Codigo]]) - FIND("|", CONCATENATE(B1906), FIND("|", CONCATENATE(B1906)) + 1)))</f>
        <v>UND</v>
      </c>
      <c r="H190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0988-ME</v>
      </c>
      <c r="I1906" s="40" t="s">
        <v>489</v>
      </c>
      <c r="J190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0.21440000000000001</v>
      </c>
      <c r="K1906" t="s">
        <v>119</v>
      </c>
    </row>
    <row r="1907" spans="1:11" x14ac:dyDescent="0.35">
      <c r="A1907" t="s">
        <v>256</v>
      </c>
      <c r="B1907" t="s">
        <v>291</v>
      </c>
      <c r="C1907" t="s">
        <v>262</v>
      </c>
      <c r="D1907">
        <v>0.21440000000000001</v>
      </c>
      <c r="E1907" t="s">
        <v>819</v>
      </c>
      <c r="F1907">
        <v>2024</v>
      </c>
      <c r="G1907" t="str">
        <f>TRIM(RIGHT(Table156[[#This Row],[Item-Codigo]], LEN(Table156[[#This Row],[Item-Codigo]]) - FIND("|", CONCATENATE(B1907), FIND("|", CONCATENATE(B1907)) + 1)))</f>
        <v>UND</v>
      </c>
      <c r="H190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0988-ME</v>
      </c>
      <c r="I1907" s="40" t="s">
        <v>489</v>
      </c>
      <c r="J190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0.21440000000000001</v>
      </c>
      <c r="K1907" t="s">
        <v>119</v>
      </c>
    </row>
    <row r="1908" spans="1:11" x14ac:dyDescent="0.35">
      <c r="A1908" t="s">
        <v>256</v>
      </c>
      <c r="B1908" t="s">
        <v>292</v>
      </c>
      <c r="C1908" t="s">
        <v>262</v>
      </c>
      <c r="D1908">
        <v>0.22219982660000001</v>
      </c>
      <c r="E1908" t="s">
        <v>819</v>
      </c>
      <c r="F1908">
        <v>2024</v>
      </c>
      <c r="G1908" t="str">
        <f>TRIM(RIGHT(Table156[[#This Row],[Item-Codigo]], LEN(Table156[[#This Row],[Item-Codigo]]) - FIND("|", CONCATENATE(B1908), FIND("|", CONCATENATE(B1908)) + 1)))</f>
        <v>UND</v>
      </c>
      <c r="H190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0987-ME</v>
      </c>
      <c r="I1908" s="40" t="s">
        <v>488</v>
      </c>
      <c r="J190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0.22219982660000001</v>
      </c>
      <c r="K1908" t="s">
        <v>117</v>
      </c>
    </row>
    <row r="1909" spans="1:11" x14ac:dyDescent="0.35">
      <c r="A1909" t="s">
        <v>256</v>
      </c>
      <c r="B1909" t="s">
        <v>292</v>
      </c>
      <c r="C1909" t="s">
        <v>263</v>
      </c>
      <c r="D1909">
        <v>0.22520000000000001</v>
      </c>
      <c r="E1909" t="s">
        <v>818</v>
      </c>
      <c r="F1909">
        <v>2024</v>
      </c>
      <c r="G1909" t="str">
        <f>TRIM(RIGHT(Table156[[#This Row],[Item-Codigo]], LEN(Table156[[#This Row],[Item-Codigo]]) - FIND("|", CONCATENATE(B1909), FIND("|", CONCATENATE(B1909)) + 1)))</f>
        <v>UND</v>
      </c>
      <c r="H190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0987-ME</v>
      </c>
      <c r="I1909" s="40" t="s">
        <v>488</v>
      </c>
      <c r="J190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0.22520000000000001</v>
      </c>
      <c r="K1909" t="s">
        <v>117</v>
      </c>
    </row>
    <row r="1910" spans="1:11" x14ac:dyDescent="0.35">
      <c r="A1910" t="s">
        <v>256</v>
      </c>
      <c r="B1910" t="s">
        <v>293</v>
      </c>
      <c r="C1910" t="s">
        <v>262</v>
      </c>
      <c r="D1910">
        <v>0.21440010975000001</v>
      </c>
      <c r="E1910" t="s">
        <v>816</v>
      </c>
      <c r="F1910">
        <v>2024</v>
      </c>
      <c r="G1910" t="str">
        <f>TRIM(RIGHT(Table156[[#This Row],[Item-Codigo]], LEN(Table156[[#This Row],[Item-Codigo]]) - FIND("|", CONCATENATE(B1910), FIND("|", CONCATENATE(B1910)) + 1)))</f>
        <v>UND</v>
      </c>
      <c r="H191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0201-ME</v>
      </c>
      <c r="I1910" s="40" t="s">
        <v>478</v>
      </c>
      <c r="J191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0.21440010975000001</v>
      </c>
      <c r="K1910" t="s">
        <v>105</v>
      </c>
    </row>
    <row r="1911" spans="1:11" x14ac:dyDescent="0.35">
      <c r="A1911" t="s">
        <v>256</v>
      </c>
      <c r="B1911" t="s">
        <v>293</v>
      </c>
      <c r="C1911" t="s">
        <v>263</v>
      </c>
      <c r="D1911">
        <v>0.21</v>
      </c>
      <c r="E1911" t="s">
        <v>821</v>
      </c>
      <c r="F1911">
        <v>2024</v>
      </c>
      <c r="G1911" t="str">
        <f>TRIM(RIGHT(Table156[[#This Row],[Item-Codigo]], LEN(Table156[[#This Row],[Item-Codigo]]) - FIND("|", CONCATENATE(B1911), FIND("|", CONCATENATE(B1911)) + 1)))</f>
        <v>UND</v>
      </c>
      <c r="H191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0201-ME</v>
      </c>
      <c r="I1911" s="40" t="s">
        <v>478</v>
      </c>
      <c r="J191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</v>
      </c>
      <c r="K1911" t="s">
        <v>105</v>
      </c>
    </row>
    <row r="1912" spans="1:11" x14ac:dyDescent="0.35">
      <c r="A1912" t="s">
        <v>256</v>
      </c>
      <c r="B1912" t="s">
        <v>293</v>
      </c>
      <c r="C1912" t="s">
        <v>263</v>
      </c>
      <c r="D1912">
        <v>0.21</v>
      </c>
      <c r="E1912" t="s">
        <v>818</v>
      </c>
      <c r="F1912">
        <v>2024</v>
      </c>
      <c r="G1912" t="str">
        <f>TRIM(RIGHT(Table156[[#This Row],[Item-Codigo]], LEN(Table156[[#This Row],[Item-Codigo]]) - FIND("|", CONCATENATE(B1912), FIND("|", CONCATENATE(B1912)) + 1)))</f>
        <v>UND</v>
      </c>
      <c r="H191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0201-ME</v>
      </c>
      <c r="I1912" s="40" t="s">
        <v>478</v>
      </c>
      <c r="J191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</v>
      </c>
      <c r="K1912" t="s">
        <v>105</v>
      </c>
    </row>
    <row r="1913" spans="1:11" x14ac:dyDescent="0.35">
      <c r="A1913" t="s">
        <v>256</v>
      </c>
      <c r="B1913" t="s">
        <v>293</v>
      </c>
      <c r="C1913" t="s">
        <v>263</v>
      </c>
      <c r="D1913">
        <v>0.21</v>
      </c>
      <c r="E1913" t="s">
        <v>819</v>
      </c>
      <c r="F1913">
        <v>2024</v>
      </c>
      <c r="G1913" t="str">
        <f>TRIM(RIGHT(Table156[[#This Row],[Item-Codigo]], LEN(Table156[[#This Row],[Item-Codigo]]) - FIND("|", CONCATENATE(B1913), FIND("|", CONCATENATE(B1913)) + 1)))</f>
        <v>UND</v>
      </c>
      <c r="H191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0201-ME</v>
      </c>
      <c r="I1913" s="40" t="s">
        <v>478</v>
      </c>
      <c r="J191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</v>
      </c>
      <c r="K1913" t="s">
        <v>105</v>
      </c>
    </row>
    <row r="1914" spans="1:11" x14ac:dyDescent="0.35">
      <c r="A1914" t="s">
        <v>256</v>
      </c>
      <c r="B1914" t="s">
        <v>294</v>
      </c>
      <c r="C1914" t="s">
        <v>263</v>
      </c>
      <c r="D1914">
        <v>0.19719999999999999</v>
      </c>
      <c r="E1914" t="s">
        <v>816</v>
      </c>
      <c r="F1914">
        <v>2024</v>
      </c>
      <c r="G1914" t="str">
        <f>TRIM(RIGHT(Table156[[#This Row],[Item-Codigo]], LEN(Table156[[#This Row],[Item-Codigo]]) - FIND("|", CONCATENATE(B1914), FIND("|", CONCATENATE(B1914)) + 1)))</f>
        <v>UND</v>
      </c>
      <c r="H191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0111-ME</v>
      </c>
      <c r="I1914" s="40" t="s">
        <v>472</v>
      </c>
      <c r="J191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0.19719999999999999</v>
      </c>
      <c r="K1914" t="s">
        <v>125</v>
      </c>
    </row>
    <row r="1915" spans="1:11" x14ac:dyDescent="0.35">
      <c r="A1915" t="s">
        <v>256</v>
      </c>
      <c r="B1915" t="s">
        <v>892</v>
      </c>
      <c r="C1915" t="s">
        <v>263</v>
      </c>
      <c r="D1915">
        <v>0.24779965000000001</v>
      </c>
      <c r="E1915" t="s">
        <v>818</v>
      </c>
      <c r="F1915">
        <v>2024</v>
      </c>
      <c r="G1915" t="str">
        <f>TRIM(RIGHT(Table156[[#This Row],[Item-Codigo]], LEN(Table156[[#This Row],[Item-Codigo]]) - FIND("|", CONCATENATE(B1915), FIND("|", CONCATENATE(B1915)) + 1)))</f>
        <v>UND</v>
      </c>
      <c r="H191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0986-ME</v>
      </c>
      <c r="I1915" s="40" t="s">
        <v>487</v>
      </c>
      <c r="J191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0.24779965000000001</v>
      </c>
      <c r="K1915" t="s">
        <v>120</v>
      </c>
    </row>
    <row r="1916" spans="1:11" x14ac:dyDescent="0.35">
      <c r="A1916" t="s">
        <v>256</v>
      </c>
      <c r="B1916" t="s">
        <v>892</v>
      </c>
      <c r="C1916" t="s">
        <v>267</v>
      </c>
      <c r="D1916">
        <v>0.21099999999999999</v>
      </c>
      <c r="E1916" t="s">
        <v>816</v>
      </c>
      <c r="F1916">
        <v>2024</v>
      </c>
      <c r="G1916" t="str">
        <f>TRIM(RIGHT(Table156[[#This Row],[Item-Codigo]], LEN(Table156[[#This Row],[Item-Codigo]]) - FIND("|", CONCATENATE(B1916), FIND("|", CONCATENATE(B1916)) + 1)))</f>
        <v>UND</v>
      </c>
      <c r="H191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0986-ME</v>
      </c>
      <c r="I1916" s="40" t="s">
        <v>487</v>
      </c>
      <c r="J191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0.21099999999999999</v>
      </c>
      <c r="K1916" t="s">
        <v>120</v>
      </c>
    </row>
    <row r="1917" spans="1:11" x14ac:dyDescent="0.35">
      <c r="A1917" t="s">
        <v>256</v>
      </c>
      <c r="B1917" t="s">
        <v>295</v>
      </c>
      <c r="C1917" t="s">
        <v>262</v>
      </c>
      <c r="D1917">
        <v>0.2144003451</v>
      </c>
      <c r="E1917" t="s">
        <v>818</v>
      </c>
      <c r="F1917">
        <v>2024</v>
      </c>
      <c r="G1917" t="str">
        <f>TRIM(RIGHT(Table156[[#This Row],[Item-Codigo]], LEN(Table156[[#This Row],[Item-Codigo]]) - FIND("|", CONCATENATE(B1917), FIND("|", CONCATENATE(B1917)) + 1)))</f>
        <v>UND</v>
      </c>
      <c r="H191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0984-ME</v>
      </c>
      <c r="I1917" s="40" t="s">
        <v>485</v>
      </c>
      <c r="J191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0.2144003451</v>
      </c>
      <c r="K1917" t="s">
        <v>123</v>
      </c>
    </row>
    <row r="1918" spans="1:11" x14ac:dyDescent="0.35">
      <c r="A1918" t="s">
        <v>256</v>
      </c>
      <c r="B1918" t="s">
        <v>296</v>
      </c>
      <c r="C1918" t="s">
        <v>262</v>
      </c>
      <c r="D1918">
        <v>0.21438095230000001</v>
      </c>
      <c r="E1918" t="s">
        <v>819</v>
      </c>
      <c r="F1918">
        <v>2024</v>
      </c>
      <c r="G1918" t="str">
        <f>TRIM(RIGHT(Table156[[#This Row],[Item-Codigo]], LEN(Table156[[#This Row],[Item-Codigo]]) - FIND("|", CONCATENATE(B1918), FIND("|", CONCATENATE(B1918)) + 1)))</f>
        <v>UND</v>
      </c>
      <c r="H191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1018-ME</v>
      </c>
      <c r="I1918" s="40" t="s">
        <v>496</v>
      </c>
      <c r="J191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0.21438095230000001</v>
      </c>
      <c r="K1918" t="s">
        <v>109</v>
      </c>
    </row>
    <row r="1919" spans="1:11" x14ac:dyDescent="0.35">
      <c r="A1919" t="s">
        <v>256</v>
      </c>
      <c r="B1919" t="s">
        <v>296</v>
      </c>
      <c r="C1919" t="s">
        <v>263</v>
      </c>
      <c r="D1919">
        <v>0.21840001735</v>
      </c>
      <c r="E1919" t="s">
        <v>819</v>
      </c>
      <c r="F1919">
        <v>2024</v>
      </c>
      <c r="G1919" t="str">
        <f>TRIM(RIGHT(Table156[[#This Row],[Item-Codigo]], LEN(Table156[[#This Row],[Item-Codigo]]) - FIND("|", CONCATENATE(B1919), FIND("|", CONCATENATE(B1919)) + 1)))</f>
        <v>UND</v>
      </c>
      <c r="H191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1018-ME</v>
      </c>
      <c r="I1919" s="40" t="s">
        <v>496</v>
      </c>
      <c r="J191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0.21840001735</v>
      </c>
      <c r="K1919" t="s">
        <v>109</v>
      </c>
    </row>
    <row r="1920" spans="1:11" x14ac:dyDescent="0.35">
      <c r="A1920" t="s">
        <v>256</v>
      </c>
      <c r="B1920" t="s">
        <v>893</v>
      </c>
      <c r="C1920" t="s">
        <v>263</v>
      </c>
      <c r="D1920">
        <v>0.21840098899999999</v>
      </c>
      <c r="E1920" t="s">
        <v>818</v>
      </c>
      <c r="F1920">
        <v>2024</v>
      </c>
      <c r="G1920" t="str">
        <f>TRIM(RIGHT(Table156[[#This Row],[Item-Codigo]], LEN(Table156[[#This Row],[Item-Codigo]]) - FIND("|", CONCATENATE(B1920), FIND("|", CONCATENATE(B1920)) + 1)))</f>
        <v>UND</v>
      </c>
      <c r="H192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0983-ME</v>
      </c>
      <c r="I1920" s="40" t="s">
        <v>484</v>
      </c>
      <c r="J192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0.21840098899999999</v>
      </c>
      <c r="K1920" t="s">
        <v>113</v>
      </c>
    </row>
    <row r="1921" spans="1:11" x14ac:dyDescent="0.35">
      <c r="A1921" t="s">
        <v>256</v>
      </c>
      <c r="B1921" t="s">
        <v>299</v>
      </c>
      <c r="C1921" t="s">
        <v>263</v>
      </c>
      <c r="D1921">
        <v>0.21840000000000001</v>
      </c>
      <c r="E1921" t="s">
        <v>816</v>
      </c>
      <c r="F1921">
        <v>2024</v>
      </c>
      <c r="G1921" t="str">
        <f>TRIM(RIGHT(Table156[[#This Row],[Item-Codigo]], LEN(Table156[[#This Row],[Item-Codigo]]) - FIND("|", CONCATENATE(B1921), FIND("|", CONCATENATE(B1921)) + 1)))</f>
        <v>UND</v>
      </c>
      <c r="H192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0112-ME</v>
      </c>
      <c r="I1921" s="40" t="s">
        <v>473</v>
      </c>
      <c r="J192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0.21840000000000001</v>
      </c>
      <c r="K1921" t="s">
        <v>124</v>
      </c>
    </row>
    <row r="1922" spans="1:11" x14ac:dyDescent="0.35">
      <c r="A1922" t="s">
        <v>256</v>
      </c>
      <c r="B1922" t="s">
        <v>300</v>
      </c>
      <c r="C1922" t="s">
        <v>262</v>
      </c>
      <c r="D1922">
        <v>0.21440000000000001</v>
      </c>
      <c r="E1922" t="s">
        <v>821</v>
      </c>
      <c r="F1922">
        <v>2024</v>
      </c>
      <c r="G1922" t="str">
        <f>TRIM(RIGHT(Table156[[#This Row],[Item-Codigo]], LEN(Table156[[#This Row],[Item-Codigo]]) - FIND("|", CONCATENATE(B1922), FIND("|", CONCATENATE(B1922)) + 1)))</f>
        <v>UND</v>
      </c>
      <c r="H192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0751-ME</v>
      </c>
      <c r="I1922" s="40" t="s">
        <v>480</v>
      </c>
      <c r="J192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0.21440000000000001</v>
      </c>
      <c r="K1922" t="s">
        <v>110</v>
      </c>
    </row>
    <row r="1923" spans="1:11" x14ac:dyDescent="0.35">
      <c r="A1923" t="s">
        <v>256</v>
      </c>
      <c r="B1923" t="s">
        <v>301</v>
      </c>
      <c r="C1923" t="s">
        <v>262</v>
      </c>
      <c r="D1923">
        <v>0.2221997396</v>
      </c>
      <c r="E1923" t="s">
        <v>818</v>
      </c>
      <c r="F1923">
        <v>2024</v>
      </c>
      <c r="G1923" t="str">
        <f>TRIM(RIGHT(Table156[[#This Row],[Item-Codigo]], LEN(Table156[[#This Row],[Item-Codigo]]) - FIND("|", CONCATENATE(B1923), FIND("|", CONCATENATE(B1923)) + 1)))</f>
        <v>UND</v>
      </c>
      <c r="H192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0171-ME</v>
      </c>
      <c r="I1923" s="40" t="s">
        <v>476</v>
      </c>
      <c r="J192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0.2221997396</v>
      </c>
      <c r="K1923" t="s">
        <v>107</v>
      </c>
    </row>
    <row r="1924" spans="1:11" x14ac:dyDescent="0.35">
      <c r="A1924" t="s">
        <v>256</v>
      </c>
      <c r="B1924" t="s">
        <v>301</v>
      </c>
      <c r="C1924" t="s">
        <v>262</v>
      </c>
      <c r="D1924">
        <v>0.22220000000000001</v>
      </c>
      <c r="E1924" t="s">
        <v>816</v>
      </c>
      <c r="F1924">
        <v>2024</v>
      </c>
      <c r="G1924" t="str">
        <f>TRIM(RIGHT(Table156[[#This Row],[Item-Codigo]], LEN(Table156[[#This Row],[Item-Codigo]]) - FIND("|", CONCATENATE(B1924), FIND("|", CONCATENATE(B1924)) + 1)))</f>
        <v>UND</v>
      </c>
      <c r="H192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0171-ME</v>
      </c>
      <c r="I1924" s="40" t="s">
        <v>476</v>
      </c>
      <c r="J192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0.22220000000000001</v>
      </c>
      <c r="K1924" t="s">
        <v>107</v>
      </c>
    </row>
    <row r="1925" spans="1:11" x14ac:dyDescent="0.35">
      <c r="A1925" t="s">
        <v>256</v>
      </c>
      <c r="B1925" t="s">
        <v>301</v>
      </c>
      <c r="C1925" t="s">
        <v>263</v>
      </c>
      <c r="D1925">
        <v>0.22750000000000001</v>
      </c>
      <c r="E1925" t="s">
        <v>819</v>
      </c>
      <c r="F1925">
        <v>2024</v>
      </c>
      <c r="G1925" t="str">
        <f>TRIM(RIGHT(Table156[[#This Row],[Item-Codigo]], LEN(Table156[[#This Row],[Item-Codigo]]) - FIND("|", CONCATENATE(B1925), FIND("|", CONCATENATE(B1925)) + 1)))</f>
        <v>UND</v>
      </c>
      <c r="H192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0171-ME</v>
      </c>
      <c r="I1925" s="40" t="s">
        <v>476</v>
      </c>
      <c r="J192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0.22750000000000001</v>
      </c>
      <c r="K1925" t="s">
        <v>107</v>
      </c>
    </row>
    <row r="1926" spans="1:11" x14ac:dyDescent="0.35">
      <c r="A1926" t="s">
        <v>256</v>
      </c>
      <c r="B1926" t="s">
        <v>894</v>
      </c>
      <c r="C1926" t="s">
        <v>263</v>
      </c>
      <c r="D1926">
        <v>0.2183996023</v>
      </c>
      <c r="E1926" t="s">
        <v>821</v>
      </c>
      <c r="F1926">
        <v>2024</v>
      </c>
      <c r="G1926" t="str">
        <f>TRIM(RIGHT(Table156[[#This Row],[Item-Codigo]], LEN(Table156[[#This Row],[Item-Codigo]]) - FIND("|", CONCATENATE(B1926), FIND("|", CONCATENATE(B1926)) + 1)))</f>
        <v>UND</v>
      </c>
      <c r="H192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0752-ME</v>
      </c>
      <c r="I1926" s="40" t="s">
        <v>481</v>
      </c>
      <c r="J192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0.2183996023</v>
      </c>
      <c r="K1926" t="s">
        <v>116</v>
      </c>
    </row>
    <row r="1927" spans="1:11" x14ac:dyDescent="0.35">
      <c r="A1927" t="s">
        <v>302</v>
      </c>
      <c r="B1927" t="s">
        <v>303</v>
      </c>
      <c r="C1927" t="s">
        <v>304</v>
      </c>
      <c r="D1927">
        <v>3.1</v>
      </c>
      <c r="E1927" t="s">
        <v>816</v>
      </c>
      <c r="F1927">
        <v>2024</v>
      </c>
      <c r="G1927" t="str">
        <f>TRIM(RIGHT(Table156[[#This Row],[Item-Codigo]], LEN(Table156[[#This Row],[Item-Codigo]]) - FIND("|", CONCATENATE(B1927), FIND("|", CONCATENATE(B1927)) + 1)))</f>
        <v>KG</v>
      </c>
      <c r="H192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511.2</v>
      </c>
      <c r="I1927" s="40" t="s">
        <v>545</v>
      </c>
      <c r="J192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3100</v>
      </c>
      <c r="K1927" t="s">
        <v>130</v>
      </c>
    </row>
    <row r="1928" spans="1:11" x14ac:dyDescent="0.35">
      <c r="A1928" t="s">
        <v>302</v>
      </c>
      <c r="B1928" t="s">
        <v>303</v>
      </c>
      <c r="C1928" t="s">
        <v>215</v>
      </c>
      <c r="D1928">
        <v>2.75</v>
      </c>
      <c r="E1928" t="s">
        <v>819</v>
      </c>
      <c r="F1928">
        <v>2024</v>
      </c>
      <c r="G1928" t="str">
        <f>TRIM(RIGHT(Table156[[#This Row],[Item-Codigo]], LEN(Table156[[#This Row],[Item-Codigo]]) - FIND("|", CONCATENATE(B1928), FIND("|", CONCATENATE(B1928)) + 1)))</f>
        <v>KG</v>
      </c>
      <c r="H192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511.2</v>
      </c>
      <c r="I1928" s="40" t="s">
        <v>545</v>
      </c>
      <c r="J192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2750</v>
      </c>
      <c r="K1928" t="s">
        <v>130</v>
      </c>
    </row>
    <row r="1929" spans="1:11" x14ac:dyDescent="0.35">
      <c r="A1929" t="s">
        <v>305</v>
      </c>
      <c r="B1929" t="s">
        <v>306</v>
      </c>
      <c r="C1929" t="s">
        <v>307</v>
      </c>
      <c r="D1929">
        <v>5.6</v>
      </c>
      <c r="E1929" t="s">
        <v>821</v>
      </c>
      <c r="F1929">
        <v>2024</v>
      </c>
      <c r="G1929" t="str">
        <f>TRIM(RIGHT(Table156[[#This Row],[Item-Codigo]], LEN(Table156[[#This Row],[Item-Codigo]]) - FIND("|", CONCATENATE(B1929), FIND("|", CONCATENATE(B1929)) + 1)))</f>
        <v>KG</v>
      </c>
      <c r="H192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732</v>
      </c>
      <c r="I1929" s="40">
        <v>732</v>
      </c>
      <c r="J192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1929" t="s">
        <v>1227</v>
      </c>
    </row>
    <row r="1930" spans="1:11" x14ac:dyDescent="0.35">
      <c r="A1930" t="s">
        <v>305</v>
      </c>
      <c r="B1930" t="s">
        <v>306</v>
      </c>
      <c r="C1930" t="s">
        <v>307</v>
      </c>
      <c r="D1930">
        <v>5.6</v>
      </c>
      <c r="E1930" t="s">
        <v>818</v>
      </c>
      <c r="F1930">
        <v>2024</v>
      </c>
      <c r="G1930" t="str">
        <f>TRIM(RIGHT(Table156[[#This Row],[Item-Codigo]], LEN(Table156[[#This Row],[Item-Codigo]]) - FIND("|", CONCATENATE(B1930), FIND("|", CONCATENATE(B1930)) + 1)))</f>
        <v>KG</v>
      </c>
      <c r="H193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732</v>
      </c>
      <c r="I1930" s="40">
        <v>732</v>
      </c>
      <c r="J193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1930" t="s">
        <v>1227</v>
      </c>
    </row>
    <row r="1931" spans="1:11" x14ac:dyDescent="0.35">
      <c r="A1931" t="s">
        <v>305</v>
      </c>
      <c r="B1931" t="s">
        <v>306</v>
      </c>
      <c r="C1931" t="s">
        <v>307</v>
      </c>
      <c r="D1931">
        <v>5.6</v>
      </c>
      <c r="E1931" t="s">
        <v>819</v>
      </c>
      <c r="F1931">
        <v>2024</v>
      </c>
      <c r="G1931" t="str">
        <f>TRIM(RIGHT(Table156[[#This Row],[Item-Codigo]], LEN(Table156[[#This Row],[Item-Codigo]]) - FIND("|", CONCATENATE(B1931), FIND("|", CONCATENATE(B1931)) + 1)))</f>
        <v>KG</v>
      </c>
      <c r="H193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732</v>
      </c>
      <c r="I1931" s="40">
        <v>732</v>
      </c>
      <c r="J193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1931" t="s">
        <v>1227</v>
      </c>
    </row>
    <row r="1932" spans="1:11" x14ac:dyDescent="0.35">
      <c r="A1932" t="s">
        <v>305</v>
      </c>
      <c r="B1932" t="s">
        <v>306</v>
      </c>
      <c r="C1932" t="s">
        <v>307</v>
      </c>
      <c r="D1932">
        <v>5.6</v>
      </c>
      <c r="E1932" t="s">
        <v>816</v>
      </c>
      <c r="F1932">
        <v>2024</v>
      </c>
      <c r="G1932" t="str">
        <f>TRIM(RIGHT(Table156[[#This Row],[Item-Codigo]], LEN(Table156[[#This Row],[Item-Codigo]]) - FIND("|", CONCATENATE(B1932), FIND("|", CONCATENATE(B1932)) + 1)))</f>
        <v>KG</v>
      </c>
      <c r="H193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732</v>
      </c>
      <c r="I1932" s="40">
        <v>732</v>
      </c>
      <c r="J193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1932" t="s">
        <v>1227</v>
      </c>
    </row>
    <row r="1933" spans="1:11" x14ac:dyDescent="0.35">
      <c r="A1933" t="s">
        <v>305</v>
      </c>
      <c r="B1933" t="s">
        <v>308</v>
      </c>
      <c r="C1933" t="s">
        <v>309</v>
      </c>
      <c r="D1933">
        <v>9.1999999999999993</v>
      </c>
      <c r="E1933" t="s">
        <v>821</v>
      </c>
      <c r="F1933">
        <v>2024</v>
      </c>
      <c r="G1933" t="str">
        <f>TRIM(RIGHT(Table156[[#This Row],[Item-Codigo]], LEN(Table156[[#This Row],[Item-Codigo]]) - FIND("|", CONCATENATE(B1933), FIND("|", CONCATENATE(B1933)) + 1)))</f>
        <v>KG</v>
      </c>
      <c r="H193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1039</v>
      </c>
      <c r="I1933" s="40">
        <v>1039</v>
      </c>
      <c r="J193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9200</v>
      </c>
      <c r="K1933" t="s">
        <v>67</v>
      </c>
    </row>
    <row r="1934" spans="1:11" x14ac:dyDescent="0.35">
      <c r="A1934" t="s">
        <v>305</v>
      </c>
      <c r="B1934" t="s">
        <v>312</v>
      </c>
      <c r="C1934" t="s">
        <v>313</v>
      </c>
      <c r="D1934">
        <v>7.24</v>
      </c>
      <c r="E1934" t="s">
        <v>818</v>
      </c>
      <c r="F1934">
        <v>2024</v>
      </c>
      <c r="G1934" t="str">
        <f>TRIM(RIGHT(Table156[[#This Row],[Item-Codigo]], LEN(Table156[[#This Row],[Item-Codigo]]) - FIND("|", CONCATENATE(B1934), FIND("|", CONCATENATE(B1934)) + 1)))</f>
        <v>KG</v>
      </c>
      <c r="H193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317</v>
      </c>
      <c r="I1934" s="40">
        <v>317</v>
      </c>
      <c r="J193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7240</v>
      </c>
      <c r="K1934" t="s">
        <v>69</v>
      </c>
    </row>
    <row r="1935" spans="1:11" x14ac:dyDescent="0.35">
      <c r="A1935" t="s">
        <v>305</v>
      </c>
      <c r="B1935" t="s">
        <v>312</v>
      </c>
      <c r="C1935" t="s">
        <v>313</v>
      </c>
      <c r="D1935">
        <v>7.24</v>
      </c>
      <c r="E1935" t="s">
        <v>819</v>
      </c>
      <c r="F1935">
        <v>2024</v>
      </c>
      <c r="G1935" t="str">
        <f>TRIM(RIGHT(Table156[[#This Row],[Item-Codigo]], LEN(Table156[[#This Row],[Item-Codigo]]) - FIND("|", CONCATENATE(B1935), FIND("|", CONCATENATE(B1935)) + 1)))</f>
        <v>KG</v>
      </c>
      <c r="H193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317</v>
      </c>
      <c r="I1935" s="40">
        <v>317</v>
      </c>
      <c r="J193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7240</v>
      </c>
      <c r="K1935" t="s">
        <v>69</v>
      </c>
    </row>
    <row r="1936" spans="1:11" x14ac:dyDescent="0.35">
      <c r="A1936" t="s">
        <v>305</v>
      </c>
      <c r="B1936" t="s">
        <v>312</v>
      </c>
      <c r="C1936" t="s">
        <v>313</v>
      </c>
      <c r="D1936">
        <v>7.24</v>
      </c>
      <c r="E1936" t="s">
        <v>816</v>
      </c>
      <c r="F1936">
        <v>2024</v>
      </c>
      <c r="G1936" t="str">
        <f>TRIM(RIGHT(Table156[[#This Row],[Item-Codigo]], LEN(Table156[[#This Row],[Item-Codigo]]) - FIND("|", CONCATENATE(B1936), FIND("|", CONCATENATE(B1936)) + 1)))</f>
        <v>KG</v>
      </c>
      <c r="H193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317</v>
      </c>
      <c r="I1936" s="40">
        <v>317</v>
      </c>
      <c r="J193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7240</v>
      </c>
      <c r="K1936" t="s">
        <v>69</v>
      </c>
    </row>
    <row r="1937" spans="1:11" x14ac:dyDescent="0.35">
      <c r="A1937" t="s">
        <v>305</v>
      </c>
      <c r="B1937" t="s">
        <v>314</v>
      </c>
      <c r="C1937" t="s">
        <v>315</v>
      </c>
      <c r="D1937">
        <v>6</v>
      </c>
      <c r="E1937" t="s">
        <v>821</v>
      </c>
      <c r="F1937">
        <v>2024</v>
      </c>
      <c r="G1937" t="str">
        <f>TRIM(RIGHT(Table156[[#This Row],[Item-Codigo]], LEN(Table156[[#This Row],[Item-Codigo]]) - FIND("|", CONCATENATE(B1937), FIND("|", CONCATENATE(B1937)) + 1)))</f>
        <v>KG</v>
      </c>
      <c r="H193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901</v>
      </c>
      <c r="I1937" s="40">
        <v>901</v>
      </c>
      <c r="J193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1937" t="s">
        <v>70</v>
      </c>
    </row>
    <row r="1938" spans="1:11" x14ac:dyDescent="0.35">
      <c r="A1938" t="s">
        <v>305</v>
      </c>
      <c r="B1938" t="s">
        <v>314</v>
      </c>
      <c r="C1938" t="s">
        <v>315</v>
      </c>
      <c r="D1938">
        <v>6</v>
      </c>
      <c r="E1938" t="s">
        <v>819</v>
      </c>
      <c r="F1938">
        <v>2024</v>
      </c>
      <c r="G1938" t="str">
        <f>TRIM(RIGHT(Table156[[#This Row],[Item-Codigo]], LEN(Table156[[#This Row],[Item-Codigo]]) - FIND("|", CONCATENATE(B1938), FIND("|", CONCATENATE(B1938)) + 1)))</f>
        <v>KG</v>
      </c>
      <c r="H193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901</v>
      </c>
      <c r="I1938" s="40">
        <v>901</v>
      </c>
      <c r="J193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1938" t="s">
        <v>70</v>
      </c>
    </row>
    <row r="1939" spans="1:11" x14ac:dyDescent="0.35">
      <c r="A1939" t="s">
        <v>305</v>
      </c>
      <c r="B1939" t="s">
        <v>314</v>
      </c>
      <c r="C1939" t="s">
        <v>315</v>
      </c>
      <c r="D1939">
        <v>6</v>
      </c>
      <c r="E1939" t="s">
        <v>816</v>
      </c>
      <c r="F1939">
        <v>2024</v>
      </c>
      <c r="G1939" t="str">
        <f>TRIM(RIGHT(Table156[[#This Row],[Item-Codigo]], LEN(Table156[[#This Row],[Item-Codigo]]) - FIND("|", CONCATENATE(B1939), FIND("|", CONCATENATE(B1939)) + 1)))</f>
        <v>KG</v>
      </c>
      <c r="H193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901</v>
      </c>
      <c r="I1939" s="40">
        <v>901</v>
      </c>
      <c r="J193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1939" t="s">
        <v>70</v>
      </c>
    </row>
    <row r="1940" spans="1:11" x14ac:dyDescent="0.35">
      <c r="A1940" t="s">
        <v>305</v>
      </c>
      <c r="B1940" t="s">
        <v>316</v>
      </c>
      <c r="C1940" t="s">
        <v>317</v>
      </c>
      <c r="D1940">
        <v>65</v>
      </c>
      <c r="E1940" t="s">
        <v>819</v>
      </c>
      <c r="F1940">
        <v>2024</v>
      </c>
      <c r="G1940" t="str">
        <f>TRIM(RIGHT(Table156[[#This Row],[Item-Codigo]], LEN(Table156[[#This Row],[Item-Codigo]]) - FIND("|", CONCATENATE(B1940), FIND("|", CONCATENATE(B1940)) + 1)))</f>
        <v>KG</v>
      </c>
      <c r="H194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929</v>
      </c>
      <c r="I1940" s="40">
        <v>929</v>
      </c>
      <c r="J194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65000</v>
      </c>
      <c r="K1940" t="s">
        <v>71</v>
      </c>
    </row>
    <row r="1941" spans="1:11" x14ac:dyDescent="0.35">
      <c r="A1941" t="s">
        <v>305</v>
      </c>
      <c r="B1941" t="s">
        <v>316</v>
      </c>
      <c r="C1941" t="s">
        <v>327</v>
      </c>
      <c r="D1941">
        <v>65</v>
      </c>
      <c r="E1941" t="s">
        <v>818</v>
      </c>
      <c r="F1941">
        <v>2024</v>
      </c>
      <c r="G1941" t="str">
        <f>TRIM(RIGHT(Table156[[#This Row],[Item-Codigo]], LEN(Table156[[#This Row],[Item-Codigo]]) - FIND("|", CONCATENATE(B1941), FIND("|", CONCATENATE(B1941)) + 1)))</f>
        <v>KG</v>
      </c>
      <c r="H194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929</v>
      </c>
      <c r="I1941" s="40">
        <v>929</v>
      </c>
      <c r="J194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65000</v>
      </c>
      <c r="K1941" t="s">
        <v>71</v>
      </c>
    </row>
    <row r="1942" spans="1:11" x14ac:dyDescent="0.35">
      <c r="A1942" t="s">
        <v>305</v>
      </c>
      <c r="B1942" t="s">
        <v>316</v>
      </c>
      <c r="C1942" t="s">
        <v>327</v>
      </c>
      <c r="D1942">
        <v>65</v>
      </c>
      <c r="E1942" t="s">
        <v>816</v>
      </c>
      <c r="F1942">
        <v>2024</v>
      </c>
      <c r="G1942" t="str">
        <f>TRIM(RIGHT(Table156[[#This Row],[Item-Codigo]], LEN(Table156[[#This Row],[Item-Codigo]]) - FIND("|", CONCATENATE(B1942), FIND("|", CONCATENATE(B1942)) + 1)))</f>
        <v>KG</v>
      </c>
      <c r="H194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929</v>
      </c>
      <c r="I1942" s="40">
        <v>929</v>
      </c>
      <c r="J194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65000</v>
      </c>
      <c r="K1942" t="s">
        <v>71</v>
      </c>
    </row>
    <row r="1943" spans="1:11" x14ac:dyDescent="0.35">
      <c r="A1943" t="s">
        <v>305</v>
      </c>
      <c r="B1943" t="s">
        <v>320</v>
      </c>
      <c r="C1943" t="s">
        <v>321</v>
      </c>
      <c r="D1943">
        <v>8.75</v>
      </c>
      <c r="E1943" t="s">
        <v>821</v>
      </c>
      <c r="F1943">
        <v>2024</v>
      </c>
      <c r="G1943" t="str">
        <f>TRIM(RIGHT(Table156[[#This Row],[Item-Codigo]], LEN(Table156[[#This Row],[Item-Codigo]]) - FIND("|", CONCATENATE(B1943), FIND("|", CONCATENATE(B1943)) + 1)))</f>
        <v>KG</v>
      </c>
      <c r="H194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1009</v>
      </c>
      <c r="I1943" s="40">
        <v>1009</v>
      </c>
      <c r="J194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8750</v>
      </c>
      <c r="K1943" t="s">
        <v>73</v>
      </c>
    </row>
    <row r="1944" spans="1:11" x14ac:dyDescent="0.35">
      <c r="A1944" t="s">
        <v>305</v>
      </c>
      <c r="B1944" t="s">
        <v>320</v>
      </c>
      <c r="C1944" t="s">
        <v>321</v>
      </c>
      <c r="D1944">
        <v>8.75</v>
      </c>
      <c r="E1944" t="s">
        <v>819</v>
      </c>
      <c r="F1944">
        <v>2024</v>
      </c>
      <c r="G1944" t="str">
        <f>TRIM(RIGHT(Table156[[#This Row],[Item-Codigo]], LEN(Table156[[#This Row],[Item-Codigo]]) - FIND("|", CONCATENATE(B1944), FIND("|", CONCATENATE(B1944)) + 1)))</f>
        <v>KG</v>
      </c>
      <c r="H194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1009</v>
      </c>
      <c r="I1944" s="40">
        <v>1009</v>
      </c>
      <c r="J194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8750</v>
      </c>
      <c r="K1944" t="s">
        <v>73</v>
      </c>
    </row>
    <row r="1945" spans="1:11" x14ac:dyDescent="0.35">
      <c r="A1945" t="s">
        <v>305</v>
      </c>
      <c r="B1945" t="s">
        <v>322</v>
      </c>
      <c r="C1945" t="s">
        <v>323</v>
      </c>
      <c r="D1945">
        <v>12.88</v>
      </c>
      <c r="E1945" t="s">
        <v>819</v>
      </c>
      <c r="F1945">
        <v>2024</v>
      </c>
      <c r="G1945" t="str">
        <f>TRIM(RIGHT(Table156[[#This Row],[Item-Codigo]], LEN(Table156[[#This Row],[Item-Codigo]]) - FIND("|", CONCATENATE(B1945), FIND("|", CONCATENATE(B1945)) + 1)))</f>
        <v>KG</v>
      </c>
      <c r="H194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388</v>
      </c>
      <c r="I1945" s="40">
        <v>388</v>
      </c>
      <c r="J194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12880</v>
      </c>
      <c r="K1945" t="s">
        <v>74</v>
      </c>
    </row>
    <row r="1946" spans="1:11" x14ac:dyDescent="0.35">
      <c r="A1946" t="s">
        <v>305</v>
      </c>
      <c r="B1946" t="s">
        <v>324</v>
      </c>
      <c r="C1946" t="s">
        <v>323</v>
      </c>
      <c r="D1946">
        <v>4</v>
      </c>
      <c r="E1946" t="s">
        <v>821</v>
      </c>
      <c r="F1946">
        <v>2024</v>
      </c>
      <c r="G1946" t="str">
        <f>TRIM(RIGHT(Table156[[#This Row],[Item-Codigo]], LEN(Table156[[#This Row],[Item-Codigo]]) - FIND("|", CONCATENATE(B1946), FIND("|", CONCATENATE(B1946)) + 1)))</f>
        <v>KG</v>
      </c>
      <c r="H194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1070</v>
      </c>
      <c r="I1946" s="40">
        <v>1070</v>
      </c>
      <c r="J194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</v>
      </c>
      <c r="K1946" t="s">
        <v>75</v>
      </c>
    </row>
    <row r="1947" spans="1:11" x14ac:dyDescent="0.35">
      <c r="A1947" t="s">
        <v>305</v>
      </c>
      <c r="B1947" t="s">
        <v>324</v>
      </c>
      <c r="C1947" t="s">
        <v>323</v>
      </c>
      <c r="D1947">
        <v>4</v>
      </c>
      <c r="E1947" t="s">
        <v>818</v>
      </c>
      <c r="F1947">
        <v>2024</v>
      </c>
      <c r="G1947" t="str">
        <f>TRIM(RIGHT(Table156[[#This Row],[Item-Codigo]], LEN(Table156[[#This Row],[Item-Codigo]]) - FIND("|", CONCATENATE(B1947), FIND("|", CONCATENATE(B1947)) + 1)))</f>
        <v>KG</v>
      </c>
      <c r="H194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1070</v>
      </c>
      <c r="I1947" s="40">
        <v>1070</v>
      </c>
      <c r="J194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</v>
      </c>
      <c r="K1947" t="s">
        <v>75</v>
      </c>
    </row>
    <row r="1948" spans="1:11" x14ac:dyDescent="0.35">
      <c r="A1948" t="s">
        <v>305</v>
      </c>
      <c r="B1948" t="s">
        <v>324</v>
      </c>
      <c r="C1948" t="s">
        <v>323</v>
      </c>
      <c r="D1948">
        <v>4</v>
      </c>
      <c r="E1948" t="s">
        <v>819</v>
      </c>
      <c r="F1948">
        <v>2024</v>
      </c>
      <c r="G1948" t="str">
        <f>TRIM(RIGHT(Table156[[#This Row],[Item-Codigo]], LEN(Table156[[#This Row],[Item-Codigo]]) - FIND("|", CONCATENATE(B1948), FIND("|", CONCATENATE(B1948)) + 1)))</f>
        <v>KG</v>
      </c>
      <c r="H194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1070</v>
      </c>
      <c r="I1948" s="40">
        <v>1070</v>
      </c>
      <c r="J194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</v>
      </c>
      <c r="K1948" t="s">
        <v>75</v>
      </c>
    </row>
    <row r="1949" spans="1:11" x14ac:dyDescent="0.35">
      <c r="A1949" t="s">
        <v>305</v>
      </c>
      <c r="B1949" t="s">
        <v>324</v>
      </c>
      <c r="C1949" t="s">
        <v>323</v>
      </c>
      <c r="D1949">
        <v>4</v>
      </c>
      <c r="E1949" t="s">
        <v>816</v>
      </c>
      <c r="F1949">
        <v>2024</v>
      </c>
      <c r="G1949" t="str">
        <f>TRIM(RIGHT(Table156[[#This Row],[Item-Codigo]], LEN(Table156[[#This Row],[Item-Codigo]]) - FIND("|", CONCATENATE(B1949), FIND("|", CONCATENATE(B1949)) + 1)))</f>
        <v>KG</v>
      </c>
      <c r="H194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1070</v>
      </c>
      <c r="I1949" s="40">
        <v>1070</v>
      </c>
      <c r="J194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4000</v>
      </c>
      <c r="K1949" t="s">
        <v>75</v>
      </c>
    </row>
    <row r="1950" spans="1:11" x14ac:dyDescent="0.35">
      <c r="A1950" t="s">
        <v>305</v>
      </c>
      <c r="B1950" t="s">
        <v>325</v>
      </c>
      <c r="C1950" t="s">
        <v>309</v>
      </c>
      <c r="D1950">
        <v>5.6</v>
      </c>
      <c r="E1950" t="s">
        <v>819</v>
      </c>
      <c r="F1950">
        <v>2024</v>
      </c>
      <c r="G1950" t="str">
        <f>TRIM(RIGHT(Table156[[#This Row],[Item-Codigo]], LEN(Table156[[#This Row],[Item-Codigo]]) - FIND("|", CONCATENATE(B1950), FIND("|", CONCATENATE(B1950)) + 1)))</f>
        <v>KG</v>
      </c>
      <c r="H195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1045</v>
      </c>
      <c r="I1950" s="40">
        <v>1045</v>
      </c>
      <c r="J195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1950" t="s">
        <v>76</v>
      </c>
    </row>
    <row r="1951" spans="1:11" x14ac:dyDescent="0.35">
      <c r="A1951" t="s">
        <v>305</v>
      </c>
      <c r="B1951" t="s">
        <v>325</v>
      </c>
      <c r="C1951" t="s">
        <v>309</v>
      </c>
      <c r="D1951">
        <v>5.6</v>
      </c>
      <c r="E1951" t="s">
        <v>816</v>
      </c>
      <c r="F1951">
        <v>2024</v>
      </c>
      <c r="G1951" t="str">
        <f>TRIM(RIGHT(Table156[[#This Row],[Item-Codigo]], LEN(Table156[[#This Row],[Item-Codigo]]) - FIND("|", CONCATENATE(B1951), FIND("|", CONCATENATE(B1951)) + 1)))</f>
        <v>KG</v>
      </c>
      <c r="H195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1045</v>
      </c>
      <c r="I1951" s="40">
        <v>1045</v>
      </c>
      <c r="J195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5600</v>
      </c>
      <c r="K1951" t="s">
        <v>76</v>
      </c>
    </row>
    <row r="1952" spans="1:11" x14ac:dyDescent="0.35">
      <c r="A1952" t="s">
        <v>305</v>
      </c>
      <c r="B1952" t="s">
        <v>326</v>
      </c>
      <c r="C1952" t="s">
        <v>357</v>
      </c>
      <c r="D1952">
        <v>5.4</v>
      </c>
      <c r="E1952" t="s">
        <v>816</v>
      </c>
      <c r="F1952">
        <v>2024</v>
      </c>
      <c r="G1952" t="str">
        <f>TRIM(RIGHT(Table156[[#This Row],[Item-Codigo]], LEN(Table156[[#This Row],[Item-Codigo]]) - FIND("|", CONCATENATE(B1952), FIND("|", CONCATENATE(B1952)) + 1)))</f>
        <v>KG</v>
      </c>
      <c r="H195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470.5</v>
      </c>
      <c r="I1952" s="40" t="s">
        <v>536</v>
      </c>
      <c r="J195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5400</v>
      </c>
      <c r="K1952" t="s">
        <v>77</v>
      </c>
    </row>
    <row r="1953" spans="1:11" x14ac:dyDescent="0.35">
      <c r="A1953" t="s">
        <v>305</v>
      </c>
      <c r="B1953" t="s">
        <v>326</v>
      </c>
      <c r="C1953" t="s">
        <v>327</v>
      </c>
      <c r="D1953">
        <v>5.85</v>
      </c>
      <c r="E1953" t="s">
        <v>818</v>
      </c>
      <c r="F1953">
        <v>2024</v>
      </c>
      <c r="G1953" t="str">
        <f>TRIM(RIGHT(Table156[[#This Row],[Item-Codigo]], LEN(Table156[[#This Row],[Item-Codigo]]) - FIND("|", CONCATENATE(B1953), FIND("|", CONCATENATE(B1953)) + 1)))</f>
        <v>KG</v>
      </c>
      <c r="H195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470.5</v>
      </c>
      <c r="I1953" s="40" t="s">
        <v>536</v>
      </c>
      <c r="J195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5850</v>
      </c>
      <c r="K1953" t="s">
        <v>77</v>
      </c>
    </row>
    <row r="1954" spans="1:11" x14ac:dyDescent="0.35">
      <c r="A1954" t="s">
        <v>305</v>
      </c>
      <c r="B1954" t="s">
        <v>326</v>
      </c>
      <c r="C1954" t="s">
        <v>327</v>
      </c>
      <c r="D1954">
        <v>5.85</v>
      </c>
      <c r="E1954" t="s">
        <v>819</v>
      </c>
      <c r="F1954">
        <v>2024</v>
      </c>
      <c r="G1954" t="str">
        <f>TRIM(RIGHT(Table156[[#This Row],[Item-Codigo]], LEN(Table156[[#This Row],[Item-Codigo]]) - FIND("|", CONCATENATE(B1954), FIND("|", CONCATENATE(B1954)) + 1)))</f>
        <v>KG</v>
      </c>
      <c r="H195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470.5</v>
      </c>
      <c r="I1954" s="40" t="s">
        <v>536</v>
      </c>
      <c r="J195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5850</v>
      </c>
      <c r="K1954" t="s">
        <v>77</v>
      </c>
    </row>
    <row r="1955" spans="1:11" x14ac:dyDescent="0.35">
      <c r="A1955" t="s">
        <v>305</v>
      </c>
      <c r="B1955" t="s">
        <v>1002</v>
      </c>
      <c r="C1955" t="s">
        <v>385</v>
      </c>
      <c r="D1955">
        <v>0.9</v>
      </c>
      <c r="E1955" t="s">
        <v>819</v>
      </c>
      <c r="F1955">
        <v>2024</v>
      </c>
      <c r="G1955" t="str">
        <f>TRIM(RIGHT(Table156[[#This Row],[Item-Codigo]], LEN(Table156[[#This Row],[Item-Codigo]]) - FIND("|", CONCATENATE(B1955), FIND("|", CONCATENATE(B1955)) + 1)))</f>
        <v>KG</v>
      </c>
      <c r="H195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459</v>
      </c>
      <c r="I1955" s="40">
        <v>459</v>
      </c>
      <c r="J195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</v>
      </c>
      <c r="K1955" t="s">
        <v>981</v>
      </c>
    </row>
    <row r="1956" spans="1:11" x14ac:dyDescent="0.35">
      <c r="A1956" t="s">
        <v>305</v>
      </c>
      <c r="B1956" t="s">
        <v>328</v>
      </c>
      <c r="C1956" t="s">
        <v>385</v>
      </c>
      <c r="D1956">
        <v>1.83</v>
      </c>
      <c r="E1956" t="s">
        <v>821</v>
      </c>
      <c r="F1956">
        <v>2024</v>
      </c>
      <c r="G1956" t="str">
        <f>TRIM(RIGHT(Table156[[#This Row],[Item-Codigo]], LEN(Table156[[#This Row],[Item-Codigo]]) - FIND("|", CONCATENATE(B1956), FIND("|", CONCATENATE(B1956)) + 1)))</f>
        <v>KG</v>
      </c>
      <c r="H195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495</v>
      </c>
      <c r="I1956" s="40">
        <v>495</v>
      </c>
      <c r="J195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1830</v>
      </c>
      <c r="K1956" t="s">
        <v>78</v>
      </c>
    </row>
    <row r="1957" spans="1:11" x14ac:dyDescent="0.35">
      <c r="A1957" t="s">
        <v>305</v>
      </c>
      <c r="B1957" t="s">
        <v>332</v>
      </c>
      <c r="C1957" t="s">
        <v>333</v>
      </c>
      <c r="D1957">
        <v>1.69</v>
      </c>
      <c r="E1957" t="s">
        <v>821</v>
      </c>
      <c r="F1957">
        <v>2024</v>
      </c>
      <c r="G1957" t="str">
        <f>TRIM(RIGHT(Table156[[#This Row],[Item-Codigo]], LEN(Table156[[#This Row],[Item-Codigo]]) - FIND("|", CONCATENATE(B1957), FIND("|", CONCATENATE(B1957)) + 1)))</f>
        <v>KG</v>
      </c>
      <c r="H195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1073</v>
      </c>
      <c r="I1957" s="40">
        <v>1073</v>
      </c>
      <c r="J195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1690</v>
      </c>
      <c r="K1957" t="s">
        <v>81</v>
      </c>
    </row>
    <row r="1958" spans="1:11" x14ac:dyDescent="0.35">
      <c r="A1958" t="s">
        <v>305</v>
      </c>
      <c r="B1958" t="s">
        <v>332</v>
      </c>
      <c r="C1958" t="s">
        <v>333</v>
      </c>
      <c r="D1958">
        <v>1.69</v>
      </c>
      <c r="E1958" t="s">
        <v>819</v>
      </c>
      <c r="F1958">
        <v>2024</v>
      </c>
      <c r="G1958" t="str">
        <f>TRIM(RIGHT(Table156[[#This Row],[Item-Codigo]], LEN(Table156[[#This Row],[Item-Codigo]]) - FIND("|", CONCATENATE(B1958), FIND("|", CONCATENATE(B1958)) + 1)))</f>
        <v>KG</v>
      </c>
      <c r="H195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1073</v>
      </c>
      <c r="I1958" s="40">
        <v>1073</v>
      </c>
      <c r="J195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1690</v>
      </c>
      <c r="K1958" t="s">
        <v>81</v>
      </c>
    </row>
    <row r="1959" spans="1:11" x14ac:dyDescent="0.35">
      <c r="A1959" t="s">
        <v>305</v>
      </c>
      <c r="B1959" t="s">
        <v>334</v>
      </c>
      <c r="C1959" t="s">
        <v>323</v>
      </c>
      <c r="D1959">
        <v>4.5199999999999996</v>
      </c>
      <c r="E1959" t="s">
        <v>816</v>
      </c>
      <c r="F1959">
        <v>2024</v>
      </c>
      <c r="G1959" t="str">
        <f>TRIM(RIGHT(Table156[[#This Row],[Item-Codigo]], LEN(Table156[[#This Row],[Item-Codigo]]) - FIND("|", CONCATENATE(B1959), FIND("|", CONCATENATE(B1959)) + 1)))</f>
        <v>KG</v>
      </c>
      <c r="H195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475</v>
      </c>
      <c r="I1959" s="40">
        <v>475</v>
      </c>
      <c r="J195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4520</v>
      </c>
      <c r="K1959" t="s">
        <v>82</v>
      </c>
    </row>
    <row r="1960" spans="1:11" x14ac:dyDescent="0.35">
      <c r="A1960" t="s">
        <v>305</v>
      </c>
      <c r="B1960" t="s">
        <v>335</v>
      </c>
      <c r="C1960" t="s">
        <v>309</v>
      </c>
      <c r="D1960">
        <v>1.45</v>
      </c>
      <c r="E1960" t="s">
        <v>821</v>
      </c>
      <c r="F1960">
        <v>2024</v>
      </c>
      <c r="G1960" t="str">
        <f>TRIM(RIGHT(Table156[[#This Row],[Item-Codigo]], LEN(Table156[[#This Row],[Item-Codigo]]) - FIND("|", CONCATENATE(B1960), FIND("|", CONCATENATE(B1960)) + 1)))</f>
        <v>KG</v>
      </c>
      <c r="H196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131.3</v>
      </c>
      <c r="I1960" s="40" t="s">
        <v>523</v>
      </c>
      <c r="J196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1450</v>
      </c>
      <c r="K1960" t="s">
        <v>83</v>
      </c>
    </row>
    <row r="1961" spans="1:11" x14ac:dyDescent="0.35">
      <c r="A1961" t="s">
        <v>305</v>
      </c>
      <c r="B1961" t="s">
        <v>335</v>
      </c>
      <c r="C1961" t="s">
        <v>309</v>
      </c>
      <c r="D1961">
        <v>1.45</v>
      </c>
      <c r="E1961" t="s">
        <v>819</v>
      </c>
      <c r="F1961">
        <v>2024</v>
      </c>
      <c r="G1961" t="str">
        <f>TRIM(RIGHT(Table156[[#This Row],[Item-Codigo]], LEN(Table156[[#This Row],[Item-Codigo]]) - FIND("|", CONCATENATE(B1961), FIND("|", CONCATENATE(B1961)) + 1)))</f>
        <v>KG</v>
      </c>
      <c r="H196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131.3</v>
      </c>
      <c r="I1961" s="40" t="s">
        <v>523</v>
      </c>
      <c r="J196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1450</v>
      </c>
      <c r="K1961" t="s">
        <v>83</v>
      </c>
    </row>
    <row r="1962" spans="1:11" x14ac:dyDescent="0.35">
      <c r="A1962" t="s">
        <v>305</v>
      </c>
      <c r="B1962" t="s">
        <v>335</v>
      </c>
      <c r="C1962" t="s">
        <v>309</v>
      </c>
      <c r="D1962">
        <v>1.45</v>
      </c>
      <c r="E1962" t="s">
        <v>816</v>
      </c>
      <c r="F1962">
        <v>2024</v>
      </c>
      <c r="G1962" t="str">
        <f>TRIM(RIGHT(Table156[[#This Row],[Item-Codigo]], LEN(Table156[[#This Row],[Item-Codigo]]) - FIND("|", CONCATENATE(B1962), FIND("|", CONCATENATE(B1962)) + 1)))</f>
        <v>KG</v>
      </c>
      <c r="H196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131.3</v>
      </c>
      <c r="I1962" s="40" t="s">
        <v>523</v>
      </c>
      <c r="J196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1450</v>
      </c>
      <c r="K1962" t="s">
        <v>83</v>
      </c>
    </row>
    <row r="1963" spans="1:11" x14ac:dyDescent="0.35">
      <c r="A1963" t="s">
        <v>305</v>
      </c>
      <c r="B1963" t="s">
        <v>336</v>
      </c>
      <c r="C1963" t="s">
        <v>327</v>
      </c>
      <c r="D1963">
        <v>5</v>
      </c>
      <c r="E1963" t="s">
        <v>818</v>
      </c>
      <c r="F1963">
        <v>2024</v>
      </c>
      <c r="G1963" t="str">
        <f>TRIM(RIGHT(Table156[[#This Row],[Item-Codigo]], LEN(Table156[[#This Row],[Item-Codigo]]) - FIND("|", CONCATENATE(B1963), FIND("|", CONCATENATE(B1963)) + 1)))</f>
        <v>KG</v>
      </c>
      <c r="H196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340.1</v>
      </c>
      <c r="I1963" s="40" t="s">
        <v>529</v>
      </c>
      <c r="J196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5000</v>
      </c>
      <c r="K1963" t="s">
        <v>84</v>
      </c>
    </row>
    <row r="1964" spans="1:11" x14ac:dyDescent="0.35">
      <c r="A1964" t="s">
        <v>305</v>
      </c>
      <c r="B1964" t="s">
        <v>336</v>
      </c>
      <c r="C1964" t="s">
        <v>327</v>
      </c>
      <c r="D1964">
        <v>4.8</v>
      </c>
      <c r="E1964" t="s">
        <v>819</v>
      </c>
      <c r="F1964">
        <v>2024</v>
      </c>
      <c r="G1964" t="str">
        <f>TRIM(RIGHT(Table156[[#This Row],[Item-Codigo]], LEN(Table156[[#This Row],[Item-Codigo]]) - FIND("|", CONCATENATE(B1964), FIND("|", CONCATENATE(B1964)) + 1)))</f>
        <v>KG</v>
      </c>
      <c r="H196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340.1</v>
      </c>
      <c r="I1964" s="40" t="s">
        <v>529</v>
      </c>
      <c r="J196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4800</v>
      </c>
      <c r="K1964" t="s">
        <v>84</v>
      </c>
    </row>
    <row r="1965" spans="1:11" x14ac:dyDescent="0.35">
      <c r="A1965" t="s">
        <v>305</v>
      </c>
      <c r="B1965" t="s">
        <v>1205</v>
      </c>
      <c r="C1965" t="s">
        <v>1206</v>
      </c>
      <c r="D1965">
        <v>13</v>
      </c>
      <c r="E1965" t="s">
        <v>816</v>
      </c>
      <c r="F1965">
        <v>2024</v>
      </c>
      <c r="G1965" t="str">
        <f>TRIM(RIGHT(Table156[[#This Row],[Item-Codigo]], LEN(Table156[[#This Row],[Item-Codigo]]) - FIND("|", CONCATENATE(B1965), FIND("|", CONCATENATE(B1965)) + 1)))</f>
        <v>KG</v>
      </c>
      <c r="H196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522</v>
      </c>
      <c r="I1965" s="40">
        <v>522</v>
      </c>
      <c r="J196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13000</v>
      </c>
      <c r="K1965" t="s">
        <v>1186</v>
      </c>
    </row>
    <row r="1966" spans="1:11" x14ac:dyDescent="0.35">
      <c r="A1966" t="s">
        <v>305</v>
      </c>
      <c r="B1966" t="s">
        <v>1003</v>
      </c>
      <c r="C1966" t="s">
        <v>327</v>
      </c>
      <c r="D1966">
        <v>10.5</v>
      </c>
      <c r="E1966" t="s">
        <v>818</v>
      </c>
      <c r="F1966">
        <v>2024</v>
      </c>
      <c r="G1966" t="str">
        <f>TRIM(RIGHT(Table156[[#This Row],[Item-Codigo]], LEN(Table156[[#This Row],[Item-Codigo]]) - FIND("|", CONCATENATE(B1966), FIND("|", CONCATENATE(B1966)) + 1)))</f>
        <v>KG</v>
      </c>
      <c r="H196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920</v>
      </c>
      <c r="I1966" s="40">
        <v>920</v>
      </c>
      <c r="J196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10500</v>
      </c>
      <c r="K1966" t="s">
        <v>1074</v>
      </c>
    </row>
    <row r="1967" spans="1:11" x14ac:dyDescent="0.35">
      <c r="A1967" t="s">
        <v>305</v>
      </c>
      <c r="B1967" t="s">
        <v>1003</v>
      </c>
      <c r="C1967" t="s">
        <v>327</v>
      </c>
      <c r="D1967">
        <v>10.5</v>
      </c>
      <c r="E1967" t="s">
        <v>819</v>
      </c>
      <c r="F1967">
        <v>2024</v>
      </c>
      <c r="G1967" t="str">
        <f>TRIM(RIGHT(Table156[[#This Row],[Item-Codigo]], LEN(Table156[[#This Row],[Item-Codigo]]) - FIND("|", CONCATENATE(B1967), FIND("|", CONCATENATE(B1967)) + 1)))</f>
        <v>KG</v>
      </c>
      <c r="H196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920</v>
      </c>
      <c r="I1967" s="40">
        <v>920</v>
      </c>
      <c r="J196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10500</v>
      </c>
      <c r="K1967" t="s">
        <v>1074</v>
      </c>
    </row>
    <row r="1968" spans="1:11" x14ac:dyDescent="0.35">
      <c r="A1968" t="s">
        <v>305</v>
      </c>
      <c r="B1968" t="s">
        <v>1003</v>
      </c>
      <c r="C1968" t="s">
        <v>327</v>
      </c>
      <c r="D1968">
        <v>10.199999999999999</v>
      </c>
      <c r="E1968" t="s">
        <v>816</v>
      </c>
      <c r="F1968">
        <v>2024</v>
      </c>
      <c r="G1968" t="str">
        <f>TRIM(RIGHT(Table156[[#This Row],[Item-Codigo]], LEN(Table156[[#This Row],[Item-Codigo]]) - FIND("|", CONCATENATE(B1968), FIND("|", CONCATENATE(B1968)) + 1)))</f>
        <v>KG</v>
      </c>
      <c r="H196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920</v>
      </c>
      <c r="I1968" s="40">
        <v>920</v>
      </c>
      <c r="J196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10200</v>
      </c>
      <c r="K1968" t="s">
        <v>1074</v>
      </c>
    </row>
    <row r="1969" spans="1:11" x14ac:dyDescent="0.35">
      <c r="A1969" t="s">
        <v>305</v>
      </c>
      <c r="B1969" t="s">
        <v>344</v>
      </c>
      <c r="C1969" t="s">
        <v>345</v>
      </c>
      <c r="D1969">
        <v>95</v>
      </c>
      <c r="E1969" t="s">
        <v>821</v>
      </c>
      <c r="F1969">
        <v>2024</v>
      </c>
      <c r="G1969" t="str">
        <f>TRIM(RIGHT(Table156[[#This Row],[Item-Codigo]], LEN(Table156[[#This Row],[Item-Codigo]]) - FIND("|", CONCATENATE(B1969), FIND("|", CONCATENATE(B1969)) + 1)))</f>
        <v>KG</v>
      </c>
      <c r="H196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912.5</v>
      </c>
      <c r="I1969" s="40" t="s">
        <v>555</v>
      </c>
      <c r="J196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95000</v>
      </c>
      <c r="K1969" t="s">
        <v>90</v>
      </c>
    </row>
    <row r="1970" spans="1:11" x14ac:dyDescent="0.35">
      <c r="A1970" t="s">
        <v>305</v>
      </c>
      <c r="B1970" t="s">
        <v>344</v>
      </c>
      <c r="C1970" t="s">
        <v>345</v>
      </c>
      <c r="D1970">
        <v>95</v>
      </c>
      <c r="E1970" t="s">
        <v>818</v>
      </c>
      <c r="F1970">
        <v>2024</v>
      </c>
      <c r="G1970" t="str">
        <f>TRIM(RIGHT(Table156[[#This Row],[Item-Codigo]], LEN(Table156[[#This Row],[Item-Codigo]]) - FIND("|", CONCATENATE(B1970), FIND("|", CONCATENATE(B1970)) + 1)))</f>
        <v>KG</v>
      </c>
      <c r="H197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912.5</v>
      </c>
      <c r="I1970" s="40" t="s">
        <v>555</v>
      </c>
      <c r="J197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95000</v>
      </c>
      <c r="K1970" t="s">
        <v>90</v>
      </c>
    </row>
    <row r="1971" spans="1:11" x14ac:dyDescent="0.35">
      <c r="A1971" t="s">
        <v>305</v>
      </c>
      <c r="B1971" t="s">
        <v>344</v>
      </c>
      <c r="C1971" t="s">
        <v>345</v>
      </c>
      <c r="D1971">
        <v>90</v>
      </c>
      <c r="E1971" t="s">
        <v>819</v>
      </c>
      <c r="F1971">
        <v>2024</v>
      </c>
      <c r="G1971" t="str">
        <f>TRIM(RIGHT(Table156[[#This Row],[Item-Codigo]], LEN(Table156[[#This Row],[Item-Codigo]]) - FIND("|", CONCATENATE(B1971), FIND("|", CONCATENATE(B1971)) + 1)))</f>
        <v>KG</v>
      </c>
      <c r="H197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912.5</v>
      </c>
      <c r="I1971" s="40" t="s">
        <v>555</v>
      </c>
      <c r="J197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90000</v>
      </c>
      <c r="K1971" t="s">
        <v>90</v>
      </c>
    </row>
    <row r="1972" spans="1:11" x14ac:dyDescent="0.35">
      <c r="A1972" t="s">
        <v>305</v>
      </c>
      <c r="B1972" t="s">
        <v>344</v>
      </c>
      <c r="C1972" t="s">
        <v>345</v>
      </c>
      <c r="D1972">
        <v>90</v>
      </c>
      <c r="E1972" t="s">
        <v>816</v>
      </c>
      <c r="F1972">
        <v>2024</v>
      </c>
      <c r="G1972" t="str">
        <f>TRIM(RIGHT(Table156[[#This Row],[Item-Codigo]], LEN(Table156[[#This Row],[Item-Codigo]]) - FIND("|", CONCATENATE(B1972), FIND("|", CONCATENATE(B1972)) + 1)))</f>
        <v>KG</v>
      </c>
      <c r="H197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912.5</v>
      </c>
      <c r="I1972" s="40" t="s">
        <v>555</v>
      </c>
      <c r="J197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90000</v>
      </c>
      <c r="K1972" t="s">
        <v>90</v>
      </c>
    </row>
    <row r="1973" spans="1:11" x14ac:dyDescent="0.35">
      <c r="A1973" t="s">
        <v>305</v>
      </c>
      <c r="B1973" t="s">
        <v>346</v>
      </c>
      <c r="C1973" t="s">
        <v>327</v>
      </c>
      <c r="D1973">
        <v>8.5</v>
      </c>
      <c r="E1973" t="s">
        <v>816</v>
      </c>
      <c r="F1973">
        <v>2024</v>
      </c>
      <c r="G1973" t="str">
        <f>TRIM(RIGHT(Table156[[#This Row],[Item-Codigo]], LEN(Table156[[#This Row],[Item-Codigo]]) - FIND("|", CONCATENATE(B1973), FIND("|", CONCATENATE(B1973)) + 1)))</f>
        <v>KG</v>
      </c>
      <c r="H197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492.12</v>
      </c>
      <c r="I1973" s="40" t="s">
        <v>539</v>
      </c>
      <c r="J197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8500</v>
      </c>
      <c r="K1973" t="s">
        <v>91</v>
      </c>
    </row>
    <row r="1974" spans="1:11" x14ac:dyDescent="0.35">
      <c r="A1974" t="s">
        <v>305</v>
      </c>
      <c r="B1974" t="s">
        <v>347</v>
      </c>
      <c r="C1974" t="s">
        <v>348</v>
      </c>
      <c r="D1974">
        <v>18</v>
      </c>
      <c r="E1974" t="s">
        <v>821</v>
      </c>
      <c r="F1974">
        <v>2024</v>
      </c>
      <c r="G1974" t="str">
        <f>TRIM(RIGHT(Table156[[#This Row],[Item-Codigo]], LEN(Table156[[#This Row],[Item-Codigo]]) - FIND("|", CONCATENATE(B1974), FIND("|", CONCATENATE(B1974)) + 1)))</f>
        <v>KG</v>
      </c>
      <c r="H197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550</v>
      </c>
      <c r="I1974" s="40">
        <v>550</v>
      </c>
      <c r="J197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18000</v>
      </c>
      <c r="K1974" t="s">
        <v>92</v>
      </c>
    </row>
    <row r="1975" spans="1:11" x14ac:dyDescent="0.35">
      <c r="A1975" t="s">
        <v>305</v>
      </c>
      <c r="B1975" t="s">
        <v>347</v>
      </c>
      <c r="C1975" t="s">
        <v>348</v>
      </c>
      <c r="D1975">
        <v>18</v>
      </c>
      <c r="E1975" t="s">
        <v>818</v>
      </c>
      <c r="F1975">
        <v>2024</v>
      </c>
      <c r="G1975" t="str">
        <f>TRIM(RIGHT(Table156[[#This Row],[Item-Codigo]], LEN(Table156[[#This Row],[Item-Codigo]]) - FIND("|", CONCATENATE(B1975), FIND("|", CONCATENATE(B1975)) + 1)))</f>
        <v>KG</v>
      </c>
      <c r="H197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550</v>
      </c>
      <c r="I1975" s="40">
        <v>550</v>
      </c>
      <c r="J197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18000</v>
      </c>
      <c r="K1975" t="s">
        <v>92</v>
      </c>
    </row>
    <row r="1976" spans="1:11" x14ac:dyDescent="0.35">
      <c r="A1976" t="s">
        <v>305</v>
      </c>
      <c r="B1976" t="s">
        <v>347</v>
      </c>
      <c r="C1976" t="s">
        <v>348</v>
      </c>
      <c r="D1976">
        <v>17.5</v>
      </c>
      <c r="E1976" t="s">
        <v>819</v>
      </c>
      <c r="F1976">
        <v>2024</v>
      </c>
      <c r="G1976" t="str">
        <f>TRIM(RIGHT(Table156[[#This Row],[Item-Codigo]], LEN(Table156[[#This Row],[Item-Codigo]]) - FIND("|", CONCATENATE(B1976), FIND("|", CONCATENATE(B1976)) + 1)))</f>
        <v>KG</v>
      </c>
      <c r="H197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550</v>
      </c>
      <c r="I1976" s="40">
        <v>550</v>
      </c>
      <c r="J197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17500</v>
      </c>
      <c r="K1976" t="s">
        <v>92</v>
      </c>
    </row>
    <row r="1977" spans="1:11" x14ac:dyDescent="0.35">
      <c r="A1977" t="s">
        <v>305</v>
      </c>
      <c r="B1977" t="s">
        <v>347</v>
      </c>
      <c r="C1977" t="s">
        <v>348</v>
      </c>
      <c r="D1977">
        <v>17.5</v>
      </c>
      <c r="E1977" t="s">
        <v>816</v>
      </c>
      <c r="F1977">
        <v>2024</v>
      </c>
      <c r="G1977" t="str">
        <f>TRIM(RIGHT(Table156[[#This Row],[Item-Codigo]], LEN(Table156[[#This Row],[Item-Codigo]]) - FIND("|", CONCATENATE(B1977), FIND("|", CONCATENATE(B1977)) + 1)))</f>
        <v>KG</v>
      </c>
      <c r="H197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550</v>
      </c>
      <c r="I1977" s="40">
        <v>550</v>
      </c>
      <c r="J197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17500</v>
      </c>
      <c r="K1977" t="s">
        <v>92</v>
      </c>
    </row>
    <row r="1978" spans="1:11" x14ac:dyDescent="0.35">
      <c r="A1978" t="s">
        <v>305</v>
      </c>
      <c r="B1978" t="s">
        <v>350</v>
      </c>
      <c r="C1978" t="s">
        <v>239</v>
      </c>
      <c r="D1978">
        <v>1.605</v>
      </c>
      <c r="E1978" t="s">
        <v>818</v>
      </c>
      <c r="F1978">
        <v>2024</v>
      </c>
      <c r="G1978" t="str">
        <f>TRIM(RIGHT(Table156[[#This Row],[Item-Codigo]], LEN(Table156[[#This Row],[Item-Codigo]]) - FIND("|", CONCATENATE(B1978), FIND("|", CONCATENATE(B1978)) + 1)))</f>
        <v>KG</v>
      </c>
      <c r="H197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173</v>
      </c>
      <c r="I1978" s="40">
        <v>173</v>
      </c>
      <c r="J197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1605</v>
      </c>
      <c r="K1978" t="s">
        <v>138</v>
      </c>
    </row>
    <row r="1979" spans="1:11" x14ac:dyDescent="0.35">
      <c r="A1979" t="s">
        <v>305</v>
      </c>
      <c r="B1979" t="s">
        <v>350</v>
      </c>
      <c r="C1979" t="s">
        <v>239</v>
      </c>
      <c r="D1979">
        <v>1.605</v>
      </c>
      <c r="E1979" t="s">
        <v>816</v>
      </c>
      <c r="F1979">
        <v>2024</v>
      </c>
      <c r="G1979" t="str">
        <f>TRIM(RIGHT(Table156[[#This Row],[Item-Codigo]], LEN(Table156[[#This Row],[Item-Codigo]]) - FIND("|", CONCATENATE(B1979), FIND("|", CONCATENATE(B1979)) + 1)))</f>
        <v>KG</v>
      </c>
      <c r="H197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173</v>
      </c>
      <c r="I1979" s="40">
        <v>173</v>
      </c>
      <c r="J197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1605</v>
      </c>
      <c r="K1979" t="s">
        <v>138</v>
      </c>
    </row>
    <row r="1980" spans="1:11" x14ac:dyDescent="0.35">
      <c r="A1980" t="s">
        <v>305</v>
      </c>
      <c r="B1980" t="s">
        <v>352</v>
      </c>
      <c r="C1980" t="s">
        <v>353</v>
      </c>
      <c r="D1980">
        <v>9.35</v>
      </c>
      <c r="E1980" t="s">
        <v>818</v>
      </c>
      <c r="F1980">
        <v>2024</v>
      </c>
      <c r="G1980" t="str">
        <f>TRIM(RIGHT(Table156[[#This Row],[Item-Codigo]], LEN(Table156[[#This Row],[Item-Codigo]]) - FIND("|", CONCATENATE(B1980), FIND("|", CONCATENATE(B1980)) + 1)))</f>
        <v>KG</v>
      </c>
      <c r="H198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742</v>
      </c>
      <c r="I1980" s="40">
        <v>742</v>
      </c>
      <c r="J198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9350</v>
      </c>
      <c r="K1980" t="s">
        <v>147</v>
      </c>
    </row>
    <row r="1981" spans="1:11" x14ac:dyDescent="0.35">
      <c r="A1981" t="s">
        <v>305</v>
      </c>
      <c r="B1981" t="s">
        <v>352</v>
      </c>
      <c r="C1981" t="s">
        <v>353</v>
      </c>
      <c r="D1981">
        <v>9.35</v>
      </c>
      <c r="E1981" t="s">
        <v>819</v>
      </c>
      <c r="F1981">
        <v>2024</v>
      </c>
      <c r="G1981" t="str">
        <f>TRIM(RIGHT(Table156[[#This Row],[Item-Codigo]], LEN(Table156[[#This Row],[Item-Codigo]]) - FIND("|", CONCATENATE(B1981), FIND("|", CONCATENATE(B1981)) + 1)))</f>
        <v>KG</v>
      </c>
      <c r="H198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742</v>
      </c>
      <c r="I1981" s="40">
        <v>742</v>
      </c>
      <c r="J198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9350</v>
      </c>
      <c r="K1981" t="s">
        <v>147</v>
      </c>
    </row>
    <row r="1982" spans="1:11" x14ac:dyDescent="0.35">
      <c r="A1982" t="s">
        <v>305</v>
      </c>
      <c r="B1982" t="s">
        <v>354</v>
      </c>
      <c r="C1982" t="s">
        <v>353</v>
      </c>
      <c r="D1982">
        <v>9.24</v>
      </c>
      <c r="E1982" t="s">
        <v>821</v>
      </c>
      <c r="F1982">
        <v>2024</v>
      </c>
      <c r="G1982" t="str">
        <f>TRIM(RIGHT(Table156[[#This Row],[Item-Codigo]], LEN(Table156[[#This Row],[Item-Codigo]]) - FIND("|", CONCATENATE(B1982), FIND("|", CONCATENATE(B1982)) + 1)))</f>
        <v>KG</v>
      </c>
      <c r="H198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741</v>
      </c>
      <c r="I1982" s="40">
        <v>741</v>
      </c>
      <c r="J198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9240</v>
      </c>
      <c r="K1982" t="s">
        <v>146</v>
      </c>
    </row>
    <row r="1983" spans="1:11" x14ac:dyDescent="0.35">
      <c r="A1983" t="s">
        <v>305</v>
      </c>
      <c r="B1983" t="s">
        <v>354</v>
      </c>
      <c r="C1983" t="s">
        <v>353</v>
      </c>
      <c r="D1983">
        <v>9.24</v>
      </c>
      <c r="E1983" t="s">
        <v>818</v>
      </c>
      <c r="F1983">
        <v>2024</v>
      </c>
      <c r="G1983" t="str">
        <f>TRIM(RIGHT(Table156[[#This Row],[Item-Codigo]], LEN(Table156[[#This Row],[Item-Codigo]]) - FIND("|", CONCATENATE(B1983), FIND("|", CONCATENATE(B1983)) + 1)))</f>
        <v>KG</v>
      </c>
      <c r="H198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741</v>
      </c>
      <c r="I1983" s="40">
        <v>741</v>
      </c>
      <c r="J198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9240</v>
      </c>
      <c r="K1983" t="s">
        <v>146</v>
      </c>
    </row>
    <row r="1984" spans="1:11" x14ac:dyDescent="0.35">
      <c r="A1984" t="s">
        <v>305</v>
      </c>
      <c r="B1984" t="s">
        <v>354</v>
      </c>
      <c r="C1984" t="s">
        <v>353</v>
      </c>
      <c r="D1984">
        <v>9.24</v>
      </c>
      <c r="E1984" t="s">
        <v>819</v>
      </c>
      <c r="F1984">
        <v>2024</v>
      </c>
      <c r="G1984" t="str">
        <f>TRIM(RIGHT(Table156[[#This Row],[Item-Codigo]], LEN(Table156[[#This Row],[Item-Codigo]]) - FIND("|", CONCATENATE(B1984), FIND("|", CONCATENATE(B1984)) + 1)))</f>
        <v>KG</v>
      </c>
      <c r="H198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741</v>
      </c>
      <c r="I1984" s="40">
        <v>741</v>
      </c>
      <c r="J198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9240</v>
      </c>
      <c r="K1984" t="s">
        <v>146</v>
      </c>
    </row>
    <row r="1985" spans="1:11" x14ac:dyDescent="0.35">
      <c r="A1985" t="s">
        <v>305</v>
      </c>
      <c r="B1985" t="s">
        <v>355</v>
      </c>
      <c r="C1985" t="s">
        <v>353</v>
      </c>
      <c r="D1985">
        <v>8.85</v>
      </c>
      <c r="E1985" t="s">
        <v>821</v>
      </c>
      <c r="F1985">
        <v>2024</v>
      </c>
      <c r="G1985" t="str">
        <f>TRIM(RIGHT(Table156[[#This Row],[Item-Codigo]], LEN(Table156[[#This Row],[Item-Codigo]]) - FIND("|", CONCATENATE(B1985), FIND("|", CONCATENATE(B1985)) + 1)))</f>
        <v>KG</v>
      </c>
      <c r="H198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740</v>
      </c>
      <c r="I1985" s="40">
        <v>740</v>
      </c>
      <c r="J198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8850</v>
      </c>
      <c r="K1985" t="s">
        <v>143</v>
      </c>
    </row>
    <row r="1986" spans="1:11" x14ac:dyDescent="0.35">
      <c r="A1986" t="s">
        <v>305</v>
      </c>
      <c r="B1986" t="s">
        <v>355</v>
      </c>
      <c r="C1986" t="s">
        <v>353</v>
      </c>
      <c r="D1986">
        <v>8.85</v>
      </c>
      <c r="E1986" t="s">
        <v>818</v>
      </c>
      <c r="F1986">
        <v>2024</v>
      </c>
      <c r="G1986" t="str">
        <f>TRIM(RIGHT(Table156[[#This Row],[Item-Codigo]], LEN(Table156[[#This Row],[Item-Codigo]]) - FIND("|", CONCATENATE(B1986), FIND("|", CONCATENATE(B1986)) + 1)))</f>
        <v>KG</v>
      </c>
      <c r="H198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740</v>
      </c>
      <c r="I1986" s="40">
        <v>740</v>
      </c>
      <c r="J198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8850</v>
      </c>
      <c r="K1986" t="s">
        <v>143</v>
      </c>
    </row>
    <row r="1987" spans="1:11" x14ac:dyDescent="0.35">
      <c r="A1987" t="s">
        <v>305</v>
      </c>
      <c r="B1987" t="s">
        <v>355</v>
      </c>
      <c r="C1987" t="s">
        <v>353</v>
      </c>
      <c r="D1987">
        <v>8.85</v>
      </c>
      <c r="E1987" t="s">
        <v>819</v>
      </c>
      <c r="F1987">
        <v>2024</v>
      </c>
      <c r="G1987" t="str">
        <f>TRIM(RIGHT(Table156[[#This Row],[Item-Codigo]], LEN(Table156[[#This Row],[Item-Codigo]]) - FIND("|", CONCATENATE(B1987), FIND("|", CONCATENATE(B1987)) + 1)))</f>
        <v>KG</v>
      </c>
      <c r="H198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740</v>
      </c>
      <c r="I1987" s="40">
        <v>740</v>
      </c>
      <c r="J198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8850</v>
      </c>
      <c r="K1987" t="s">
        <v>143</v>
      </c>
    </row>
    <row r="1988" spans="1:11" x14ac:dyDescent="0.35">
      <c r="A1988" t="s">
        <v>305</v>
      </c>
      <c r="B1988" t="s">
        <v>355</v>
      </c>
      <c r="C1988" t="s">
        <v>353</v>
      </c>
      <c r="D1988">
        <v>8.85</v>
      </c>
      <c r="E1988" t="s">
        <v>816</v>
      </c>
      <c r="F1988">
        <v>2024</v>
      </c>
      <c r="G1988" t="str">
        <f>TRIM(RIGHT(Table156[[#This Row],[Item-Codigo]], LEN(Table156[[#This Row],[Item-Codigo]]) - FIND("|", CONCATENATE(B1988), FIND("|", CONCATENATE(B1988)) + 1)))</f>
        <v>KG</v>
      </c>
      <c r="H198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740</v>
      </c>
      <c r="I1988" s="40">
        <v>740</v>
      </c>
      <c r="J198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8850</v>
      </c>
      <c r="K1988" t="s">
        <v>143</v>
      </c>
    </row>
    <row r="1989" spans="1:11" x14ac:dyDescent="0.35">
      <c r="A1989" t="s">
        <v>305</v>
      </c>
      <c r="B1989" t="s">
        <v>356</v>
      </c>
      <c r="C1989" t="s">
        <v>357</v>
      </c>
      <c r="D1989">
        <v>6.6</v>
      </c>
      <c r="E1989" t="s">
        <v>821</v>
      </c>
      <c r="F1989">
        <v>2024</v>
      </c>
      <c r="G1989" t="str">
        <f>TRIM(RIGHT(Table156[[#This Row],[Item-Codigo]], LEN(Table156[[#This Row],[Item-Codigo]]) - FIND("|", CONCATENATE(B1989), FIND("|", CONCATENATE(B1989)) + 1)))</f>
        <v>KG</v>
      </c>
      <c r="H198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1016</v>
      </c>
      <c r="I1989" s="40">
        <v>1016</v>
      </c>
      <c r="J198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6600</v>
      </c>
      <c r="K1989" t="s">
        <v>177</v>
      </c>
    </row>
    <row r="1990" spans="1:11" x14ac:dyDescent="0.35">
      <c r="A1990" t="s">
        <v>305</v>
      </c>
      <c r="B1990" t="s">
        <v>356</v>
      </c>
      <c r="C1990" t="s">
        <v>357</v>
      </c>
      <c r="D1990">
        <v>6.6</v>
      </c>
      <c r="E1990" t="s">
        <v>818</v>
      </c>
      <c r="F1990">
        <v>2024</v>
      </c>
      <c r="G1990" t="str">
        <f>TRIM(RIGHT(Table156[[#This Row],[Item-Codigo]], LEN(Table156[[#This Row],[Item-Codigo]]) - FIND("|", CONCATENATE(B1990), FIND("|", CONCATENATE(B1990)) + 1)))</f>
        <v>KG</v>
      </c>
      <c r="H199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1016</v>
      </c>
      <c r="I1990" s="40">
        <v>1016</v>
      </c>
      <c r="J199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6600</v>
      </c>
      <c r="K1990" t="s">
        <v>177</v>
      </c>
    </row>
    <row r="1991" spans="1:11" x14ac:dyDescent="0.35">
      <c r="A1991" t="s">
        <v>305</v>
      </c>
      <c r="B1991" t="s">
        <v>356</v>
      </c>
      <c r="C1991" t="s">
        <v>357</v>
      </c>
      <c r="D1991">
        <v>6.6</v>
      </c>
      <c r="E1991" t="s">
        <v>819</v>
      </c>
      <c r="F1991">
        <v>2024</v>
      </c>
      <c r="G1991" t="str">
        <f>TRIM(RIGHT(Table156[[#This Row],[Item-Codigo]], LEN(Table156[[#This Row],[Item-Codigo]]) - FIND("|", CONCATENATE(B1991), FIND("|", CONCATENATE(B1991)) + 1)))</f>
        <v>KG</v>
      </c>
      <c r="H199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1016</v>
      </c>
      <c r="I1991" s="40">
        <v>1016</v>
      </c>
      <c r="J199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6600</v>
      </c>
      <c r="K1991" t="s">
        <v>177</v>
      </c>
    </row>
    <row r="1992" spans="1:11" x14ac:dyDescent="0.35">
      <c r="A1992" t="s">
        <v>305</v>
      </c>
      <c r="B1992" t="s">
        <v>1004</v>
      </c>
      <c r="C1992" t="s">
        <v>1005</v>
      </c>
      <c r="D1992">
        <v>6</v>
      </c>
      <c r="E1992" t="s">
        <v>821</v>
      </c>
      <c r="F1992">
        <v>2024</v>
      </c>
      <c r="G1992" t="str">
        <f>TRIM(RIGHT(Table156[[#This Row],[Item-Codigo]], LEN(Table156[[#This Row],[Item-Codigo]]) - FIND("|", CONCATENATE(B1992), FIND("|", CONCATENATE(B1992)) + 1)))</f>
        <v>KG</v>
      </c>
      <c r="H199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922</v>
      </c>
      <c r="I1992" s="40">
        <v>922</v>
      </c>
      <c r="J199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1992" t="s">
        <v>1004</v>
      </c>
    </row>
    <row r="1993" spans="1:11" x14ac:dyDescent="0.35">
      <c r="A1993" t="s">
        <v>305</v>
      </c>
      <c r="B1993" t="s">
        <v>1004</v>
      </c>
      <c r="C1993" t="s">
        <v>1005</v>
      </c>
      <c r="D1993">
        <v>6</v>
      </c>
      <c r="E1993" t="s">
        <v>818</v>
      </c>
      <c r="F1993">
        <v>2024</v>
      </c>
      <c r="G1993" t="str">
        <f>TRIM(RIGHT(Table156[[#This Row],[Item-Codigo]], LEN(Table156[[#This Row],[Item-Codigo]]) - FIND("|", CONCATENATE(B1993), FIND("|", CONCATENATE(B1993)) + 1)))</f>
        <v>KG</v>
      </c>
      <c r="H199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922</v>
      </c>
      <c r="I1993" s="40">
        <v>922</v>
      </c>
      <c r="J199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1993" t="s">
        <v>1004</v>
      </c>
    </row>
    <row r="1994" spans="1:11" x14ac:dyDescent="0.35">
      <c r="A1994" t="s">
        <v>305</v>
      </c>
      <c r="B1994" t="s">
        <v>362</v>
      </c>
      <c r="C1994" t="s">
        <v>363</v>
      </c>
      <c r="D1994">
        <v>1.31</v>
      </c>
      <c r="E1994" t="s">
        <v>816</v>
      </c>
      <c r="F1994">
        <v>2024</v>
      </c>
      <c r="G1994" t="str">
        <f>TRIM(RIGHT(Table156[[#This Row],[Item-Codigo]], LEN(Table156[[#This Row],[Item-Codigo]]) - FIND("|", CONCATENATE(B1994), FIND("|", CONCATENATE(B1994)) + 1)))</f>
        <v>KG</v>
      </c>
      <c r="H199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439</v>
      </c>
      <c r="I1994" s="40">
        <v>439</v>
      </c>
      <c r="J199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1310</v>
      </c>
      <c r="K1994" t="s">
        <v>137</v>
      </c>
    </row>
    <row r="1995" spans="1:11" x14ac:dyDescent="0.35">
      <c r="A1995" t="s">
        <v>305</v>
      </c>
      <c r="B1995" t="s">
        <v>364</v>
      </c>
      <c r="C1995" t="s">
        <v>365</v>
      </c>
      <c r="D1995">
        <v>0.97</v>
      </c>
      <c r="E1995" t="s">
        <v>819</v>
      </c>
      <c r="F1995">
        <v>2024</v>
      </c>
      <c r="G1995" t="str">
        <f>TRIM(RIGHT(Table156[[#This Row],[Item-Codigo]], LEN(Table156[[#This Row],[Item-Codigo]]) - FIND("|", CONCATENATE(B1995), FIND("|", CONCATENATE(B1995)) + 1)))</f>
        <v>KG</v>
      </c>
      <c r="H199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488.1</v>
      </c>
      <c r="I1995" s="40" t="s">
        <v>538</v>
      </c>
      <c r="J199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970</v>
      </c>
      <c r="K1995" t="s">
        <v>149</v>
      </c>
    </row>
    <row r="1996" spans="1:11" x14ac:dyDescent="0.35">
      <c r="A1996" t="s">
        <v>305</v>
      </c>
      <c r="B1996" t="s">
        <v>364</v>
      </c>
      <c r="C1996" t="s">
        <v>365</v>
      </c>
      <c r="D1996">
        <v>1.07</v>
      </c>
      <c r="E1996" t="s">
        <v>816</v>
      </c>
      <c r="F1996">
        <v>2024</v>
      </c>
      <c r="G1996" t="str">
        <f>TRIM(RIGHT(Table156[[#This Row],[Item-Codigo]], LEN(Table156[[#This Row],[Item-Codigo]]) - FIND("|", CONCATENATE(B1996), FIND("|", CONCATENATE(B1996)) + 1)))</f>
        <v>KG</v>
      </c>
      <c r="H199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488.1</v>
      </c>
      <c r="I1996" s="40" t="s">
        <v>538</v>
      </c>
      <c r="J199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1070</v>
      </c>
      <c r="K1996" t="s">
        <v>149</v>
      </c>
    </row>
    <row r="1997" spans="1:11" x14ac:dyDescent="0.35">
      <c r="A1997" t="s">
        <v>305</v>
      </c>
      <c r="B1997" t="s">
        <v>1207</v>
      </c>
      <c r="C1997" t="s">
        <v>311</v>
      </c>
      <c r="D1997">
        <v>3.02</v>
      </c>
      <c r="E1997" t="s">
        <v>819</v>
      </c>
      <c r="F1997">
        <v>2024</v>
      </c>
      <c r="G1997" t="str">
        <f>TRIM(RIGHT(Table156[[#This Row],[Item-Codigo]], LEN(Table156[[#This Row],[Item-Codigo]]) - FIND("|", CONCATENATE(B1997), FIND("|", CONCATENATE(B1997)) + 1)))</f>
        <v>KG</v>
      </c>
      <c r="H199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499.12</v>
      </c>
      <c r="I1997" s="40" t="s">
        <v>544</v>
      </c>
      <c r="J199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3020</v>
      </c>
      <c r="K1997" t="s">
        <v>972</v>
      </c>
    </row>
    <row r="1998" spans="1:11" x14ac:dyDescent="0.35">
      <c r="A1998" t="s">
        <v>305</v>
      </c>
      <c r="B1998" t="s">
        <v>1207</v>
      </c>
      <c r="C1998" t="s">
        <v>311</v>
      </c>
      <c r="D1998">
        <v>3.09</v>
      </c>
      <c r="E1998" t="s">
        <v>816</v>
      </c>
      <c r="F1998">
        <v>2024</v>
      </c>
      <c r="G1998" t="str">
        <f>TRIM(RIGHT(Table156[[#This Row],[Item-Codigo]], LEN(Table156[[#This Row],[Item-Codigo]]) - FIND("|", CONCATENATE(B1998), FIND("|", CONCATENATE(B1998)) + 1)))</f>
        <v>KG</v>
      </c>
      <c r="H199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499.12</v>
      </c>
      <c r="I1998" s="40" t="s">
        <v>544</v>
      </c>
      <c r="J199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3090</v>
      </c>
      <c r="K1998" t="s">
        <v>972</v>
      </c>
    </row>
    <row r="1999" spans="1:11" x14ac:dyDescent="0.35">
      <c r="A1999" t="s">
        <v>305</v>
      </c>
      <c r="B1999" t="s">
        <v>366</v>
      </c>
      <c r="C1999" t="s">
        <v>365</v>
      </c>
      <c r="D1999">
        <v>2.75</v>
      </c>
      <c r="E1999" t="s">
        <v>821</v>
      </c>
      <c r="F1999">
        <v>2024</v>
      </c>
      <c r="G1999" t="str">
        <f>TRIM(RIGHT(Table156[[#This Row],[Item-Codigo]], LEN(Table156[[#This Row],[Item-Codigo]]) - FIND("|", CONCATENATE(B1999), FIND("|", CONCATENATE(B1999)) + 1)))</f>
        <v>KG</v>
      </c>
      <c r="H199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499.11</v>
      </c>
      <c r="I1999" s="40" t="s">
        <v>543</v>
      </c>
      <c r="J199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2750</v>
      </c>
      <c r="K1999" t="s">
        <v>142</v>
      </c>
    </row>
    <row r="2000" spans="1:11" x14ac:dyDescent="0.35">
      <c r="A2000" t="s">
        <v>305</v>
      </c>
      <c r="B2000" t="s">
        <v>367</v>
      </c>
      <c r="C2000" t="s">
        <v>321</v>
      </c>
      <c r="D2000">
        <v>2.15</v>
      </c>
      <c r="E2000" t="s">
        <v>821</v>
      </c>
      <c r="F2000">
        <v>2024</v>
      </c>
      <c r="G2000" t="str">
        <f>TRIM(RIGHT(Table156[[#This Row],[Item-Codigo]], LEN(Table156[[#This Row],[Item-Codigo]]) - FIND("|", CONCATENATE(B2000), FIND("|", CONCATENATE(B2000)) + 1)))</f>
        <v>KG</v>
      </c>
      <c r="H200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910</v>
      </c>
      <c r="I2000" s="40">
        <v>910</v>
      </c>
      <c r="J200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2150</v>
      </c>
      <c r="K2000" t="s">
        <v>136</v>
      </c>
    </row>
    <row r="2001" spans="1:11" x14ac:dyDescent="0.35">
      <c r="A2001" t="s">
        <v>305</v>
      </c>
      <c r="B2001" t="s">
        <v>367</v>
      </c>
      <c r="C2001" t="s">
        <v>321</v>
      </c>
      <c r="D2001">
        <v>2.15</v>
      </c>
      <c r="E2001" t="s">
        <v>819</v>
      </c>
      <c r="F2001">
        <v>2024</v>
      </c>
      <c r="G2001" t="str">
        <f>TRIM(RIGHT(Table156[[#This Row],[Item-Codigo]], LEN(Table156[[#This Row],[Item-Codigo]]) - FIND("|", CONCATENATE(B2001), FIND("|", CONCATENATE(B2001)) + 1)))</f>
        <v>KG</v>
      </c>
      <c r="H200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910</v>
      </c>
      <c r="I2001" s="40">
        <v>910</v>
      </c>
      <c r="J200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2150</v>
      </c>
      <c r="K2001" t="s">
        <v>136</v>
      </c>
    </row>
    <row r="2002" spans="1:11" x14ac:dyDescent="0.35">
      <c r="A2002" t="s">
        <v>305</v>
      </c>
      <c r="B2002" t="s">
        <v>369</v>
      </c>
      <c r="C2002" t="s">
        <v>363</v>
      </c>
      <c r="D2002">
        <v>1.34</v>
      </c>
      <c r="E2002" t="s">
        <v>821</v>
      </c>
      <c r="F2002">
        <v>2024</v>
      </c>
      <c r="G2002" t="str">
        <f>TRIM(RIGHT(Table156[[#This Row],[Item-Codigo]], LEN(Table156[[#This Row],[Item-Codigo]]) - FIND("|", CONCATENATE(B2002), FIND("|", CONCATENATE(B2002)) + 1)))</f>
        <v>KG</v>
      </c>
      <c r="H200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439.3</v>
      </c>
      <c r="I2002" s="40" t="s">
        <v>530</v>
      </c>
      <c r="J200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1340</v>
      </c>
      <c r="K2002" t="s">
        <v>178</v>
      </c>
    </row>
    <row r="2003" spans="1:11" x14ac:dyDescent="0.35">
      <c r="A2003" t="s">
        <v>305</v>
      </c>
      <c r="B2003" t="s">
        <v>369</v>
      </c>
      <c r="C2003" t="s">
        <v>363</v>
      </c>
      <c r="D2003">
        <v>1.3148</v>
      </c>
      <c r="E2003" t="s">
        <v>816</v>
      </c>
      <c r="F2003">
        <v>2024</v>
      </c>
      <c r="G2003" t="str">
        <f>TRIM(RIGHT(Table156[[#This Row],[Item-Codigo]], LEN(Table156[[#This Row],[Item-Codigo]]) - FIND("|", CONCATENATE(B2003), FIND("|", CONCATENATE(B2003)) + 1)))</f>
        <v>KG</v>
      </c>
      <c r="H200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439.3</v>
      </c>
      <c r="I2003" s="40" t="s">
        <v>530</v>
      </c>
      <c r="J200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1314.8</v>
      </c>
      <c r="K2003" t="s">
        <v>178</v>
      </c>
    </row>
    <row r="2004" spans="1:11" x14ac:dyDescent="0.35">
      <c r="A2004" t="s">
        <v>305</v>
      </c>
      <c r="B2004" t="s">
        <v>370</v>
      </c>
      <c r="C2004" t="s">
        <v>371</v>
      </c>
      <c r="D2004">
        <v>9.56</v>
      </c>
      <c r="E2004" t="s">
        <v>816</v>
      </c>
      <c r="F2004">
        <v>2024</v>
      </c>
      <c r="G2004" t="str">
        <f>TRIM(RIGHT(Table156[[#This Row],[Item-Codigo]], LEN(Table156[[#This Row],[Item-Codigo]]) - FIND("|", CONCATENATE(B2004), FIND("|", CONCATENATE(B2004)) + 1)))</f>
        <v>KG</v>
      </c>
      <c r="H200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600</v>
      </c>
      <c r="I2004" s="40">
        <v>600</v>
      </c>
      <c r="J200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9560</v>
      </c>
      <c r="K2004" t="s">
        <v>179</v>
      </c>
    </row>
    <row r="2005" spans="1:11" x14ac:dyDescent="0.35">
      <c r="A2005" t="s">
        <v>305</v>
      </c>
      <c r="B2005" t="s">
        <v>1208</v>
      </c>
      <c r="C2005" t="s">
        <v>385</v>
      </c>
      <c r="D2005">
        <v>35</v>
      </c>
      <c r="E2005" t="s">
        <v>821</v>
      </c>
      <c r="F2005">
        <v>2024</v>
      </c>
      <c r="G2005" t="str">
        <f>TRIM(RIGHT(Table156[[#This Row],[Item-Codigo]], LEN(Table156[[#This Row],[Item-Codigo]]) - FIND("|", CONCATENATE(B2005), FIND("|", CONCATENATE(B2005)) + 1)))</f>
        <v>KG</v>
      </c>
      <c r="H200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913</v>
      </c>
      <c r="I2005" s="40">
        <v>913</v>
      </c>
      <c r="J200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35000</v>
      </c>
      <c r="K2005" t="s">
        <v>1048</v>
      </c>
    </row>
    <row r="2006" spans="1:11" x14ac:dyDescent="0.35">
      <c r="A2006" t="s">
        <v>305</v>
      </c>
      <c r="B2006" t="s">
        <v>1208</v>
      </c>
      <c r="C2006" t="s">
        <v>385</v>
      </c>
      <c r="D2006">
        <v>34</v>
      </c>
      <c r="E2006" t="s">
        <v>819</v>
      </c>
      <c r="F2006">
        <v>2024</v>
      </c>
      <c r="G2006" t="str">
        <f>TRIM(RIGHT(Table156[[#This Row],[Item-Codigo]], LEN(Table156[[#This Row],[Item-Codigo]]) - FIND("|", CONCATENATE(B2006), FIND("|", CONCATENATE(B2006)) + 1)))</f>
        <v>KG</v>
      </c>
      <c r="H200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913</v>
      </c>
      <c r="I2006" s="40">
        <v>913</v>
      </c>
      <c r="J200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34000</v>
      </c>
      <c r="K2006" t="s">
        <v>1048</v>
      </c>
    </row>
    <row r="2007" spans="1:11" x14ac:dyDescent="0.35">
      <c r="A2007" t="s">
        <v>305</v>
      </c>
      <c r="B2007" t="s">
        <v>374</v>
      </c>
      <c r="C2007" t="s">
        <v>317</v>
      </c>
      <c r="D2007">
        <v>15.9</v>
      </c>
      <c r="E2007" t="s">
        <v>816</v>
      </c>
      <c r="F2007">
        <v>2024</v>
      </c>
      <c r="G2007" t="str">
        <f>TRIM(RIGHT(Table156[[#This Row],[Item-Codigo]], LEN(Table156[[#This Row],[Item-Codigo]]) - FIND("|", CONCATENATE(B2007), FIND("|", CONCATENATE(B2007)) + 1)))</f>
        <v>KG</v>
      </c>
      <c r="H200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1051</v>
      </c>
      <c r="I2007" s="40">
        <v>1051</v>
      </c>
      <c r="J200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15900</v>
      </c>
      <c r="K2007" t="s">
        <v>173</v>
      </c>
    </row>
    <row r="2008" spans="1:11" x14ac:dyDescent="0.35">
      <c r="A2008" t="s">
        <v>305</v>
      </c>
      <c r="B2008" t="s">
        <v>375</v>
      </c>
      <c r="C2008" t="s">
        <v>317</v>
      </c>
      <c r="D2008">
        <v>6</v>
      </c>
      <c r="E2008" t="s">
        <v>821</v>
      </c>
      <c r="F2008">
        <v>2024</v>
      </c>
      <c r="G2008" t="str">
        <f>TRIM(RIGHT(Table156[[#This Row],[Item-Codigo]], LEN(Table156[[#This Row],[Item-Codigo]]) - FIND("|", CONCATENATE(B2008), FIND("|", CONCATENATE(B2008)) + 1)))</f>
        <v>KG</v>
      </c>
      <c r="H200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945</v>
      </c>
      <c r="I2008" s="40">
        <v>945</v>
      </c>
      <c r="J200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6000</v>
      </c>
      <c r="K2008" t="s">
        <v>148</v>
      </c>
    </row>
    <row r="2009" spans="1:11" x14ac:dyDescent="0.35">
      <c r="A2009" t="s">
        <v>305</v>
      </c>
      <c r="B2009" t="s">
        <v>376</v>
      </c>
      <c r="C2009" t="s">
        <v>379</v>
      </c>
      <c r="D2009">
        <v>2.15</v>
      </c>
      <c r="E2009" t="s">
        <v>816</v>
      </c>
      <c r="F2009">
        <v>2024</v>
      </c>
      <c r="G2009" t="str">
        <f>TRIM(RIGHT(Table156[[#This Row],[Item-Codigo]], LEN(Table156[[#This Row],[Item-Codigo]]) - FIND("|", CONCATENATE(B2009), FIND("|", CONCATENATE(B2009)) + 1)))</f>
        <v>KG</v>
      </c>
      <c r="H200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311</v>
      </c>
      <c r="I2009" s="40">
        <v>311</v>
      </c>
      <c r="J200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2150</v>
      </c>
      <c r="K2009" t="s">
        <v>168</v>
      </c>
    </row>
    <row r="2010" spans="1:11" x14ac:dyDescent="0.35">
      <c r="A2010" t="s">
        <v>305</v>
      </c>
      <c r="B2010" t="s">
        <v>380</v>
      </c>
      <c r="C2010" t="s">
        <v>331</v>
      </c>
      <c r="D2010">
        <v>3.6</v>
      </c>
      <c r="E2010" t="s">
        <v>818</v>
      </c>
      <c r="F2010">
        <v>2024</v>
      </c>
      <c r="G2010" t="str">
        <f>TRIM(RIGHT(Table156[[#This Row],[Item-Codigo]], LEN(Table156[[#This Row],[Item-Codigo]]) - FIND("|", CONCATENATE(B2010), FIND("|", CONCATENATE(B2010)) + 1)))</f>
        <v>KG</v>
      </c>
      <c r="H201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706</v>
      </c>
      <c r="I2010" s="40">
        <v>706</v>
      </c>
      <c r="J201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3600</v>
      </c>
      <c r="K2010" t="s">
        <v>156</v>
      </c>
    </row>
    <row r="2011" spans="1:11" x14ac:dyDescent="0.35">
      <c r="A2011" t="s">
        <v>305</v>
      </c>
      <c r="B2011" t="s">
        <v>380</v>
      </c>
      <c r="C2011" t="s">
        <v>331</v>
      </c>
      <c r="D2011">
        <v>3.6</v>
      </c>
      <c r="E2011" t="s">
        <v>819</v>
      </c>
      <c r="F2011">
        <v>2024</v>
      </c>
      <c r="G2011" t="str">
        <f>TRIM(RIGHT(Table156[[#This Row],[Item-Codigo]], LEN(Table156[[#This Row],[Item-Codigo]]) - FIND("|", CONCATENATE(B2011), FIND("|", CONCATENATE(B2011)) + 1)))</f>
        <v>KG</v>
      </c>
      <c r="H201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706</v>
      </c>
      <c r="I2011" s="40">
        <v>706</v>
      </c>
      <c r="J201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3600</v>
      </c>
      <c r="K2011" t="s">
        <v>156</v>
      </c>
    </row>
    <row r="2012" spans="1:11" x14ac:dyDescent="0.35">
      <c r="A2012" t="s">
        <v>305</v>
      </c>
      <c r="B2012" t="s">
        <v>380</v>
      </c>
      <c r="C2012" t="s">
        <v>331</v>
      </c>
      <c r="D2012">
        <v>3.6</v>
      </c>
      <c r="E2012" t="s">
        <v>816</v>
      </c>
      <c r="F2012">
        <v>2024</v>
      </c>
      <c r="G2012" t="str">
        <f>TRIM(RIGHT(Table156[[#This Row],[Item-Codigo]], LEN(Table156[[#This Row],[Item-Codigo]]) - FIND("|", CONCATENATE(B2012), FIND("|", CONCATENATE(B2012)) + 1)))</f>
        <v>KG</v>
      </c>
      <c r="H201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706</v>
      </c>
      <c r="I2012" s="40">
        <v>706</v>
      </c>
      <c r="J201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3600</v>
      </c>
      <c r="K2012" t="s">
        <v>156</v>
      </c>
    </row>
    <row r="2013" spans="1:11" x14ac:dyDescent="0.35">
      <c r="A2013" t="s">
        <v>305</v>
      </c>
      <c r="B2013" t="s">
        <v>382</v>
      </c>
      <c r="C2013" t="s">
        <v>327</v>
      </c>
      <c r="D2013">
        <v>7.5</v>
      </c>
      <c r="E2013" t="s">
        <v>819</v>
      </c>
      <c r="F2013">
        <v>2024</v>
      </c>
      <c r="G2013" t="str">
        <f>TRIM(RIGHT(Table156[[#This Row],[Item-Codigo]], LEN(Table156[[#This Row],[Item-Codigo]]) - FIND("|", CONCATENATE(B2013), FIND("|", CONCATENATE(B2013)) + 1)))</f>
        <v>KG</v>
      </c>
      <c r="H201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68</v>
      </c>
      <c r="I2013" s="40">
        <v>68</v>
      </c>
      <c r="J201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7500</v>
      </c>
      <c r="K2013" t="s">
        <v>160</v>
      </c>
    </row>
    <row r="2014" spans="1:11" x14ac:dyDescent="0.35">
      <c r="A2014" t="s">
        <v>305</v>
      </c>
      <c r="B2014" t="s">
        <v>383</v>
      </c>
      <c r="C2014" t="s">
        <v>345</v>
      </c>
      <c r="D2014">
        <v>7.8</v>
      </c>
      <c r="E2014" t="s">
        <v>821</v>
      </c>
      <c r="F2014">
        <v>2024</v>
      </c>
      <c r="G2014" t="str">
        <f>TRIM(RIGHT(Table156[[#This Row],[Item-Codigo]], LEN(Table156[[#This Row],[Item-Codigo]]) - FIND("|", CONCATENATE(B2014), FIND("|", CONCATENATE(B2014)) + 1)))</f>
        <v>KG</v>
      </c>
      <c r="H201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1059</v>
      </c>
      <c r="I2014" s="40">
        <v>1059</v>
      </c>
      <c r="J201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7800</v>
      </c>
      <c r="K2014" t="s">
        <v>151</v>
      </c>
    </row>
    <row r="2015" spans="1:11" x14ac:dyDescent="0.35">
      <c r="A2015" t="s">
        <v>305</v>
      </c>
      <c r="B2015" t="s">
        <v>383</v>
      </c>
      <c r="C2015" t="s">
        <v>345</v>
      </c>
      <c r="D2015">
        <v>7.8</v>
      </c>
      <c r="E2015" t="s">
        <v>818</v>
      </c>
      <c r="F2015">
        <v>2024</v>
      </c>
      <c r="G2015" t="str">
        <f>TRIM(RIGHT(Table156[[#This Row],[Item-Codigo]], LEN(Table156[[#This Row],[Item-Codigo]]) - FIND("|", CONCATENATE(B2015), FIND("|", CONCATENATE(B2015)) + 1)))</f>
        <v>KG</v>
      </c>
      <c r="H201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1059</v>
      </c>
      <c r="I2015" s="40">
        <v>1059</v>
      </c>
      <c r="J201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7800</v>
      </c>
      <c r="K2015" t="s">
        <v>151</v>
      </c>
    </row>
    <row r="2016" spans="1:11" x14ac:dyDescent="0.35">
      <c r="A2016" t="s">
        <v>305</v>
      </c>
      <c r="B2016" t="s">
        <v>383</v>
      </c>
      <c r="C2016" t="s">
        <v>345</v>
      </c>
      <c r="D2016">
        <v>7.8</v>
      </c>
      <c r="E2016" t="s">
        <v>819</v>
      </c>
      <c r="F2016">
        <v>2024</v>
      </c>
      <c r="G2016" t="str">
        <f>TRIM(RIGHT(Table156[[#This Row],[Item-Codigo]], LEN(Table156[[#This Row],[Item-Codigo]]) - FIND("|", CONCATENATE(B2016), FIND("|", CONCATENATE(B2016)) + 1)))</f>
        <v>KG</v>
      </c>
      <c r="H201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1059</v>
      </c>
      <c r="I2016" s="40">
        <v>1059</v>
      </c>
      <c r="J201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7800</v>
      </c>
      <c r="K2016" t="s">
        <v>151</v>
      </c>
    </row>
    <row r="2017" spans="1:11" x14ac:dyDescent="0.35">
      <c r="A2017" t="s">
        <v>305</v>
      </c>
      <c r="B2017" t="s">
        <v>383</v>
      </c>
      <c r="C2017" t="s">
        <v>345</v>
      </c>
      <c r="D2017">
        <v>7.8</v>
      </c>
      <c r="E2017" t="s">
        <v>816</v>
      </c>
      <c r="F2017">
        <v>2024</v>
      </c>
      <c r="G2017" t="str">
        <f>TRIM(RIGHT(Table156[[#This Row],[Item-Codigo]], LEN(Table156[[#This Row],[Item-Codigo]]) - FIND("|", CONCATENATE(B2017), FIND("|", CONCATENATE(B2017)) + 1)))</f>
        <v>KG</v>
      </c>
      <c r="H201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1059</v>
      </c>
      <c r="I2017" s="40">
        <v>1059</v>
      </c>
      <c r="J201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7800</v>
      </c>
      <c r="K2017" t="s">
        <v>151</v>
      </c>
    </row>
    <row r="2018" spans="1:11" x14ac:dyDescent="0.35">
      <c r="A2018" t="s">
        <v>305</v>
      </c>
      <c r="B2018" t="s">
        <v>1209</v>
      </c>
      <c r="C2018" t="s">
        <v>927</v>
      </c>
      <c r="D2018">
        <v>117.3</v>
      </c>
      <c r="E2018" t="s">
        <v>818</v>
      </c>
      <c r="F2018">
        <v>2024</v>
      </c>
      <c r="G2018" t="str">
        <f>TRIM(RIGHT(Table156[[#This Row],[Item-Codigo]], LEN(Table156[[#This Row],[Item-Codigo]]) - FIND("|", CONCATENATE(B2018), FIND("|", CONCATENATE(B2018)) + 1)))</f>
        <v>KG</v>
      </c>
      <c r="H201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527</v>
      </c>
      <c r="I2018" s="40">
        <v>527</v>
      </c>
      <c r="J201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117300</v>
      </c>
      <c r="K2018" t="s">
        <v>1078</v>
      </c>
    </row>
    <row r="2019" spans="1:11" x14ac:dyDescent="0.35">
      <c r="A2019" t="s">
        <v>305</v>
      </c>
      <c r="B2019" t="s">
        <v>1209</v>
      </c>
      <c r="C2019" t="s">
        <v>927</v>
      </c>
      <c r="D2019">
        <v>117.3</v>
      </c>
      <c r="E2019" t="s">
        <v>816</v>
      </c>
      <c r="F2019">
        <v>2024</v>
      </c>
      <c r="G2019" t="str">
        <f>TRIM(RIGHT(Table156[[#This Row],[Item-Codigo]], LEN(Table156[[#This Row],[Item-Codigo]]) - FIND("|", CONCATENATE(B2019), FIND("|", CONCATENATE(B2019)) + 1)))</f>
        <v>KG</v>
      </c>
      <c r="H201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527</v>
      </c>
      <c r="I2019" s="40">
        <v>527</v>
      </c>
      <c r="J201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117300</v>
      </c>
      <c r="K2019" t="s">
        <v>1078</v>
      </c>
    </row>
    <row r="2020" spans="1:11" x14ac:dyDescent="0.35">
      <c r="A2020" t="s">
        <v>305</v>
      </c>
      <c r="B2020" t="s">
        <v>386</v>
      </c>
      <c r="C2020" t="s">
        <v>387</v>
      </c>
      <c r="D2020">
        <v>5.8</v>
      </c>
      <c r="E2020" t="s">
        <v>819</v>
      </c>
      <c r="F2020">
        <v>2024</v>
      </c>
      <c r="G2020" t="str">
        <f>TRIM(RIGHT(Table156[[#This Row],[Item-Codigo]], LEN(Table156[[#This Row],[Item-Codigo]]) - FIND("|", CONCATENATE(B2020), FIND("|", CONCATENATE(B2020)) + 1)))</f>
        <v>KG</v>
      </c>
      <c r="H202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110.2</v>
      </c>
      <c r="I2020" s="40" t="s">
        <v>522</v>
      </c>
      <c r="J202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5800</v>
      </c>
      <c r="K2020" t="s">
        <v>170</v>
      </c>
    </row>
    <row r="2021" spans="1:11" x14ac:dyDescent="0.35">
      <c r="A2021" t="s">
        <v>305</v>
      </c>
      <c r="B2021" t="s">
        <v>386</v>
      </c>
      <c r="C2021" t="s">
        <v>313</v>
      </c>
      <c r="D2021">
        <v>6.6</v>
      </c>
      <c r="E2021" t="s">
        <v>821</v>
      </c>
      <c r="F2021">
        <v>2024</v>
      </c>
      <c r="G2021" t="str">
        <f>TRIM(RIGHT(Table156[[#This Row],[Item-Codigo]], LEN(Table156[[#This Row],[Item-Codigo]]) - FIND("|", CONCATENATE(B2021), FIND("|", CONCATENATE(B2021)) + 1)))</f>
        <v>KG</v>
      </c>
      <c r="H202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110.2</v>
      </c>
      <c r="I2021" s="40" t="s">
        <v>522</v>
      </c>
      <c r="J202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6600</v>
      </c>
      <c r="K2021" t="s">
        <v>170</v>
      </c>
    </row>
    <row r="2022" spans="1:11" x14ac:dyDescent="0.35">
      <c r="A2022" t="s">
        <v>305</v>
      </c>
      <c r="B2022" t="s">
        <v>386</v>
      </c>
      <c r="C2022" t="s">
        <v>351</v>
      </c>
      <c r="D2022">
        <v>5.93</v>
      </c>
      <c r="E2022" t="s">
        <v>818</v>
      </c>
      <c r="F2022">
        <v>2024</v>
      </c>
      <c r="G2022" t="str">
        <f>TRIM(RIGHT(Table156[[#This Row],[Item-Codigo]], LEN(Table156[[#This Row],[Item-Codigo]]) - FIND("|", CONCATENATE(B2022), FIND("|", CONCATENATE(B2022)) + 1)))</f>
        <v>KG</v>
      </c>
      <c r="H202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110.2</v>
      </c>
      <c r="I2022" s="40" t="s">
        <v>522</v>
      </c>
      <c r="J202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5930</v>
      </c>
      <c r="K2022" t="s">
        <v>170</v>
      </c>
    </row>
    <row r="2023" spans="1:11" x14ac:dyDescent="0.35">
      <c r="A2023" t="s">
        <v>305</v>
      </c>
      <c r="B2023" t="s">
        <v>388</v>
      </c>
      <c r="C2023" t="s">
        <v>321</v>
      </c>
      <c r="D2023">
        <v>7.4</v>
      </c>
      <c r="E2023" t="s">
        <v>821</v>
      </c>
      <c r="F2023">
        <v>2024</v>
      </c>
      <c r="G2023" t="str">
        <f>TRIM(RIGHT(Table156[[#This Row],[Item-Codigo]], LEN(Table156[[#This Row],[Item-Codigo]]) - FIND("|", CONCATENATE(B2023), FIND("|", CONCATENATE(B2023)) + 1)))</f>
        <v>KG</v>
      </c>
      <c r="H202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1068</v>
      </c>
      <c r="I2023" s="40">
        <v>1068</v>
      </c>
      <c r="J202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7400</v>
      </c>
      <c r="K2023" t="s">
        <v>145</v>
      </c>
    </row>
    <row r="2024" spans="1:11" x14ac:dyDescent="0.35">
      <c r="A2024" t="s">
        <v>305</v>
      </c>
      <c r="B2024" t="s">
        <v>388</v>
      </c>
      <c r="C2024" t="s">
        <v>321</v>
      </c>
      <c r="D2024">
        <v>7.4</v>
      </c>
      <c r="E2024" t="s">
        <v>818</v>
      </c>
      <c r="F2024">
        <v>2024</v>
      </c>
      <c r="G2024" t="str">
        <f>TRIM(RIGHT(Table156[[#This Row],[Item-Codigo]], LEN(Table156[[#This Row],[Item-Codigo]]) - FIND("|", CONCATENATE(B2024), FIND("|", CONCATENATE(B2024)) + 1)))</f>
        <v>KG</v>
      </c>
      <c r="H202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1068</v>
      </c>
      <c r="I2024" s="40">
        <v>1068</v>
      </c>
      <c r="J202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7400</v>
      </c>
      <c r="K2024" t="s">
        <v>145</v>
      </c>
    </row>
    <row r="2025" spans="1:11" x14ac:dyDescent="0.35">
      <c r="A2025" t="s">
        <v>305</v>
      </c>
      <c r="B2025" t="s">
        <v>388</v>
      </c>
      <c r="C2025" t="s">
        <v>321</v>
      </c>
      <c r="D2025">
        <v>7.4</v>
      </c>
      <c r="E2025" t="s">
        <v>816</v>
      </c>
      <c r="F2025">
        <v>2024</v>
      </c>
      <c r="G2025" t="str">
        <f>TRIM(RIGHT(Table156[[#This Row],[Item-Codigo]], LEN(Table156[[#This Row],[Item-Codigo]]) - FIND("|", CONCATENATE(B2025), FIND("|", CONCATENATE(B2025)) + 1)))</f>
        <v>KG</v>
      </c>
      <c r="H202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1068</v>
      </c>
      <c r="I2025" s="40">
        <v>1068</v>
      </c>
      <c r="J202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7400</v>
      </c>
      <c r="K2025" t="s">
        <v>145</v>
      </c>
    </row>
    <row r="2026" spans="1:11" x14ac:dyDescent="0.35">
      <c r="A2026" t="s">
        <v>305</v>
      </c>
      <c r="B2026" t="s">
        <v>389</v>
      </c>
      <c r="C2026" t="s">
        <v>390</v>
      </c>
      <c r="D2026">
        <v>1.05</v>
      </c>
      <c r="E2026" t="s">
        <v>821</v>
      </c>
      <c r="F2026">
        <v>2024</v>
      </c>
      <c r="G2026" t="str">
        <f>TRIM(RIGHT(Table156[[#This Row],[Item-Codigo]], LEN(Table156[[#This Row],[Item-Codigo]]) - FIND("|", CONCATENATE(B2026), FIND("|", CONCATENATE(B2026)) + 1)))</f>
        <v>KG</v>
      </c>
      <c r="H202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806</v>
      </c>
      <c r="I2026" s="40">
        <v>806</v>
      </c>
      <c r="J202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1050</v>
      </c>
      <c r="K2026" t="s">
        <v>134</v>
      </c>
    </row>
    <row r="2027" spans="1:11" x14ac:dyDescent="0.35">
      <c r="A2027" t="s">
        <v>305</v>
      </c>
      <c r="B2027" t="s">
        <v>389</v>
      </c>
      <c r="C2027" t="s">
        <v>390</v>
      </c>
      <c r="D2027">
        <v>1.05</v>
      </c>
      <c r="E2027" t="s">
        <v>818</v>
      </c>
      <c r="F2027">
        <v>2024</v>
      </c>
      <c r="G2027" t="str">
        <f>TRIM(RIGHT(Table156[[#This Row],[Item-Codigo]], LEN(Table156[[#This Row],[Item-Codigo]]) - FIND("|", CONCATENATE(B2027), FIND("|", CONCATENATE(B2027)) + 1)))</f>
        <v>KG</v>
      </c>
      <c r="H202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806</v>
      </c>
      <c r="I2027" s="40">
        <v>806</v>
      </c>
      <c r="J202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1050</v>
      </c>
      <c r="K2027" t="s">
        <v>134</v>
      </c>
    </row>
    <row r="2028" spans="1:11" x14ac:dyDescent="0.35">
      <c r="A2028" t="s">
        <v>305</v>
      </c>
      <c r="B2028" t="s">
        <v>389</v>
      </c>
      <c r="C2028" t="s">
        <v>390</v>
      </c>
      <c r="D2028">
        <v>1.05</v>
      </c>
      <c r="E2028" t="s">
        <v>819</v>
      </c>
      <c r="F2028">
        <v>2024</v>
      </c>
      <c r="G2028" t="str">
        <f>TRIM(RIGHT(Table156[[#This Row],[Item-Codigo]], LEN(Table156[[#This Row],[Item-Codigo]]) - FIND("|", CONCATENATE(B2028), FIND("|", CONCATENATE(B2028)) + 1)))</f>
        <v>KG</v>
      </c>
      <c r="H202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806</v>
      </c>
      <c r="I2028" s="40">
        <v>806</v>
      </c>
      <c r="J202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1050</v>
      </c>
      <c r="K2028" t="s">
        <v>134</v>
      </c>
    </row>
    <row r="2029" spans="1:11" x14ac:dyDescent="0.35">
      <c r="A2029" t="s">
        <v>305</v>
      </c>
      <c r="B2029" t="s">
        <v>389</v>
      </c>
      <c r="C2029" t="s">
        <v>390</v>
      </c>
      <c r="D2029">
        <v>1.05</v>
      </c>
      <c r="E2029" t="s">
        <v>816</v>
      </c>
      <c r="F2029">
        <v>2024</v>
      </c>
      <c r="G2029" t="str">
        <f>TRIM(RIGHT(Table156[[#This Row],[Item-Codigo]], LEN(Table156[[#This Row],[Item-Codigo]]) - FIND("|", CONCATENATE(B2029), FIND("|", CONCATENATE(B2029)) + 1)))</f>
        <v>KG</v>
      </c>
      <c r="H202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806</v>
      </c>
      <c r="I2029" s="40">
        <v>806</v>
      </c>
      <c r="J202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1050</v>
      </c>
      <c r="K2029" t="s">
        <v>134</v>
      </c>
    </row>
    <row r="2030" spans="1:11" x14ac:dyDescent="0.35">
      <c r="A2030" t="s">
        <v>305</v>
      </c>
      <c r="B2030" t="s">
        <v>391</v>
      </c>
      <c r="C2030" t="s">
        <v>390</v>
      </c>
      <c r="D2030">
        <v>2</v>
      </c>
      <c r="E2030" t="s">
        <v>816</v>
      </c>
      <c r="F2030">
        <v>2024</v>
      </c>
      <c r="G2030" t="str">
        <f>TRIM(RIGHT(Table156[[#This Row],[Item-Codigo]], LEN(Table156[[#This Row],[Item-Codigo]]) - FIND("|", CONCATENATE(B2030), FIND("|", CONCATENATE(B2030)) + 1)))</f>
        <v>KG</v>
      </c>
      <c r="H203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810</v>
      </c>
      <c r="I2030" s="40">
        <v>810</v>
      </c>
      <c r="J203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2000</v>
      </c>
      <c r="K2030" t="s">
        <v>144</v>
      </c>
    </row>
    <row r="2031" spans="1:11" x14ac:dyDescent="0.35">
      <c r="A2031" t="s">
        <v>305</v>
      </c>
      <c r="B2031" t="s">
        <v>1210</v>
      </c>
      <c r="C2031" t="s">
        <v>365</v>
      </c>
      <c r="D2031">
        <v>3.88</v>
      </c>
      <c r="E2031" t="s">
        <v>818</v>
      </c>
      <c r="F2031">
        <v>2024</v>
      </c>
      <c r="G2031" t="str">
        <f>TRIM(RIGHT(Table156[[#This Row],[Item-Codigo]], LEN(Table156[[#This Row],[Item-Codigo]]) - FIND("|", CONCATENATE(B2031), FIND("|", CONCATENATE(B2031)) + 1)))</f>
        <v>KG</v>
      </c>
      <c r="H203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456.7</v>
      </c>
      <c r="I2031" s="40" t="s">
        <v>1213</v>
      </c>
      <c r="J203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3880</v>
      </c>
      <c r="K2031" t="s">
        <v>1050</v>
      </c>
    </row>
    <row r="2032" spans="1:11" x14ac:dyDescent="0.35">
      <c r="A2032" t="s">
        <v>305</v>
      </c>
      <c r="B2032" t="s">
        <v>392</v>
      </c>
      <c r="C2032" t="s">
        <v>393</v>
      </c>
      <c r="D2032">
        <v>2.8</v>
      </c>
      <c r="E2032" t="s">
        <v>819</v>
      </c>
      <c r="F2032">
        <v>2024</v>
      </c>
      <c r="G2032" t="str">
        <f>TRIM(RIGHT(Table156[[#This Row],[Item-Codigo]], LEN(Table156[[#This Row],[Item-Codigo]]) - FIND("|", CONCATENATE(B2032), FIND("|", CONCATENATE(B2032)) + 1)))</f>
        <v>KG</v>
      </c>
      <c r="H203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170</v>
      </c>
      <c r="I2032" s="40">
        <v>170</v>
      </c>
      <c r="J203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2800</v>
      </c>
      <c r="K2032" t="s">
        <v>174</v>
      </c>
    </row>
    <row r="2033" spans="1:11" x14ac:dyDescent="0.35">
      <c r="A2033" t="s">
        <v>305</v>
      </c>
      <c r="B2033" t="s">
        <v>394</v>
      </c>
      <c r="C2033" t="s">
        <v>395</v>
      </c>
      <c r="D2033">
        <v>18.5</v>
      </c>
      <c r="E2033" t="s">
        <v>816</v>
      </c>
      <c r="F2033">
        <v>2024</v>
      </c>
      <c r="G2033" t="str">
        <f>TRIM(RIGHT(Table156[[#This Row],[Item-Codigo]], LEN(Table156[[#This Row],[Item-Codigo]]) - FIND("|", CONCATENATE(B2033), FIND("|", CONCATENATE(B2033)) + 1)))</f>
        <v>KG</v>
      </c>
      <c r="H203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</v>
      </c>
      <c r="I2033" s="40">
        <v>70</v>
      </c>
      <c r="J203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18500</v>
      </c>
      <c r="K2033" t="s">
        <v>159</v>
      </c>
    </row>
    <row r="2034" spans="1:11" x14ac:dyDescent="0.35">
      <c r="A2034" t="s">
        <v>305</v>
      </c>
      <c r="B2034" t="s">
        <v>396</v>
      </c>
      <c r="C2034" t="s">
        <v>345</v>
      </c>
      <c r="D2034">
        <v>13</v>
      </c>
      <c r="E2034" t="s">
        <v>821</v>
      </c>
      <c r="F2034">
        <v>2024</v>
      </c>
      <c r="G2034" t="str">
        <f>TRIM(RIGHT(Table156[[#This Row],[Item-Codigo]], LEN(Table156[[#This Row],[Item-Codigo]]) - FIND("|", CONCATENATE(B2034), FIND("|", CONCATENATE(B2034)) + 1)))</f>
        <v>KG</v>
      </c>
      <c r="H203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58</v>
      </c>
      <c r="I2034" s="40">
        <v>58</v>
      </c>
      <c r="J203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13000</v>
      </c>
      <c r="K2034" t="s">
        <v>172</v>
      </c>
    </row>
    <row r="2035" spans="1:11" x14ac:dyDescent="0.35">
      <c r="A2035" t="s">
        <v>305</v>
      </c>
      <c r="B2035" t="s">
        <v>396</v>
      </c>
      <c r="C2035" t="s">
        <v>345</v>
      </c>
      <c r="D2035">
        <v>13</v>
      </c>
      <c r="E2035" t="s">
        <v>818</v>
      </c>
      <c r="F2035">
        <v>2024</v>
      </c>
      <c r="G2035" t="str">
        <f>TRIM(RIGHT(Table156[[#This Row],[Item-Codigo]], LEN(Table156[[#This Row],[Item-Codigo]]) - FIND("|", CONCATENATE(B2035), FIND("|", CONCATENATE(B2035)) + 1)))</f>
        <v>KG</v>
      </c>
      <c r="H203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58</v>
      </c>
      <c r="I2035" s="40">
        <v>58</v>
      </c>
      <c r="J203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13000</v>
      </c>
      <c r="K2035" t="s">
        <v>172</v>
      </c>
    </row>
    <row r="2036" spans="1:11" x14ac:dyDescent="0.35">
      <c r="A2036" t="s">
        <v>305</v>
      </c>
      <c r="B2036" t="s">
        <v>396</v>
      </c>
      <c r="C2036" t="s">
        <v>345</v>
      </c>
      <c r="D2036">
        <v>13</v>
      </c>
      <c r="E2036" t="s">
        <v>816</v>
      </c>
      <c r="F2036">
        <v>2024</v>
      </c>
      <c r="G2036" t="str">
        <f>TRIM(RIGHT(Table156[[#This Row],[Item-Codigo]], LEN(Table156[[#This Row],[Item-Codigo]]) - FIND("|", CONCATENATE(B2036), FIND("|", CONCATENATE(B2036)) + 1)))</f>
        <v>KG</v>
      </c>
      <c r="H203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58</v>
      </c>
      <c r="I2036" s="40">
        <v>58</v>
      </c>
      <c r="J203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13000</v>
      </c>
      <c r="K2036" t="s">
        <v>172</v>
      </c>
    </row>
    <row r="2037" spans="1:11" x14ac:dyDescent="0.35">
      <c r="A2037" t="s">
        <v>305</v>
      </c>
      <c r="B2037" t="s">
        <v>397</v>
      </c>
      <c r="C2037" t="s">
        <v>327</v>
      </c>
      <c r="D2037">
        <v>9</v>
      </c>
      <c r="E2037" t="s">
        <v>821</v>
      </c>
      <c r="F2037">
        <v>2024</v>
      </c>
      <c r="G2037" t="str">
        <f>TRIM(RIGHT(Table156[[#This Row],[Item-Codigo]], LEN(Table156[[#This Row],[Item-Codigo]]) - FIND("|", CONCATENATE(B2037), FIND("|", CONCATENATE(B2037)) + 1)))</f>
        <v>KG</v>
      </c>
      <c r="H203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933</v>
      </c>
      <c r="I2037" s="40">
        <v>933</v>
      </c>
      <c r="J203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2037" t="s">
        <v>163</v>
      </c>
    </row>
    <row r="2038" spans="1:11" x14ac:dyDescent="0.35">
      <c r="A2038" t="s">
        <v>305</v>
      </c>
      <c r="B2038" t="s">
        <v>397</v>
      </c>
      <c r="C2038" t="s">
        <v>327</v>
      </c>
      <c r="D2038">
        <v>9</v>
      </c>
      <c r="E2038" t="s">
        <v>819</v>
      </c>
      <c r="F2038">
        <v>2024</v>
      </c>
      <c r="G2038" t="str">
        <f>TRIM(RIGHT(Table156[[#This Row],[Item-Codigo]], LEN(Table156[[#This Row],[Item-Codigo]]) - FIND("|", CONCATENATE(B2038), FIND("|", CONCATENATE(B2038)) + 1)))</f>
        <v>KG</v>
      </c>
      <c r="H203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933</v>
      </c>
      <c r="I2038" s="40">
        <v>933</v>
      </c>
      <c r="J203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9000</v>
      </c>
      <c r="K2038" t="s">
        <v>163</v>
      </c>
    </row>
    <row r="2039" spans="1:11" x14ac:dyDescent="0.35">
      <c r="A2039" t="s">
        <v>305</v>
      </c>
      <c r="B2039" t="s">
        <v>398</v>
      </c>
      <c r="C2039" t="s">
        <v>399</v>
      </c>
      <c r="D2039">
        <v>0.15687732339999999</v>
      </c>
      <c r="E2039" t="s">
        <v>821</v>
      </c>
      <c r="F2039">
        <v>2024</v>
      </c>
      <c r="G2039" t="str">
        <f>TRIM(RIGHT(Table156[[#This Row],[Item-Codigo]], LEN(Table156[[#This Row],[Item-Codigo]]) - FIND("|", CONCATENATE(B2039), FIND("|", CONCATENATE(B2039)) + 1)))</f>
        <v>KG</v>
      </c>
      <c r="H203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704</v>
      </c>
      <c r="I2039" s="40">
        <v>704</v>
      </c>
      <c r="J203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156.87732339999999</v>
      </c>
      <c r="K2039" t="s">
        <v>132</v>
      </c>
    </row>
    <row r="2040" spans="1:11" x14ac:dyDescent="0.35">
      <c r="A2040" t="s">
        <v>305</v>
      </c>
      <c r="B2040" t="s">
        <v>398</v>
      </c>
      <c r="C2040" t="s">
        <v>399</v>
      </c>
      <c r="D2040">
        <v>0.16880000000000001</v>
      </c>
      <c r="E2040" t="s">
        <v>818</v>
      </c>
      <c r="F2040">
        <v>2024</v>
      </c>
      <c r="G2040" t="str">
        <f>TRIM(RIGHT(Table156[[#This Row],[Item-Codigo]], LEN(Table156[[#This Row],[Item-Codigo]]) - FIND("|", CONCATENATE(B2040), FIND("|", CONCATENATE(B2040)) + 1)))</f>
        <v>KG</v>
      </c>
      <c r="H204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704</v>
      </c>
      <c r="I2040" s="40">
        <v>704</v>
      </c>
      <c r="J204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168.8</v>
      </c>
      <c r="K2040" t="s">
        <v>132</v>
      </c>
    </row>
    <row r="2041" spans="1:11" x14ac:dyDescent="0.35">
      <c r="A2041" t="s">
        <v>305</v>
      </c>
      <c r="B2041" t="s">
        <v>398</v>
      </c>
      <c r="C2041" t="s">
        <v>399</v>
      </c>
      <c r="D2041">
        <v>0.16880000000000001</v>
      </c>
      <c r="E2041" t="s">
        <v>819</v>
      </c>
      <c r="F2041">
        <v>2024</v>
      </c>
      <c r="G2041" t="str">
        <f>TRIM(RIGHT(Table156[[#This Row],[Item-Codigo]], LEN(Table156[[#This Row],[Item-Codigo]]) - FIND("|", CONCATENATE(B2041), FIND("|", CONCATENATE(B2041)) + 1)))</f>
        <v>KG</v>
      </c>
      <c r="H204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704</v>
      </c>
      <c r="I2041" s="40">
        <v>704</v>
      </c>
      <c r="J204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168.8</v>
      </c>
      <c r="K2041" t="s">
        <v>132</v>
      </c>
    </row>
    <row r="2042" spans="1:11" x14ac:dyDescent="0.35">
      <c r="A2042" t="s">
        <v>305</v>
      </c>
      <c r="B2042" t="s">
        <v>398</v>
      </c>
      <c r="C2042" t="s">
        <v>399</v>
      </c>
      <c r="D2042">
        <v>0.16256173909999999</v>
      </c>
      <c r="E2042" t="s">
        <v>816</v>
      </c>
      <c r="F2042">
        <v>2024</v>
      </c>
      <c r="G2042" t="str">
        <f>TRIM(RIGHT(Table156[[#This Row],[Item-Codigo]], LEN(Table156[[#This Row],[Item-Codigo]]) - FIND("|", CONCATENATE(B2042), FIND("|", CONCATENATE(B2042)) + 1)))</f>
        <v>KG</v>
      </c>
      <c r="H204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704</v>
      </c>
      <c r="I2042" s="40">
        <v>704</v>
      </c>
      <c r="J204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162.56173909999998</v>
      </c>
      <c r="K2042" t="s">
        <v>132</v>
      </c>
    </row>
    <row r="2043" spans="1:11" x14ac:dyDescent="0.35">
      <c r="A2043" t="s">
        <v>305</v>
      </c>
      <c r="B2043" t="s">
        <v>923</v>
      </c>
      <c r="C2043" t="s">
        <v>924</v>
      </c>
      <c r="D2043">
        <v>15.88</v>
      </c>
      <c r="E2043" t="s">
        <v>818</v>
      </c>
      <c r="F2043">
        <v>2024</v>
      </c>
      <c r="G2043" t="str">
        <f>TRIM(RIGHT(Table156[[#This Row],[Item-Codigo]], LEN(Table156[[#This Row],[Item-Codigo]]) - FIND("|", CONCATENATE(B2043), FIND("|", CONCATENATE(B2043)) + 1)))</f>
        <v>KG</v>
      </c>
      <c r="H204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601</v>
      </c>
      <c r="I2043" s="40">
        <v>601</v>
      </c>
      <c r="J204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15880</v>
      </c>
      <c r="K2043" t="s">
        <v>167</v>
      </c>
    </row>
    <row r="2044" spans="1:11" x14ac:dyDescent="0.35">
      <c r="A2044" t="s">
        <v>305</v>
      </c>
      <c r="B2044" t="s">
        <v>923</v>
      </c>
      <c r="C2044" t="s">
        <v>924</v>
      </c>
      <c r="D2044">
        <v>15.88</v>
      </c>
      <c r="E2044" t="s">
        <v>816</v>
      </c>
      <c r="F2044">
        <v>2024</v>
      </c>
      <c r="G2044" t="str">
        <f>TRIM(RIGHT(Table156[[#This Row],[Item-Codigo]], LEN(Table156[[#This Row],[Item-Codigo]]) - FIND("|", CONCATENATE(B2044), FIND("|", CONCATENATE(B2044)) + 1)))</f>
        <v>KG</v>
      </c>
      <c r="H204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601</v>
      </c>
      <c r="I2044" s="40">
        <v>601</v>
      </c>
      <c r="J204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15880</v>
      </c>
      <c r="K2044" t="s">
        <v>167</v>
      </c>
    </row>
    <row r="2045" spans="1:11" x14ac:dyDescent="0.35">
      <c r="A2045" t="s">
        <v>305</v>
      </c>
      <c r="B2045" t="s">
        <v>1007</v>
      </c>
      <c r="C2045" t="s">
        <v>1005</v>
      </c>
      <c r="D2045">
        <v>2.0499999999999998</v>
      </c>
      <c r="E2045" t="s">
        <v>821</v>
      </c>
      <c r="F2045">
        <v>2024</v>
      </c>
      <c r="G2045" t="str">
        <f>TRIM(RIGHT(Table156[[#This Row],[Item-Codigo]], LEN(Table156[[#This Row],[Item-Codigo]]) - FIND("|", CONCATENATE(B2045), FIND("|", CONCATENATE(B2045)) + 1)))</f>
        <v>KG</v>
      </c>
      <c r="H204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921</v>
      </c>
      <c r="I2045" s="40">
        <v>921</v>
      </c>
      <c r="J204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2050</v>
      </c>
      <c r="K2045" t="s">
        <v>1007</v>
      </c>
    </row>
    <row r="2046" spans="1:11" x14ac:dyDescent="0.35">
      <c r="A2046" t="s">
        <v>305</v>
      </c>
      <c r="B2046" t="s">
        <v>925</v>
      </c>
      <c r="C2046" t="s">
        <v>1211</v>
      </c>
      <c r="D2046">
        <v>15.6</v>
      </c>
      <c r="E2046" t="s">
        <v>819</v>
      </c>
      <c r="F2046">
        <v>2024</v>
      </c>
      <c r="G2046" t="str">
        <f>TRIM(RIGHT(Table156[[#This Row],[Item-Codigo]], LEN(Table156[[#This Row],[Item-Codigo]]) - FIND("|", CONCATENATE(B2046), FIND("|", CONCATENATE(B2046)) + 1)))</f>
        <v>KG</v>
      </c>
      <c r="H204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1050</v>
      </c>
      <c r="I2046" s="40">
        <v>1050</v>
      </c>
      <c r="J204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15600</v>
      </c>
      <c r="K2046" t="s">
        <v>973</v>
      </c>
    </row>
    <row r="2047" spans="1:11" x14ac:dyDescent="0.35">
      <c r="A2047" t="s">
        <v>305</v>
      </c>
      <c r="B2047" t="s">
        <v>925</v>
      </c>
      <c r="C2047" t="s">
        <v>1211</v>
      </c>
      <c r="D2047">
        <v>15.6</v>
      </c>
      <c r="E2047" t="s">
        <v>816</v>
      </c>
      <c r="F2047">
        <v>2024</v>
      </c>
      <c r="G2047" t="str">
        <f>TRIM(RIGHT(Table156[[#This Row],[Item-Codigo]], LEN(Table156[[#This Row],[Item-Codigo]]) - FIND("|", CONCATENATE(B2047), FIND("|", CONCATENATE(B2047)) + 1)))</f>
        <v>KG</v>
      </c>
      <c r="H204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1050</v>
      </c>
      <c r="I2047" s="40">
        <v>1050</v>
      </c>
      <c r="J204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15600</v>
      </c>
      <c r="K2047" t="s">
        <v>973</v>
      </c>
    </row>
    <row r="2048" spans="1:11" x14ac:dyDescent="0.35">
      <c r="A2048" t="s">
        <v>305</v>
      </c>
      <c r="B2048" t="s">
        <v>925</v>
      </c>
      <c r="C2048" t="s">
        <v>345</v>
      </c>
      <c r="D2048">
        <v>28</v>
      </c>
      <c r="E2048" t="s">
        <v>821</v>
      </c>
      <c r="F2048">
        <v>2024</v>
      </c>
      <c r="G2048" t="str">
        <f>TRIM(RIGHT(Table156[[#This Row],[Item-Codigo]], LEN(Table156[[#This Row],[Item-Codigo]]) - FIND("|", CONCATENATE(B2048), FIND("|", CONCATENATE(B2048)) + 1)))</f>
        <v>KG</v>
      </c>
      <c r="H204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1050</v>
      </c>
      <c r="I2048" s="40">
        <v>1050</v>
      </c>
      <c r="J204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28000</v>
      </c>
      <c r="K2048" t="s">
        <v>973</v>
      </c>
    </row>
    <row r="2049" spans="1:11" x14ac:dyDescent="0.35">
      <c r="A2049" t="s">
        <v>305</v>
      </c>
      <c r="B2049" t="s">
        <v>402</v>
      </c>
      <c r="C2049" t="s">
        <v>404</v>
      </c>
      <c r="D2049">
        <v>3.25</v>
      </c>
      <c r="E2049" t="s">
        <v>821</v>
      </c>
      <c r="F2049">
        <v>2024</v>
      </c>
      <c r="G2049" t="str">
        <f>TRIM(RIGHT(Table156[[#This Row],[Item-Codigo]], LEN(Table156[[#This Row],[Item-Codigo]]) - FIND("|", CONCATENATE(B2049), FIND("|", CONCATENATE(B2049)) + 1)))</f>
        <v>KG</v>
      </c>
      <c r="H204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716</v>
      </c>
      <c r="I2049" s="40">
        <v>716</v>
      </c>
      <c r="J204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3250</v>
      </c>
      <c r="K2049" t="s">
        <v>162</v>
      </c>
    </row>
    <row r="2050" spans="1:11" x14ac:dyDescent="0.35">
      <c r="A2050" t="s">
        <v>305</v>
      </c>
      <c r="B2050" t="s">
        <v>402</v>
      </c>
      <c r="C2050" t="s">
        <v>404</v>
      </c>
      <c r="D2050">
        <v>3.25</v>
      </c>
      <c r="E2050" t="s">
        <v>818</v>
      </c>
      <c r="F2050">
        <v>2024</v>
      </c>
      <c r="G2050" t="str">
        <f>TRIM(RIGHT(Table156[[#This Row],[Item-Codigo]], LEN(Table156[[#This Row],[Item-Codigo]]) - FIND("|", CONCATENATE(B2050), FIND("|", CONCATENATE(B2050)) + 1)))</f>
        <v>KG</v>
      </c>
      <c r="H205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716</v>
      </c>
      <c r="I2050" s="40">
        <v>716</v>
      </c>
      <c r="J205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3250</v>
      </c>
      <c r="K2050" t="s">
        <v>162</v>
      </c>
    </row>
    <row r="2051" spans="1:11" x14ac:dyDescent="0.35">
      <c r="A2051" t="s">
        <v>305</v>
      </c>
      <c r="B2051" t="s">
        <v>402</v>
      </c>
      <c r="C2051" t="s">
        <v>381</v>
      </c>
      <c r="D2051">
        <v>3.27</v>
      </c>
      <c r="E2051" t="s">
        <v>819</v>
      </c>
      <c r="F2051">
        <v>2024</v>
      </c>
      <c r="G2051" t="str">
        <f>TRIM(RIGHT(Table156[[#This Row],[Item-Codigo]], LEN(Table156[[#This Row],[Item-Codigo]]) - FIND("|", CONCATENATE(B2051), FIND("|", CONCATENATE(B2051)) + 1)))</f>
        <v>KG</v>
      </c>
      <c r="H205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716</v>
      </c>
      <c r="I2051" s="40">
        <v>716</v>
      </c>
      <c r="J205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3270</v>
      </c>
      <c r="K2051" t="s">
        <v>162</v>
      </c>
    </row>
    <row r="2052" spans="1:11" x14ac:dyDescent="0.35">
      <c r="A2052" t="s">
        <v>305</v>
      </c>
      <c r="B2052" t="s">
        <v>403</v>
      </c>
      <c r="C2052" t="s">
        <v>329</v>
      </c>
      <c r="D2052">
        <v>1</v>
      </c>
      <c r="E2052" t="s">
        <v>816</v>
      </c>
      <c r="F2052">
        <v>2024</v>
      </c>
      <c r="G2052" t="str">
        <f>TRIM(RIGHT(Table156[[#This Row],[Item-Codigo]], LEN(Table156[[#This Row],[Item-Codigo]]) - FIND("|", CONCATENATE(B2052), FIND("|", CONCATENATE(B2052)) + 1)))</f>
        <v>KG</v>
      </c>
      <c r="H205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497.5</v>
      </c>
      <c r="I2052" s="40" t="s">
        <v>540</v>
      </c>
      <c r="J205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1000</v>
      </c>
      <c r="K2052" t="s">
        <v>133</v>
      </c>
    </row>
    <row r="2053" spans="1:11" x14ac:dyDescent="0.35">
      <c r="A2053" t="s">
        <v>305</v>
      </c>
      <c r="B2053" t="s">
        <v>405</v>
      </c>
      <c r="C2053" t="s">
        <v>215</v>
      </c>
      <c r="D2053">
        <v>855</v>
      </c>
      <c r="E2053" t="s">
        <v>821</v>
      </c>
      <c r="F2053">
        <v>2024</v>
      </c>
      <c r="G2053" t="str">
        <f>TRIM(RIGHT(Table156[[#This Row],[Item-Codigo]], LEN(Table156[[#This Row],[Item-Codigo]]) - FIND("|", CONCATENATE(B2053), FIND("|", CONCATENATE(B2053)) + 1)))</f>
        <v>TM</v>
      </c>
      <c r="H205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497.5</v>
      </c>
      <c r="I2053" s="40" t="s">
        <v>540</v>
      </c>
      <c r="J205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855</v>
      </c>
      <c r="K2053" t="s">
        <v>133</v>
      </c>
    </row>
    <row r="2054" spans="1:11" x14ac:dyDescent="0.35">
      <c r="A2054" t="s">
        <v>305</v>
      </c>
      <c r="B2054" t="s">
        <v>926</v>
      </c>
      <c r="C2054" t="s">
        <v>927</v>
      </c>
      <c r="D2054">
        <v>30.684899999999999</v>
      </c>
      <c r="E2054" t="s">
        <v>816</v>
      </c>
      <c r="F2054">
        <v>2024</v>
      </c>
      <c r="G2054" t="str">
        <f>TRIM(RIGHT(Table156[[#This Row],[Item-Codigo]], LEN(Table156[[#This Row],[Item-Codigo]]) - FIND("|", CONCATENATE(B2054), FIND("|", CONCATENATE(B2054)) + 1)))</f>
        <v>KG</v>
      </c>
      <c r="H205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951</v>
      </c>
      <c r="I2054" s="40">
        <v>951</v>
      </c>
      <c r="J205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30684.899999999998</v>
      </c>
      <c r="K2054" t="s">
        <v>459</v>
      </c>
    </row>
    <row r="2055" spans="1:11" x14ac:dyDescent="0.35">
      <c r="A2055" t="s">
        <v>305</v>
      </c>
      <c r="B2055" t="s">
        <v>406</v>
      </c>
      <c r="C2055" t="s">
        <v>327</v>
      </c>
      <c r="D2055">
        <v>43</v>
      </c>
      <c r="E2055" t="s">
        <v>818</v>
      </c>
      <c r="F2055">
        <v>2024</v>
      </c>
      <c r="G2055" t="str">
        <f>TRIM(RIGHT(Table156[[#This Row],[Item-Codigo]], LEN(Table156[[#This Row],[Item-Codigo]]) - FIND("|", CONCATENATE(B2055), FIND("|", CONCATENATE(B2055)) + 1)))</f>
        <v>KG</v>
      </c>
      <c r="H205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685</v>
      </c>
      <c r="I2055" s="40">
        <v>685</v>
      </c>
      <c r="J205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43000</v>
      </c>
      <c r="K2055" t="s">
        <v>169</v>
      </c>
    </row>
    <row r="2056" spans="1:11" x14ac:dyDescent="0.35">
      <c r="A2056" t="s">
        <v>305</v>
      </c>
      <c r="B2056" t="s">
        <v>406</v>
      </c>
      <c r="C2056" t="s">
        <v>327</v>
      </c>
      <c r="D2056">
        <v>43</v>
      </c>
      <c r="E2056" t="s">
        <v>816</v>
      </c>
      <c r="F2056">
        <v>2024</v>
      </c>
      <c r="G2056" t="str">
        <f>TRIM(RIGHT(Table156[[#This Row],[Item-Codigo]], LEN(Table156[[#This Row],[Item-Codigo]]) - FIND("|", CONCATENATE(B2056), FIND("|", CONCATENATE(B2056)) + 1)))</f>
        <v>KG</v>
      </c>
      <c r="H205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685</v>
      </c>
      <c r="I2056" s="40">
        <v>685</v>
      </c>
      <c r="J205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43000</v>
      </c>
      <c r="K2056" t="s">
        <v>169</v>
      </c>
    </row>
    <row r="2057" spans="1:11" x14ac:dyDescent="0.35">
      <c r="A2057" t="s">
        <v>305</v>
      </c>
      <c r="B2057" t="s">
        <v>407</v>
      </c>
      <c r="C2057" t="s">
        <v>390</v>
      </c>
      <c r="D2057">
        <v>1.18</v>
      </c>
      <c r="E2057" t="s">
        <v>821</v>
      </c>
      <c r="F2057">
        <v>2024</v>
      </c>
      <c r="G2057" t="str">
        <f>TRIM(RIGHT(Table156[[#This Row],[Item-Codigo]], LEN(Table156[[#This Row],[Item-Codigo]]) - FIND("|", CONCATENATE(B2057), FIND("|", CONCATENATE(B2057)) + 1)))</f>
        <v>KG</v>
      </c>
      <c r="H205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46.5</v>
      </c>
      <c r="I2057" s="40" t="s">
        <v>535</v>
      </c>
      <c r="J205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1180</v>
      </c>
      <c r="K2057" t="s">
        <v>161</v>
      </c>
    </row>
    <row r="2058" spans="1:11" x14ac:dyDescent="0.35">
      <c r="A2058" t="s">
        <v>305</v>
      </c>
      <c r="B2058" t="s">
        <v>407</v>
      </c>
      <c r="C2058" t="s">
        <v>390</v>
      </c>
      <c r="D2058">
        <v>1.18</v>
      </c>
      <c r="E2058" t="s">
        <v>819</v>
      </c>
      <c r="F2058">
        <v>2024</v>
      </c>
      <c r="G2058" t="str">
        <f>TRIM(RIGHT(Table156[[#This Row],[Item-Codigo]], LEN(Table156[[#This Row],[Item-Codigo]]) - FIND("|", CONCATENATE(B2058), FIND("|", CONCATENATE(B2058)) + 1)))</f>
        <v>KG</v>
      </c>
      <c r="H205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46.5</v>
      </c>
      <c r="I2058" s="40" t="s">
        <v>535</v>
      </c>
      <c r="J205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1180</v>
      </c>
      <c r="K2058" t="s">
        <v>161</v>
      </c>
    </row>
    <row r="2059" spans="1:11" x14ac:dyDescent="0.35">
      <c r="A2059" t="s">
        <v>305</v>
      </c>
      <c r="B2059" t="s">
        <v>407</v>
      </c>
      <c r="C2059" t="s">
        <v>390</v>
      </c>
      <c r="D2059">
        <v>1.18</v>
      </c>
      <c r="E2059" t="s">
        <v>816</v>
      </c>
      <c r="F2059">
        <v>2024</v>
      </c>
      <c r="G2059" t="str">
        <f>TRIM(RIGHT(Table156[[#This Row],[Item-Codigo]], LEN(Table156[[#This Row],[Item-Codigo]]) - FIND("|", CONCATENATE(B2059), FIND("|", CONCATENATE(B2059)) + 1)))</f>
        <v>KG</v>
      </c>
      <c r="H205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46.5</v>
      </c>
      <c r="I2059" s="40" t="s">
        <v>535</v>
      </c>
      <c r="J205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1180</v>
      </c>
      <c r="K2059" t="s">
        <v>161</v>
      </c>
    </row>
    <row r="2060" spans="1:11" x14ac:dyDescent="0.35">
      <c r="A2060" t="s">
        <v>305</v>
      </c>
      <c r="B2060" t="s">
        <v>928</v>
      </c>
      <c r="C2060" t="s">
        <v>385</v>
      </c>
      <c r="D2060">
        <v>10.5</v>
      </c>
      <c r="E2060" t="s">
        <v>821</v>
      </c>
      <c r="F2060">
        <v>2024</v>
      </c>
      <c r="G2060" t="str">
        <f>TRIM(RIGHT(Table156[[#This Row],[Item-Codigo]], LEN(Table156[[#This Row],[Item-Codigo]]) - FIND("|", CONCATENATE(B2060), FIND("|", CONCATENATE(B2060)) + 1)))</f>
        <v>KG</v>
      </c>
      <c r="H206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442.4</v>
      </c>
      <c r="I2060" s="40" t="s">
        <v>531</v>
      </c>
      <c r="J206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10500</v>
      </c>
      <c r="K2060" t="s">
        <v>164</v>
      </c>
    </row>
    <row r="2061" spans="1:11" x14ac:dyDescent="0.35">
      <c r="A2061" t="s">
        <v>305</v>
      </c>
      <c r="B2061" t="s">
        <v>928</v>
      </c>
      <c r="C2061" t="s">
        <v>385</v>
      </c>
      <c r="D2061">
        <v>10.5</v>
      </c>
      <c r="E2061" t="s">
        <v>816</v>
      </c>
      <c r="F2061">
        <v>2024</v>
      </c>
      <c r="G2061" t="str">
        <f>TRIM(RIGHT(Table156[[#This Row],[Item-Codigo]], LEN(Table156[[#This Row],[Item-Codigo]]) - FIND("|", CONCATENATE(B2061), FIND("|", CONCATENATE(B2061)) + 1)))</f>
        <v>KG</v>
      </c>
      <c r="H206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442.4</v>
      </c>
      <c r="I2061" s="40" t="s">
        <v>531</v>
      </c>
      <c r="J206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10500</v>
      </c>
      <c r="K2061" t="s">
        <v>164</v>
      </c>
    </row>
    <row r="2062" spans="1:11" x14ac:dyDescent="0.35">
      <c r="A2062" t="s">
        <v>305</v>
      </c>
      <c r="B2062" t="s">
        <v>412</v>
      </c>
      <c r="C2062" t="s">
        <v>348</v>
      </c>
      <c r="D2062">
        <v>29</v>
      </c>
      <c r="E2062" t="s">
        <v>821</v>
      </c>
      <c r="F2062">
        <v>2024</v>
      </c>
      <c r="G2062" t="str">
        <f>TRIM(RIGHT(Table156[[#This Row],[Item-Codigo]], LEN(Table156[[#This Row],[Item-Codigo]]) - FIND("|", CONCATENATE(B2062), FIND("|", CONCATENATE(B2062)) + 1)))</f>
        <v>KG</v>
      </c>
      <c r="H206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981.2</v>
      </c>
      <c r="I2062" s="40" t="s">
        <v>556</v>
      </c>
      <c r="J206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29000</v>
      </c>
      <c r="K2062" t="s">
        <v>171</v>
      </c>
    </row>
    <row r="2063" spans="1:11" x14ac:dyDescent="0.35">
      <c r="A2063" t="s">
        <v>305</v>
      </c>
      <c r="B2063" t="s">
        <v>412</v>
      </c>
      <c r="C2063" t="s">
        <v>348</v>
      </c>
      <c r="D2063">
        <v>28</v>
      </c>
      <c r="E2063" t="s">
        <v>818</v>
      </c>
      <c r="F2063">
        <v>2024</v>
      </c>
      <c r="G2063" t="str">
        <f>TRIM(RIGHT(Table156[[#This Row],[Item-Codigo]], LEN(Table156[[#This Row],[Item-Codigo]]) - FIND("|", CONCATENATE(B2063), FIND("|", CONCATENATE(B2063)) + 1)))</f>
        <v>KG</v>
      </c>
      <c r="H206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981.2</v>
      </c>
      <c r="I2063" s="40" t="s">
        <v>556</v>
      </c>
      <c r="J206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28000</v>
      </c>
      <c r="K2063" t="s">
        <v>171</v>
      </c>
    </row>
    <row r="2064" spans="1:11" x14ac:dyDescent="0.35">
      <c r="A2064" t="s">
        <v>305</v>
      </c>
      <c r="B2064" t="s">
        <v>412</v>
      </c>
      <c r="C2064" t="s">
        <v>348</v>
      </c>
      <c r="D2064">
        <v>27</v>
      </c>
      <c r="E2064" t="s">
        <v>819</v>
      </c>
      <c r="F2064">
        <v>2024</v>
      </c>
      <c r="G2064" t="str">
        <f>TRIM(RIGHT(Table156[[#This Row],[Item-Codigo]], LEN(Table156[[#This Row],[Item-Codigo]]) - FIND("|", CONCATENATE(B2064), FIND("|", CONCATENATE(B2064)) + 1)))</f>
        <v>KG</v>
      </c>
      <c r="H206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981.2</v>
      </c>
      <c r="I2064" s="40" t="s">
        <v>556</v>
      </c>
      <c r="J206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27000</v>
      </c>
      <c r="K2064" t="s">
        <v>171</v>
      </c>
    </row>
    <row r="2065" spans="1:11" x14ac:dyDescent="0.35">
      <c r="A2065" t="s">
        <v>305</v>
      </c>
      <c r="B2065" t="s">
        <v>412</v>
      </c>
      <c r="C2065" t="s">
        <v>348</v>
      </c>
      <c r="D2065">
        <v>27</v>
      </c>
      <c r="E2065" t="s">
        <v>816</v>
      </c>
      <c r="F2065">
        <v>2024</v>
      </c>
      <c r="G2065" t="str">
        <f>TRIM(RIGHT(Table156[[#This Row],[Item-Codigo]], LEN(Table156[[#This Row],[Item-Codigo]]) - FIND("|", CONCATENATE(B2065), FIND("|", CONCATENATE(B2065)) + 1)))</f>
        <v>KG</v>
      </c>
      <c r="H206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981.2</v>
      </c>
      <c r="I2065" s="40" t="s">
        <v>556</v>
      </c>
      <c r="J206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27000</v>
      </c>
      <c r="K2065" t="s">
        <v>171</v>
      </c>
    </row>
    <row r="2066" spans="1:11" x14ac:dyDescent="0.35">
      <c r="A2066" t="s">
        <v>305</v>
      </c>
      <c r="B2066" t="s">
        <v>413</v>
      </c>
      <c r="C2066" t="s">
        <v>365</v>
      </c>
      <c r="D2066">
        <v>1.63</v>
      </c>
      <c r="E2066" t="s">
        <v>819</v>
      </c>
      <c r="F2066">
        <v>2024</v>
      </c>
      <c r="G2066" t="str">
        <f>TRIM(RIGHT(Table156[[#This Row],[Item-Codigo]], LEN(Table156[[#This Row],[Item-Codigo]]) - FIND("|", CONCATENATE(B2066), FIND("|", CONCATENATE(B2066)) + 1)))</f>
        <v>KG</v>
      </c>
      <c r="H206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456.12</v>
      </c>
      <c r="I2066" s="40" t="s">
        <v>533</v>
      </c>
      <c r="J206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1630</v>
      </c>
      <c r="K2066" t="s">
        <v>153</v>
      </c>
    </row>
    <row r="2067" spans="1:11" x14ac:dyDescent="0.35">
      <c r="A2067" t="s">
        <v>305</v>
      </c>
      <c r="B2067" t="s">
        <v>931</v>
      </c>
      <c r="C2067" t="s">
        <v>365</v>
      </c>
      <c r="D2067">
        <v>2.85</v>
      </c>
      <c r="E2067" t="s">
        <v>818</v>
      </c>
      <c r="F2067">
        <v>2024</v>
      </c>
      <c r="G2067" t="str">
        <f>TRIM(RIGHT(Table156[[#This Row],[Item-Codigo]], LEN(Table156[[#This Row],[Item-Codigo]]) - FIND("|", CONCATENATE(B2067), FIND("|", CONCATENATE(B2067)) + 1)))</f>
        <v>KG</v>
      </c>
      <c r="H206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456.9</v>
      </c>
      <c r="I2067" s="40" t="s">
        <v>534</v>
      </c>
      <c r="J206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2850</v>
      </c>
      <c r="K2067" t="s">
        <v>158</v>
      </c>
    </row>
    <row r="2068" spans="1:11" x14ac:dyDescent="0.35">
      <c r="A2068" t="s">
        <v>305</v>
      </c>
      <c r="B2068" t="s">
        <v>931</v>
      </c>
      <c r="C2068" t="s">
        <v>365</v>
      </c>
      <c r="D2068">
        <v>2.85</v>
      </c>
      <c r="E2068" t="s">
        <v>819</v>
      </c>
      <c r="F2068">
        <v>2024</v>
      </c>
      <c r="G2068" t="str">
        <f>TRIM(RIGHT(Table156[[#This Row],[Item-Codigo]], LEN(Table156[[#This Row],[Item-Codigo]]) - FIND("|", CONCATENATE(B2068), FIND("|", CONCATENATE(B2068)) + 1)))</f>
        <v>KG</v>
      </c>
      <c r="H206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456.9</v>
      </c>
      <c r="I2068" s="40" t="s">
        <v>534</v>
      </c>
      <c r="J206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2850</v>
      </c>
      <c r="K2068" t="s">
        <v>158</v>
      </c>
    </row>
    <row r="2069" spans="1:11" x14ac:dyDescent="0.35">
      <c r="A2069" t="s">
        <v>305</v>
      </c>
      <c r="B2069" t="s">
        <v>931</v>
      </c>
      <c r="C2069" t="s">
        <v>365</v>
      </c>
      <c r="D2069">
        <v>3.2</v>
      </c>
      <c r="E2069" t="s">
        <v>816</v>
      </c>
      <c r="F2069">
        <v>2024</v>
      </c>
      <c r="G2069" t="str">
        <f>TRIM(RIGHT(Table156[[#This Row],[Item-Codigo]], LEN(Table156[[#This Row],[Item-Codigo]]) - FIND("|", CONCATENATE(B2069), FIND("|", CONCATENATE(B2069)) + 1)))</f>
        <v>KG</v>
      </c>
      <c r="H206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456.9</v>
      </c>
      <c r="I2069" s="40" t="s">
        <v>534</v>
      </c>
      <c r="J206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3200</v>
      </c>
      <c r="K2069" t="s">
        <v>158</v>
      </c>
    </row>
    <row r="2070" spans="1:11" x14ac:dyDescent="0.35">
      <c r="A2070" t="s">
        <v>305</v>
      </c>
      <c r="B2070" t="s">
        <v>414</v>
      </c>
      <c r="C2070" t="s">
        <v>365</v>
      </c>
      <c r="D2070">
        <v>3.25</v>
      </c>
      <c r="E2070" t="s">
        <v>821</v>
      </c>
      <c r="F2070">
        <v>2024</v>
      </c>
      <c r="G2070" t="str">
        <f>TRIM(RIGHT(Table156[[#This Row],[Item-Codigo]], LEN(Table156[[#This Row],[Item-Codigo]]) - FIND("|", CONCATENATE(B2070), FIND("|", CONCATENATE(B2070)) + 1)))</f>
        <v>KG</v>
      </c>
      <c r="H207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455.3</v>
      </c>
      <c r="I2070" s="40" t="s">
        <v>532</v>
      </c>
      <c r="J207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3250</v>
      </c>
      <c r="K2070" t="s">
        <v>150</v>
      </c>
    </row>
    <row r="2071" spans="1:11" x14ac:dyDescent="0.35">
      <c r="A2071" t="s">
        <v>305</v>
      </c>
      <c r="B2071" t="s">
        <v>416</v>
      </c>
      <c r="C2071" t="s">
        <v>317</v>
      </c>
      <c r="D2071">
        <v>2.27</v>
      </c>
      <c r="E2071" t="s">
        <v>816</v>
      </c>
      <c r="F2071">
        <v>2024</v>
      </c>
      <c r="G2071" t="str">
        <f>TRIM(RIGHT(Table156[[#This Row],[Item-Codigo]], LEN(Table156[[#This Row],[Item-Codigo]]) - FIND("|", CONCATENATE(B2071), FIND("|", CONCATENATE(B2071)) + 1)))</f>
        <v>KG</v>
      </c>
      <c r="H207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1007.5</v>
      </c>
      <c r="I2071" s="40" t="s">
        <v>495</v>
      </c>
      <c r="J207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2270</v>
      </c>
      <c r="K2071" t="s">
        <v>141</v>
      </c>
    </row>
    <row r="2072" spans="1:11" x14ac:dyDescent="0.35">
      <c r="A2072" t="s">
        <v>680</v>
      </c>
      <c r="B2072" t="s">
        <v>1010</v>
      </c>
      <c r="C2072" t="s">
        <v>874</v>
      </c>
      <c r="D2072">
        <v>1.2500000000000001E-2</v>
      </c>
      <c r="E2072" t="s">
        <v>821</v>
      </c>
      <c r="F2072">
        <v>2024</v>
      </c>
      <c r="G2072" t="str">
        <f>TRIM(RIGHT(Table156[[#This Row],[Item-Codigo]], LEN(Table156[[#This Row],[Item-Codigo]]) - FIND("|", CONCATENATE(B2072), FIND("|", CONCATENATE(B2072)) + 1)))</f>
        <v>UND</v>
      </c>
      <c r="H207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9504</v>
      </c>
      <c r="I2072" s="40">
        <v>9504</v>
      </c>
      <c r="J207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2072" t="s">
        <v>1040</v>
      </c>
    </row>
    <row r="2073" spans="1:11" x14ac:dyDescent="0.35">
      <c r="A2073" t="s">
        <v>680</v>
      </c>
      <c r="B2073" t="s">
        <v>1010</v>
      </c>
      <c r="C2073" t="s">
        <v>874</v>
      </c>
      <c r="D2073">
        <v>1.2500000000000001E-2</v>
      </c>
      <c r="E2073" t="s">
        <v>819</v>
      </c>
      <c r="F2073">
        <v>2024</v>
      </c>
      <c r="G2073" t="str">
        <f>TRIM(RIGHT(Table156[[#This Row],[Item-Codigo]], LEN(Table156[[#This Row],[Item-Codigo]]) - FIND("|", CONCATENATE(B2073), FIND("|", CONCATENATE(B2073)) + 1)))</f>
        <v>UND</v>
      </c>
      <c r="H207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9504</v>
      </c>
      <c r="I2073" s="40">
        <v>9504</v>
      </c>
      <c r="J207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2073" t="s">
        <v>1040</v>
      </c>
    </row>
    <row r="2074" spans="1:11" x14ac:dyDescent="0.35">
      <c r="A2074" t="s">
        <v>680</v>
      </c>
      <c r="B2074" t="s">
        <v>1010</v>
      </c>
      <c r="C2074" t="s">
        <v>874</v>
      </c>
      <c r="D2074">
        <v>1.2500000000000001E-2</v>
      </c>
      <c r="E2074" t="s">
        <v>816</v>
      </c>
      <c r="F2074">
        <v>2024</v>
      </c>
      <c r="G2074" t="str">
        <f>TRIM(RIGHT(Table156[[#This Row],[Item-Codigo]], LEN(Table156[[#This Row],[Item-Codigo]]) - FIND("|", CONCATENATE(B2074), FIND("|", CONCATENATE(B2074)) + 1)))</f>
        <v>UND</v>
      </c>
      <c r="H207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9504</v>
      </c>
      <c r="I2074" s="40">
        <v>9504</v>
      </c>
      <c r="J207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2074" t="s">
        <v>1040</v>
      </c>
    </row>
    <row r="2075" spans="1:11" x14ac:dyDescent="0.35">
      <c r="A2075" t="s">
        <v>680</v>
      </c>
      <c r="B2075" t="s">
        <v>1011</v>
      </c>
      <c r="C2075" t="s">
        <v>874</v>
      </c>
      <c r="D2075">
        <v>1.2500000000000001E-2</v>
      </c>
      <c r="E2075" t="s">
        <v>816</v>
      </c>
      <c r="F2075">
        <v>2024</v>
      </c>
      <c r="G2075" t="str">
        <f>TRIM(RIGHT(Table156[[#This Row],[Item-Codigo]], LEN(Table156[[#This Row],[Item-Codigo]]) - FIND("|", CONCATENATE(B2075), FIND("|", CONCATENATE(B2075)) + 1)))</f>
        <v>UND</v>
      </c>
      <c r="H207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4100</v>
      </c>
      <c r="I2075" s="40">
        <v>4100</v>
      </c>
      <c r="J207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2075" t="s">
        <v>810</v>
      </c>
    </row>
    <row r="2076" spans="1:11" x14ac:dyDescent="0.35">
      <c r="A2076" t="s">
        <v>680</v>
      </c>
      <c r="B2076" t="s">
        <v>1012</v>
      </c>
      <c r="C2076" t="s">
        <v>874</v>
      </c>
      <c r="D2076">
        <v>1.2500000000000001E-2</v>
      </c>
      <c r="E2076" t="s">
        <v>821</v>
      </c>
      <c r="F2076">
        <v>2024</v>
      </c>
      <c r="G2076" t="str">
        <f>TRIM(RIGHT(Table156[[#This Row],[Item-Codigo]], LEN(Table156[[#This Row],[Item-Codigo]]) - FIND("|", CONCATENATE(B2076), FIND("|", CONCATENATE(B2076)) + 1)))</f>
        <v>UND</v>
      </c>
      <c r="H207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4200</v>
      </c>
      <c r="I2076" s="40">
        <v>4200</v>
      </c>
      <c r="J207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2076" t="s">
        <v>790</v>
      </c>
    </row>
    <row r="2077" spans="1:11" x14ac:dyDescent="0.35">
      <c r="A2077" t="s">
        <v>680</v>
      </c>
      <c r="B2077" t="s">
        <v>1012</v>
      </c>
      <c r="C2077" t="s">
        <v>874</v>
      </c>
      <c r="D2077">
        <v>1.2500000000000001E-2</v>
      </c>
      <c r="E2077" t="s">
        <v>819</v>
      </c>
      <c r="F2077">
        <v>2024</v>
      </c>
      <c r="G2077" t="str">
        <f>TRIM(RIGHT(Table156[[#This Row],[Item-Codigo]], LEN(Table156[[#This Row],[Item-Codigo]]) - FIND("|", CONCATENATE(B2077), FIND("|", CONCATENATE(B2077)) + 1)))</f>
        <v>UND</v>
      </c>
      <c r="H207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4200</v>
      </c>
      <c r="I2077" s="40">
        <v>4200</v>
      </c>
      <c r="J207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2077" t="s">
        <v>790</v>
      </c>
    </row>
    <row r="2078" spans="1:11" x14ac:dyDescent="0.35">
      <c r="A2078" t="s">
        <v>680</v>
      </c>
      <c r="B2078" t="s">
        <v>1012</v>
      </c>
      <c r="C2078" t="s">
        <v>874</v>
      </c>
      <c r="D2078">
        <v>1.2500000000000001E-2</v>
      </c>
      <c r="E2078" t="s">
        <v>816</v>
      </c>
      <c r="F2078">
        <v>2024</v>
      </c>
      <c r="G2078" t="str">
        <f>TRIM(RIGHT(Table156[[#This Row],[Item-Codigo]], LEN(Table156[[#This Row],[Item-Codigo]]) - FIND("|", CONCATENATE(B2078), FIND("|", CONCATENATE(B2078)) + 1)))</f>
        <v>UND</v>
      </c>
      <c r="H207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4200</v>
      </c>
      <c r="I2078" s="40">
        <v>4200</v>
      </c>
      <c r="J207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2078" t="s">
        <v>790</v>
      </c>
    </row>
    <row r="2079" spans="1:11" x14ac:dyDescent="0.35">
      <c r="A2079" t="s">
        <v>680</v>
      </c>
      <c r="B2079" t="s">
        <v>1013</v>
      </c>
      <c r="C2079" t="s">
        <v>874</v>
      </c>
      <c r="D2079">
        <v>1.2500000000000001E-2</v>
      </c>
      <c r="E2079" t="s">
        <v>821</v>
      </c>
      <c r="F2079">
        <v>2024</v>
      </c>
      <c r="G2079" t="str">
        <f>TRIM(RIGHT(Table156[[#This Row],[Item-Codigo]], LEN(Table156[[#This Row],[Item-Codigo]]) - FIND("|", CONCATENATE(B2079), FIND("|", CONCATENATE(B2079)) + 1)))</f>
        <v>UND</v>
      </c>
      <c r="H2079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4300</v>
      </c>
      <c r="I2079" s="40">
        <v>4300</v>
      </c>
      <c r="J2079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2079" t="s">
        <v>787</v>
      </c>
    </row>
    <row r="2080" spans="1:11" x14ac:dyDescent="0.35">
      <c r="A2080" t="s">
        <v>680</v>
      </c>
      <c r="B2080" t="s">
        <v>1013</v>
      </c>
      <c r="C2080" t="s">
        <v>874</v>
      </c>
      <c r="D2080">
        <v>1.2500000000000001E-2</v>
      </c>
      <c r="E2080" t="s">
        <v>818</v>
      </c>
      <c r="F2080">
        <v>2024</v>
      </c>
      <c r="G2080" t="str">
        <f>TRIM(RIGHT(Table156[[#This Row],[Item-Codigo]], LEN(Table156[[#This Row],[Item-Codigo]]) - FIND("|", CONCATENATE(B2080), FIND("|", CONCATENATE(B2080)) + 1)))</f>
        <v>UND</v>
      </c>
      <c r="H2080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4300</v>
      </c>
      <c r="I2080" s="40">
        <v>4300</v>
      </c>
      <c r="J2080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2080" t="s">
        <v>787</v>
      </c>
    </row>
    <row r="2081" spans="1:11" x14ac:dyDescent="0.35">
      <c r="A2081" t="s">
        <v>680</v>
      </c>
      <c r="B2081" t="s">
        <v>1013</v>
      </c>
      <c r="C2081" t="s">
        <v>874</v>
      </c>
      <c r="D2081">
        <v>1.2500000000000001E-2</v>
      </c>
      <c r="E2081" t="s">
        <v>819</v>
      </c>
      <c r="F2081">
        <v>2024</v>
      </c>
      <c r="G2081" t="str">
        <f>TRIM(RIGHT(Table156[[#This Row],[Item-Codigo]], LEN(Table156[[#This Row],[Item-Codigo]]) - FIND("|", CONCATENATE(B2081), FIND("|", CONCATENATE(B2081)) + 1)))</f>
        <v>UND</v>
      </c>
      <c r="H2081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4300</v>
      </c>
      <c r="I2081" s="40">
        <v>4300</v>
      </c>
      <c r="J2081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2081" t="s">
        <v>787</v>
      </c>
    </row>
    <row r="2082" spans="1:11" x14ac:dyDescent="0.35">
      <c r="A2082" t="s">
        <v>680</v>
      </c>
      <c r="B2082" t="s">
        <v>1013</v>
      </c>
      <c r="C2082" t="s">
        <v>874</v>
      </c>
      <c r="D2082">
        <v>1.2500000000000001E-2</v>
      </c>
      <c r="E2082" t="s">
        <v>816</v>
      </c>
      <c r="F2082">
        <v>2024</v>
      </c>
      <c r="G2082" t="str">
        <f>TRIM(RIGHT(Table156[[#This Row],[Item-Codigo]], LEN(Table156[[#This Row],[Item-Codigo]]) - FIND("|", CONCATENATE(B2082), FIND("|", CONCATENATE(B2082)) + 1)))</f>
        <v>UND</v>
      </c>
      <c r="H2082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4300</v>
      </c>
      <c r="I2082" s="40">
        <v>4300</v>
      </c>
      <c r="J2082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2082" t="s">
        <v>787</v>
      </c>
    </row>
    <row r="2083" spans="1:11" x14ac:dyDescent="0.35">
      <c r="A2083" t="s">
        <v>680</v>
      </c>
      <c r="B2083" t="s">
        <v>1212</v>
      </c>
      <c r="C2083" t="s">
        <v>874</v>
      </c>
      <c r="D2083">
        <v>1.2500000000000001E-2</v>
      </c>
      <c r="E2083" t="s">
        <v>816</v>
      </c>
      <c r="F2083">
        <v>2024</v>
      </c>
      <c r="G2083" t="str">
        <f>TRIM(RIGHT(Table156[[#This Row],[Item-Codigo]], LEN(Table156[[#This Row],[Item-Codigo]]) - FIND("|", CONCATENATE(B2083), FIND("|", CONCATENATE(B2083)) + 1)))</f>
        <v>UND</v>
      </c>
      <c r="H2083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2408</v>
      </c>
      <c r="I2083" s="40">
        <v>2408</v>
      </c>
      <c r="J2083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2083" t="s">
        <v>789</v>
      </c>
    </row>
    <row r="2084" spans="1:11" x14ac:dyDescent="0.35">
      <c r="A2084" t="s">
        <v>680</v>
      </c>
      <c r="B2084" t="s">
        <v>1016</v>
      </c>
      <c r="C2084" t="s">
        <v>874</v>
      </c>
      <c r="D2084">
        <v>1.2500000000000001E-2</v>
      </c>
      <c r="E2084" t="s">
        <v>819</v>
      </c>
      <c r="F2084">
        <v>2024</v>
      </c>
      <c r="G2084" t="str">
        <f>TRIM(RIGHT(Table156[[#This Row],[Item-Codigo]], LEN(Table156[[#This Row],[Item-Codigo]]) - FIND("|", CONCATENATE(B2084), FIND("|", CONCATENATE(B2084)) + 1)))</f>
        <v>UND</v>
      </c>
      <c r="H2084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2434</v>
      </c>
      <c r="I2084" s="40">
        <v>2434</v>
      </c>
      <c r="J2084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2084" t="s">
        <v>777</v>
      </c>
    </row>
    <row r="2085" spans="1:11" x14ac:dyDescent="0.35">
      <c r="A2085" t="s">
        <v>680</v>
      </c>
      <c r="B2085" t="s">
        <v>1017</v>
      </c>
      <c r="C2085" t="s">
        <v>874</v>
      </c>
      <c r="D2085">
        <v>1.2500000000000001E-2</v>
      </c>
      <c r="E2085" t="s">
        <v>819</v>
      </c>
      <c r="F2085">
        <v>2024</v>
      </c>
      <c r="G2085" t="str">
        <f>TRIM(RIGHT(Table156[[#This Row],[Item-Codigo]], LEN(Table156[[#This Row],[Item-Codigo]]) - FIND("|", CONCATENATE(B2085), FIND("|", CONCATENATE(B2085)) + 1)))</f>
        <v>UND</v>
      </c>
      <c r="H2085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2435</v>
      </c>
      <c r="I2085" s="40">
        <v>2435</v>
      </c>
      <c r="J2085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2085" t="s">
        <v>801</v>
      </c>
    </row>
    <row r="2086" spans="1:11" x14ac:dyDescent="0.35">
      <c r="A2086" t="s">
        <v>680</v>
      </c>
      <c r="B2086" t="s">
        <v>1017</v>
      </c>
      <c r="C2086" t="s">
        <v>874</v>
      </c>
      <c r="D2086">
        <v>1.2500000000000001E-2</v>
      </c>
      <c r="E2086" t="s">
        <v>816</v>
      </c>
      <c r="F2086">
        <v>2024</v>
      </c>
      <c r="G2086" t="str">
        <f>TRIM(RIGHT(Table156[[#This Row],[Item-Codigo]], LEN(Table156[[#This Row],[Item-Codigo]]) - FIND("|", CONCATENATE(B2086), FIND("|", CONCATENATE(B2086)) + 1)))</f>
        <v>UND</v>
      </c>
      <c r="H2086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2435</v>
      </c>
      <c r="I2086" s="40">
        <v>2435</v>
      </c>
      <c r="J2086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2086" t="s">
        <v>801</v>
      </c>
    </row>
    <row r="2087" spans="1:11" x14ac:dyDescent="0.35">
      <c r="A2087" t="s">
        <v>680</v>
      </c>
      <c r="B2087" t="s">
        <v>1036</v>
      </c>
      <c r="C2087" t="s">
        <v>874</v>
      </c>
      <c r="D2087">
        <v>1.2500000000000001E-2</v>
      </c>
      <c r="E2087" t="s">
        <v>816</v>
      </c>
      <c r="F2087">
        <v>2024</v>
      </c>
      <c r="G2087" t="str">
        <f>TRIM(RIGHT(Table156[[#This Row],[Item-Codigo]], LEN(Table156[[#This Row],[Item-Codigo]]) - FIND("|", CONCATENATE(B2087), FIND("|", CONCATENATE(B2087)) + 1)))</f>
        <v>UND</v>
      </c>
      <c r="H2087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1102</v>
      </c>
      <c r="I2087" s="40">
        <v>1102</v>
      </c>
      <c r="J2087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2087" t="s">
        <v>804</v>
      </c>
    </row>
    <row r="2088" spans="1:11" x14ac:dyDescent="0.35">
      <c r="A2088" t="s">
        <v>680</v>
      </c>
      <c r="B2088" t="s">
        <v>1037</v>
      </c>
      <c r="C2088" t="s">
        <v>874</v>
      </c>
      <c r="D2088">
        <v>1.2500000000000001E-2</v>
      </c>
      <c r="E2088" t="s">
        <v>821</v>
      </c>
      <c r="F2088">
        <v>2024</v>
      </c>
      <c r="G2088" t="str">
        <f>TRIM(RIGHT(Table156[[#This Row],[Item-Codigo]], LEN(Table156[[#This Row],[Item-Codigo]]) - FIND("|", CONCATENATE(B2088), FIND("|", CONCATENATE(B2088)) + 1)))</f>
        <v>UND</v>
      </c>
      <c r="H2088" s="40" t="str">
        <f>TRIM(MID(Table156[[#This Row],[Item-Codigo]], FIND("|", Table156[[#This Row],[Item-Codigo]]) + 1, FIND("|", Table156[[#This Row],[Item-Codigo]], FIND("|", Table156[[#This Row],[Item-Codigo]]) + 1) - FIND("|", Table156[[#This Row],[Item-Codigo]]) - 2))</f>
        <v>1217</v>
      </c>
      <c r="I2088" s="40">
        <v>1217</v>
      </c>
      <c r="J2088" s="40">
        <f>+IF(OR(Table156[[#This Row],[Presentación ]]="TM",Table156[[#This Row],[Presentación ]]="UND"),Table156[[#This Row],[Promedio de PRICEUNIT_FT]],IF(Table156[[#This Row],[Presentación ]]="QQ",Table156[[#This Row],[Promedio de PRICEUNIT_FT]]*22,Table156[[#This Row],[Promedio de PRICEUNIT_FT]]*1000))</f>
        <v>1.2500000000000001E-2</v>
      </c>
      <c r="K2088" t="s">
        <v>791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87A0-7F53-40CB-9428-43D909929452}">
  <sheetPr codeName="Hoja10"/>
  <dimension ref="A1:H192"/>
  <sheetViews>
    <sheetView workbookViewId="0">
      <selection activeCell="F12" sqref="F12"/>
    </sheetView>
  </sheetViews>
  <sheetFormatPr baseColWidth="10" defaultRowHeight="14.5" x14ac:dyDescent="0.35"/>
  <cols>
    <col min="1" max="1" width="10.08984375" bestFit="1" customWidth="1"/>
    <col min="2" max="2" width="14.7265625" bestFit="1" customWidth="1"/>
    <col min="3" max="3" width="59" bestFit="1" customWidth="1"/>
    <col min="4" max="4" width="13.453125" bestFit="1" customWidth="1"/>
    <col min="6" max="6" width="11.81640625" bestFit="1" customWidth="1"/>
    <col min="7" max="7" width="14.6328125" bestFit="1" customWidth="1"/>
  </cols>
  <sheetData>
    <row r="1" spans="1:8" x14ac:dyDescent="0.35">
      <c r="A1" s="31" t="s">
        <v>9</v>
      </c>
      <c r="B1" s="31" t="s">
        <v>10</v>
      </c>
      <c r="C1" s="31" t="s">
        <v>11</v>
      </c>
      <c r="D1" t="s">
        <v>420</v>
      </c>
    </row>
    <row r="2" spans="1:8" x14ac:dyDescent="0.35">
      <c r="A2" s="2" t="s">
        <v>100</v>
      </c>
      <c r="B2" t="str">
        <f t="shared" ref="B2:B28" si="0">+RIGHT(C2, LEN(C2) - FIND("|", C2) - 1)</f>
        <v>1023-ME</v>
      </c>
      <c r="C2" t="s">
        <v>43</v>
      </c>
      <c r="D2" s="45">
        <f>+IF(A2="MAT-EMP",0.46333/(20*500),0.46333/1.2)</f>
        <v>4.6333000000000005E-5</v>
      </c>
    </row>
    <row r="3" spans="1:8" x14ac:dyDescent="0.35">
      <c r="A3" s="2" t="s">
        <v>100</v>
      </c>
      <c r="B3" t="str">
        <f t="shared" si="0"/>
        <v>1025-ME</v>
      </c>
      <c r="C3" t="s">
        <v>45</v>
      </c>
      <c r="D3" s="45">
        <f t="shared" ref="D3:D66" si="1">+IF(A3="MAT-EMP",0.46333/(20*500),0.46333/1.2)</f>
        <v>4.6333000000000005E-5</v>
      </c>
      <c r="F3">
        <v>13.9</v>
      </c>
      <c r="G3" t="s">
        <v>453</v>
      </c>
      <c r="H3">
        <f>+F3/30</f>
        <v>0.46333333333333332</v>
      </c>
    </row>
    <row r="4" spans="1:8" x14ac:dyDescent="0.35">
      <c r="A4" s="2" t="s">
        <v>100</v>
      </c>
      <c r="B4" t="str">
        <f t="shared" si="0"/>
        <v>0201-ME</v>
      </c>
      <c r="C4" t="s">
        <v>105</v>
      </c>
      <c r="D4" s="45">
        <f t="shared" si="1"/>
        <v>4.6333000000000005E-5</v>
      </c>
      <c r="F4">
        <v>30</v>
      </c>
      <c r="G4" t="s">
        <v>450</v>
      </c>
    </row>
    <row r="5" spans="1:8" x14ac:dyDescent="0.35">
      <c r="A5" s="2" t="s">
        <v>100</v>
      </c>
      <c r="B5" t="str">
        <f t="shared" si="0"/>
        <v>1030-ME</v>
      </c>
      <c r="C5" t="s">
        <v>52</v>
      </c>
      <c r="D5" s="45">
        <f t="shared" si="1"/>
        <v>4.6333000000000005E-5</v>
      </c>
      <c r="F5">
        <f>40/1000</f>
        <v>0.04</v>
      </c>
      <c r="G5" t="s">
        <v>451</v>
      </c>
    </row>
    <row r="6" spans="1:8" x14ac:dyDescent="0.35">
      <c r="A6" s="2" t="s">
        <v>100</v>
      </c>
      <c r="B6" t="str">
        <f t="shared" si="0"/>
        <v>0171-ME</v>
      </c>
      <c r="C6" t="s">
        <v>107</v>
      </c>
      <c r="D6" s="45">
        <f t="shared" si="1"/>
        <v>4.6333000000000005E-5</v>
      </c>
      <c r="F6" s="7">
        <f>+F4*F5</f>
        <v>1.2</v>
      </c>
      <c r="G6" t="s">
        <v>452</v>
      </c>
    </row>
    <row r="7" spans="1:8" x14ac:dyDescent="0.35">
      <c r="A7" s="2" t="s">
        <v>100</v>
      </c>
      <c r="B7" t="str">
        <f t="shared" si="0"/>
        <v>1018-ME</v>
      </c>
      <c r="C7" t="s">
        <v>109</v>
      </c>
      <c r="D7" s="45">
        <f t="shared" si="1"/>
        <v>4.6333000000000005E-5</v>
      </c>
      <c r="F7" s="41">
        <f>+F6+(k!D20+k!D18)*5/60</f>
        <v>1.8432543245370372</v>
      </c>
      <c r="G7" t="s">
        <v>1219</v>
      </c>
    </row>
    <row r="8" spans="1:8" x14ac:dyDescent="0.35">
      <c r="A8" s="2" t="s">
        <v>100</v>
      </c>
      <c r="B8" t="str">
        <f t="shared" si="0"/>
        <v>1029-ME</v>
      </c>
      <c r="C8" t="s">
        <v>51</v>
      </c>
      <c r="D8" s="45">
        <f t="shared" si="1"/>
        <v>4.6333000000000005E-5</v>
      </c>
      <c r="F8" t="s">
        <v>13</v>
      </c>
    </row>
    <row r="9" spans="1:8" x14ac:dyDescent="0.35">
      <c r="A9" s="2" t="s">
        <v>100</v>
      </c>
      <c r="B9" t="str">
        <f t="shared" si="0"/>
        <v>1024-ME</v>
      </c>
      <c r="C9" t="s">
        <v>44</v>
      </c>
      <c r="D9" s="45">
        <f t="shared" si="1"/>
        <v>4.6333000000000005E-5</v>
      </c>
    </row>
    <row r="10" spans="1:8" x14ac:dyDescent="0.35">
      <c r="A10" s="2" t="s">
        <v>100</v>
      </c>
      <c r="B10" t="str">
        <f t="shared" si="0"/>
        <v>1027-ME</v>
      </c>
      <c r="C10" t="s">
        <v>47</v>
      </c>
      <c r="D10" s="45">
        <f t="shared" si="1"/>
        <v>4.6333000000000005E-5</v>
      </c>
    </row>
    <row r="11" spans="1:8" x14ac:dyDescent="0.35">
      <c r="A11" s="2" t="s">
        <v>100</v>
      </c>
      <c r="B11" t="str">
        <f t="shared" si="0"/>
        <v>1031-ME</v>
      </c>
      <c r="C11" t="s">
        <v>53</v>
      </c>
      <c r="D11" s="45">
        <f t="shared" si="1"/>
        <v>4.6333000000000005E-5</v>
      </c>
    </row>
    <row r="12" spans="1:8" x14ac:dyDescent="0.35">
      <c r="A12" s="2" t="s">
        <v>100</v>
      </c>
      <c r="B12" t="str">
        <f t="shared" si="0"/>
        <v>1019-ME</v>
      </c>
      <c r="C12" t="s">
        <v>111</v>
      </c>
      <c r="D12" s="45">
        <f t="shared" si="1"/>
        <v>4.6333000000000005E-5</v>
      </c>
    </row>
    <row r="13" spans="1:8" x14ac:dyDescent="0.35">
      <c r="A13" s="2" t="s">
        <v>100</v>
      </c>
      <c r="B13" t="str">
        <f t="shared" si="0"/>
        <v>0754-ME</v>
      </c>
      <c r="C13" t="s">
        <v>112</v>
      </c>
      <c r="D13" s="45">
        <f t="shared" si="1"/>
        <v>4.6333000000000005E-5</v>
      </c>
    </row>
    <row r="14" spans="1:8" x14ac:dyDescent="0.35">
      <c r="A14" s="2" t="s">
        <v>100</v>
      </c>
      <c r="B14" t="str">
        <f t="shared" si="0"/>
        <v>0751-ME</v>
      </c>
      <c r="C14" t="s">
        <v>110</v>
      </c>
      <c r="D14" s="45">
        <f t="shared" si="1"/>
        <v>4.6333000000000005E-5</v>
      </c>
    </row>
    <row r="15" spans="1:8" x14ac:dyDescent="0.35">
      <c r="A15" s="2" t="s">
        <v>100</v>
      </c>
      <c r="B15" t="str">
        <f t="shared" si="0"/>
        <v>0993-ME</v>
      </c>
      <c r="C15" t="s">
        <v>106</v>
      </c>
      <c r="D15" s="45">
        <f t="shared" si="1"/>
        <v>4.6333000000000005E-5</v>
      </c>
    </row>
    <row r="16" spans="1:8" x14ac:dyDescent="0.35">
      <c r="A16" s="2" t="s">
        <v>100</v>
      </c>
      <c r="B16" t="str">
        <f t="shared" si="0"/>
        <v>0995-ME</v>
      </c>
      <c r="C16" t="s">
        <v>108</v>
      </c>
      <c r="D16" s="45">
        <f t="shared" si="1"/>
        <v>4.6333000000000005E-5</v>
      </c>
    </row>
    <row r="17" spans="1:4" x14ac:dyDescent="0.35">
      <c r="A17" s="2" t="s">
        <v>100</v>
      </c>
      <c r="B17" t="str">
        <f t="shared" si="0"/>
        <v>0987-ME</v>
      </c>
      <c r="C17" t="s">
        <v>117</v>
      </c>
      <c r="D17" s="45">
        <f t="shared" si="1"/>
        <v>4.6333000000000005E-5</v>
      </c>
    </row>
    <row r="18" spans="1:4" x14ac:dyDescent="0.35">
      <c r="A18" s="2" t="s">
        <v>100</v>
      </c>
      <c r="B18" t="str">
        <f t="shared" si="0"/>
        <v>0115-ME</v>
      </c>
      <c r="C18" t="s">
        <v>115</v>
      </c>
      <c r="D18" s="45">
        <f t="shared" si="1"/>
        <v>4.6333000000000005E-5</v>
      </c>
    </row>
    <row r="19" spans="1:4" x14ac:dyDescent="0.35">
      <c r="A19" s="2" t="s">
        <v>100</v>
      </c>
      <c r="B19" t="str">
        <f t="shared" si="0"/>
        <v>0994-ME</v>
      </c>
      <c r="C19" t="s">
        <v>118</v>
      </c>
      <c r="D19" s="45">
        <f t="shared" si="1"/>
        <v>4.6333000000000005E-5</v>
      </c>
    </row>
    <row r="20" spans="1:4" x14ac:dyDescent="0.35">
      <c r="A20" s="2" t="s">
        <v>100</v>
      </c>
      <c r="B20" t="str">
        <f t="shared" si="0"/>
        <v>0111-ME</v>
      </c>
      <c r="C20" t="s">
        <v>125</v>
      </c>
      <c r="D20" s="45">
        <f t="shared" si="1"/>
        <v>4.6333000000000005E-5</v>
      </c>
    </row>
    <row r="21" spans="1:4" x14ac:dyDescent="0.35">
      <c r="A21" s="2" t="s">
        <v>100</v>
      </c>
      <c r="B21" t="str">
        <f t="shared" si="0"/>
        <v>1028-ME</v>
      </c>
      <c r="C21" t="s">
        <v>48</v>
      </c>
      <c r="D21" s="45">
        <f t="shared" si="1"/>
        <v>4.6333000000000005E-5</v>
      </c>
    </row>
    <row r="22" spans="1:4" x14ac:dyDescent="0.35">
      <c r="A22" s="2" t="s">
        <v>100</v>
      </c>
      <c r="B22" t="str">
        <f t="shared" si="0"/>
        <v>1026-ME</v>
      </c>
      <c r="C22" t="s">
        <v>46</v>
      </c>
      <c r="D22" s="45">
        <f t="shared" si="1"/>
        <v>4.6333000000000005E-5</v>
      </c>
    </row>
    <row r="23" spans="1:4" x14ac:dyDescent="0.35">
      <c r="A23" s="2" t="s">
        <v>100</v>
      </c>
      <c r="B23" t="str">
        <f t="shared" si="0"/>
        <v>0988-ME</v>
      </c>
      <c r="C23" t="s">
        <v>119</v>
      </c>
      <c r="D23" s="45">
        <f t="shared" si="1"/>
        <v>4.6333000000000005E-5</v>
      </c>
    </row>
    <row r="24" spans="1:4" x14ac:dyDescent="0.35">
      <c r="A24" s="2" t="s">
        <v>100</v>
      </c>
      <c r="B24" t="str">
        <f t="shared" si="0"/>
        <v>1022-ME</v>
      </c>
      <c r="C24" t="s">
        <v>42</v>
      </c>
      <c r="D24" s="45">
        <f t="shared" si="1"/>
        <v>4.6333000000000005E-5</v>
      </c>
    </row>
    <row r="25" spans="1:4" x14ac:dyDescent="0.35">
      <c r="A25" s="2" t="s">
        <v>100</v>
      </c>
      <c r="B25" t="str">
        <f t="shared" si="0"/>
        <v>0982-ME</v>
      </c>
      <c r="C25" t="s">
        <v>114</v>
      </c>
      <c r="D25" s="45">
        <f t="shared" si="1"/>
        <v>4.6333000000000005E-5</v>
      </c>
    </row>
    <row r="26" spans="1:4" x14ac:dyDescent="0.35">
      <c r="A26" s="2" t="s">
        <v>100</v>
      </c>
      <c r="B26" t="str">
        <f t="shared" si="0"/>
        <v>0752-ME</v>
      </c>
      <c r="C26" t="s">
        <v>116</v>
      </c>
      <c r="D26" s="45">
        <f t="shared" si="1"/>
        <v>4.6333000000000005E-5</v>
      </c>
    </row>
    <row r="27" spans="1:4" x14ac:dyDescent="0.35">
      <c r="A27" s="2" t="s">
        <v>100</v>
      </c>
      <c r="B27" t="str">
        <f t="shared" si="0"/>
        <v>0996-ME</v>
      </c>
      <c r="C27" t="s">
        <v>121</v>
      </c>
      <c r="D27" s="45">
        <f t="shared" si="1"/>
        <v>4.6333000000000005E-5</v>
      </c>
    </row>
    <row r="28" spans="1:4" x14ac:dyDescent="0.35">
      <c r="A28" s="2" t="s">
        <v>100</v>
      </c>
      <c r="B28" t="str">
        <f t="shared" si="0"/>
        <v>0202-ME</v>
      </c>
      <c r="C28" t="s">
        <v>128</v>
      </c>
      <c r="D28" s="45">
        <f t="shared" si="1"/>
        <v>4.6333000000000005E-5</v>
      </c>
    </row>
    <row r="29" spans="1:4" x14ac:dyDescent="0.35">
      <c r="A29" s="2" t="s">
        <v>100</v>
      </c>
      <c r="B29" t="str">
        <f t="shared" ref="B29:B60" si="2">+RIGHT(C29, LEN(C29) - FIND("|", C29) - 1)</f>
        <v>0983-ME</v>
      </c>
      <c r="C29" t="s">
        <v>113</v>
      </c>
      <c r="D29" s="45">
        <f t="shared" si="1"/>
        <v>4.6333000000000005E-5</v>
      </c>
    </row>
    <row r="30" spans="1:4" x14ac:dyDescent="0.35">
      <c r="A30" s="2" t="s">
        <v>100</v>
      </c>
      <c r="B30" t="str">
        <f t="shared" si="2"/>
        <v>0112-ME</v>
      </c>
      <c r="C30" t="s">
        <v>124</v>
      </c>
      <c r="D30" s="45">
        <f t="shared" si="1"/>
        <v>4.6333000000000005E-5</v>
      </c>
    </row>
    <row r="31" spans="1:4" x14ac:dyDescent="0.35">
      <c r="A31" s="2" t="s">
        <v>100</v>
      </c>
      <c r="B31" t="str">
        <f t="shared" si="2"/>
        <v>0986-ME</v>
      </c>
      <c r="C31" t="s">
        <v>120</v>
      </c>
      <c r="D31" s="45">
        <f t="shared" si="1"/>
        <v>4.6333000000000005E-5</v>
      </c>
    </row>
    <row r="32" spans="1:4" x14ac:dyDescent="0.35">
      <c r="A32" s="2" t="s">
        <v>100</v>
      </c>
      <c r="B32" t="str">
        <f t="shared" si="2"/>
        <v>0984-ME</v>
      </c>
      <c r="C32" t="s">
        <v>123</v>
      </c>
      <c r="D32" s="45">
        <f>+IF(A32="MAT-EMP",0.46333/(20*500),0.46333/1.2)</f>
        <v>4.6333000000000005E-5</v>
      </c>
    </row>
    <row r="33" spans="1:4" x14ac:dyDescent="0.35">
      <c r="A33" s="2" t="s">
        <v>100</v>
      </c>
      <c r="B33" t="str">
        <f t="shared" si="2"/>
        <v>0174-ME</v>
      </c>
      <c r="C33" t="s">
        <v>122</v>
      </c>
      <c r="D33" s="45">
        <f>+IF(A33="MAT-EMP",0.46333/(20*500),0.46333/1.2)</f>
        <v>4.6333000000000005E-5</v>
      </c>
    </row>
    <row r="34" spans="1:4" x14ac:dyDescent="0.35">
      <c r="A34" s="2" t="s">
        <v>100</v>
      </c>
      <c r="B34" t="str">
        <f t="shared" si="2"/>
        <v>0077-ME</v>
      </c>
      <c r="C34" t="s">
        <v>63</v>
      </c>
      <c r="D34" s="45">
        <f t="shared" si="1"/>
        <v>4.6333000000000005E-5</v>
      </c>
    </row>
    <row r="35" spans="1:4" x14ac:dyDescent="0.35">
      <c r="A35" s="2" t="s">
        <v>100</v>
      </c>
      <c r="B35" t="str">
        <f t="shared" si="2"/>
        <v>9534</v>
      </c>
      <c r="C35" t="s">
        <v>41</v>
      </c>
      <c r="D35" s="45">
        <f t="shared" si="1"/>
        <v>4.6333000000000005E-5</v>
      </c>
    </row>
    <row r="36" spans="1:4" x14ac:dyDescent="0.35">
      <c r="A36" s="2" t="s">
        <v>100</v>
      </c>
      <c r="B36" t="str">
        <f t="shared" si="2"/>
        <v>0083-ME</v>
      </c>
      <c r="C36" t="s">
        <v>62</v>
      </c>
      <c r="D36" s="45">
        <f t="shared" si="1"/>
        <v>4.6333000000000005E-5</v>
      </c>
    </row>
    <row r="37" spans="1:4" x14ac:dyDescent="0.35">
      <c r="A37" s="2" t="s">
        <v>100</v>
      </c>
      <c r="B37" t="str">
        <f t="shared" si="2"/>
        <v>0084-ME</v>
      </c>
      <c r="C37" t="s">
        <v>65</v>
      </c>
      <c r="D37" s="45">
        <f t="shared" si="1"/>
        <v>4.6333000000000005E-5</v>
      </c>
    </row>
    <row r="38" spans="1:4" x14ac:dyDescent="0.35">
      <c r="A38" s="2" t="s">
        <v>100</v>
      </c>
      <c r="B38" t="str">
        <f t="shared" si="2"/>
        <v>0073-ME</v>
      </c>
      <c r="C38" t="s">
        <v>64</v>
      </c>
      <c r="D38" s="45">
        <f t="shared" si="1"/>
        <v>4.6333000000000005E-5</v>
      </c>
    </row>
    <row r="39" spans="1:4" x14ac:dyDescent="0.35">
      <c r="A39" s="2" t="s">
        <v>100</v>
      </c>
      <c r="B39" t="str">
        <f t="shared" si="2"/>
        <v>9513</v>
      </c>
      <c r="C39" t="s">
        <v>60</v>
      </c>
      <c r="D39" s="45">
        <f t="shared" si="1"/>
        <v>4.6333000000000005E-5</v>
      </c>
    </row>
    <row r="40" spans="1:4" x14ac:dyDescent="0.35">
      <c r="A40" s="2" t="s">
        <v>100</v>
      </c>
      <c r="B40" t="str">
        <f t="shared" si="2"/>
        <v>9517</v>
      </c>
      <c r="C40" t="s">
        <v>129</v>
      </c>
      <c r="D40" s="45">
        <f t="shared" si="1"/>
        <v>4.6333000000000005E-5</v>
      </c>
    </row>
    <row r="41" spans="1:4" x14ac:dyDescent="0.35">
      <c r="A41" s="2" t="s">
        <v>100</v>
      </c>
      <c r="B41" t="str">
        <f t="shared" si="2"/>
        <v>0985-ME</v>
      </c>
      <c r="C41" t="s">
        <v>126</v>
      </c>
      <c r="D41" s="45">
        <f t="shared" si="1"/>
        <v>4.6333000000000005E-5</v>
      </c>
    </row>
    <row r="42" spans="1:4" x14ac:dyDescent="0.35">
      <c r="A42" s="2" t="s">
        <v>100</v>
      </c>
      <c r="B42" t="str">
        <f t="shared" si="2"/>
        <v>9511</v>
      </c>
      <c r="C42" t="s">
        <v>56</v>
      </c>
      <c r="D42" s="45">
        <f t="shared" si="1"/>
        <v>4.6333000000000005E-5</v>
      </c>
    </row>
    <row r="43" spans="1:4" x14ac:dyDescent="0.35">
      <c r="A43" s="2" t="s">
        <v>100</v>
      </c>
      <c r="B43" t="str">
        <f t="shared" si="2"/>
        <v>PIOLA (UNID)</v>
      </c>
      <c r="C43" t="s">
        <v>127</v>
      </c>
      <c r="D43" s="45">
        <f t="shared" si="1"/>
        <v>4.6333000000000005E-5</v>
      </c>
    </row>
    <row r="44" spans="1:4" x14ac:dyDescent="0.35">
      <c r="A44" s="2" t="s">
        <v>100</v>
      </c>
      <c r="B44" t="str">
        <f t="shared" si="2"/>
        <v>0118-ME</v>
      </c>
      <c r="C44" t="s">
        <v>61</v>
      </c>
      <c r="D44" s="45">
        <f t="shared" si="1"/>
        <v>4.6333000000000005E-5</v>
      </c>
    </row>
    <row r="45" spans="1:4" x14ac:dyDescent="0.35">
      <c r="A45" s="2" t="s">
        <v>100</v>
      </c>
      <c r="B45" t="str">
        <f t="shared" si="2"/>
        <v>9505</v>
      </c>
      <c r="C45" t="s">
        <v>57</v>
      </c>
      <c r="D45" s="45">
        <f t="shared" si="1"/>
        <v>4.6333000000000005E-5</v>
      </c>
    </row>
    <row r="46" spans="1:4" x14ac:dyDescent="0.35">
      <c r="A46" s="2" t="s">
        <v>100</v>
      </c>
      <c r="B46" t="str">
        <f t="shared" si="2"/>
        <v>9506</v>
      </c>
      <c r="C46" t="s">
        <v>59</v>
      </c>
      <c r="D46" s="45">
        <f t="shared" si="1"/>
        <v>4.6333000000000005E-5</v>
      </c>
    </row>
    <row r="47" spans="1:4" x14ac:dyDescent="0.35">
      <c r="A47" s="2" t="s">
        <v>100</v>
      </c>
      <c r="B47" t="str">
        <f t="shared" si="2"/>
        <v>9536</v>
      </c>
      <c r="C47" t="s">
        <v>968</v>
      </c>
      <c r="D47" s="45">
        <f t="shared" si="1"/>
        <v>4.6333000000000005E-5</v>
      </c>
    </row>
    <row r="48" spans="1:4" x14ac:dyDescent="0.35">
      <c r="A48" s="2" t="s">
        <v>100</v>
      </c>
      <c r="B48" t="str">
        <f t="shared" si="2"/>
        <v>CINTA</v>
      </c>
      <c r="C48" t="s">
        <v>50</v>
      </c>
      <c r="D48" s="45">
        <f t="shared" si="1"/>
        <v>4.6333000000000005E-5</v>
      </c>
    </row>
    <row r="49" spans="1:6" x14ac:dyDescent="0.35">
      <c r="A49" s="2" t="s">
        <v>100</v>
      </c>
      <c r="B49" t="str">
        <f t="shared" si="2"/>
        <v>1021-ME</v>
      </c>
      <c r="C49" t="s">
        <v>49</v>
      </c>
      <c r="D49" s="45">
        <f t="shared" si="1"/>
        <v>4.6333000000000005E-5</v>
      </c>
    </row>
    <row r="50" spans="1:6" x14ac:dyDescent="0.35">
      <c r="A50" s="2" t="s">
        <v>100</v>
      </c>
      <c r="B50" t="str">
        <f t="shared" si="2"/>
        <v>9512</v>
      </c>
      <c r="C50" t="s">
        <v>58</v>
      </c>
      <c r="D50" s="45">
        <f t="shared" si="1"/>
        <v>4.6333000000000005E-5</v>
      </c>
    </row>
    <row r="51" spans="1:6" x14ac:dyDescent="0.35">
      <c r="A51" s="2" t="s">
        <v>101</v>
      </c>
      <c r="B51" t="str">
        <f t="shared" si="2"/>
        <v>511.2</v>
      </c>
      <c r="C51" t="s">
        <v>130</v>
      </c>
      <c r="D51" s="45">
        <f>+IF(A51="MAT-EMP",0.46333/(20*500),0.46333/1.2)</f>
        <v>0.38610833333333339</v>
      </c>
    </row>
    <row r="52" spans="1:6" x14ac:dyDescent="0.35">
      <c r="A52" s="2" t="s">
        <v>101</v>
      </c>
      <c r="B52" t="str">
        <f t="shared" si="2"/>
        <v>167.16</v>
      </c>
      <c r="C52" t="s">
        <v>458</v>
      </c>
      <c r="D52" s="45">
        <f t="shared" si="1"/>
        <v>0.38610833333333339</v>
      </c>
    </row>
    <row r="53" spans="1:6" x14ac:dyDescent="0.35">
      <c r="A53" s="2" t="s">
        <v>102</v>
      </c>
      <c r="B53" t="str">
        <f t="shared" si="2"/>
        <v>1010</v>
      </c>
      <c r="C53" t="s">
        <v>68</v>
      </c>
      <c r="D53" s="45">
        <f t="shared" si="1"/>
        <v>0.38610833333333339</v>
      </c>
    </row>
    <row r="54" spans="1:6" x14ac:dyDescent="0.35">
      <c r="A54" s="2" t="s">
        <v>102</v>
      </c>
      <c r="B54" t="str">
        <f t="shared" si="2"/>
        <v>1039</v>
      </c>
      <c r="C54" t="s">
        <v>67</v>
      </c>
      <c r="D54" s="45">
        <f t="shared" si="1"/>
        <v>0.38610833333333339</v>
      </c>
    </row>
    <row r="55" spans="1:6" x14ac:dyDescent="0.35">
      <c r="A55" s="2" t="s">
        <v>102</v>
      </c>
      <c r="B55" t="str">
        <f t="shared" si="2"/>
        <v>732</v>
      </c>
      <c r="C55" t="s">
        <v>66</v>
      </c>
      <c r="D55" s="45">
        <f t="shared" si="1"/>
        <v>0.38610833333333339</v>
      </c>
    </row>
    <row r="56" spans="1:6" x14ac:dyDescent="0.35">
      <c r="A56" s="2" t="s">
        <v>102</v>
      </c>
      <c r="B56" t="str">
        <f t="shared" si="2"/>
        <v>45</v>
      </c>
      <c r="C56" t="s">
        <v>131</v>
      </c>
      <c r="D56" s="45">
        <f t="shared" si="1"/>
        <v>0.38610833333333339</v>
      </c>
    </row>
    <row r="57" spans="1:6" x14ac:dyDescent="0.35">
      <c r="A57" s="2" t="s">
        <v>102</v>
      </c>
      <c r="B57" t="str">
        <f t="shared" si="2"/>
        <v>719</v>
      </c>
      <c r="C57" t="s">
        <v>89</v>
      </c>
      <c r="D57" s="45">
        <f t="shared" si="1"/>
        <v>0.38610833333333339</v>
      </c>
      <c r="F57" s="7"/>
    </row>
    <row r="58" spans="1:6" x14ac:dyDescent="0.35">
      <c r="A58" s="2" t="s">
        <v>102</v>
      </c>
      <c r="B58" t="str">
        <f t="shared" si="2"/>
        <v>1073</v>
      </c>
      <c r="C58" t="s">
        <v>81</v>
      </c>
      <c r="D58" s="45">
        <f t="shared" si="1"/>
        <v>0.38610833333333339</v>
      </c>
      <c r="F58">
        <f>13.9/500</f>
        <v>2.7800000000000002E-2</v>
      </c>
    </row>
    <row r="59" spans="1:6" x14ac:dyDescent="0.35">
      <c r="A59" s="2" t="s">
        <v>102</v>
      </c>
      <c r="B59" t="str">
        <f t="shared" si="2"/>
        <v>497.5</v>
      </c>
      <c r="C59" t="s">
        <v>133</v>
      </c>
      <c r="D59" s="45">
        <f t="shared" si="1"/>
        <v>0.38610833333333339</v>
      </c>
      <c r="F59">
        <f>13.9/1.2</f>
        <v>11.583333333333334</v>
      </c>
    </row>
    <row r="60" spans="1:6" x14ac:dyDescent="0.35">
      <c r="A60" s="2" t="s">
        <v>102</v>
      </c>
      <c r="B60" t="str">
        <f t="shared" si="2"/>
        <v>704</v>
      </c>
      <c r="C60" t="s">
        <v>132</v>
      </c>
      <c r="D60" s="45">
        <f>+IF(A60="MAT-EMP",0.46333/(20*500),0.46333/1.2)</f>
        <v>0.38610833333333339</v>
      </c>
    </row>
    <row r="61" spans="1:6" x14ac:dyDescent="0.35">
      <c r="A61" s="2" t="s">
        <v>102</v>
      </c>
      <c r="B61" t="str">
        <f t="shared" ref="B61:B92" si="3">+RIGHT(C61, LEN(C61) - FIND("|", C61) - 1)</f>
        <v>910</v>
      </c>
      <c r="C61" t="s">
        <v>136</v>
      </c>
      <c r="D61" s="45">
        <f t="shared" si="1"/>
        <v>0.38610833333333339</v>
      </c>
    </row>
    <row r="62" spans="1:6" x14ac:dyDescent="0.35">
      <c r="A62" s="2" t="s">
        <v>102</v>
      </c>
      <c r="B62" t="str">
        <f t="shared" si="3"/>
        <v>379</v>
      </c>
      <c r="C62" t="s">
        <v>139</v>
      </c>
      <c r="D62" s="45">
        <f t="shared" si="1"/>
        <v>0.38610833333333339</v>
      </c>
    </row>
    <row r="63" spans="1:6" x14ac:dyDescent="0.35">
      <c r="A63" s="2" t="s">
        <v>102</v>
      </c>
      <c r="B63" t="str">
        <f t="shared" si="3"/>
        <v>131.3</v>
      </c>
      <c r="C63" t="s">
        <v>83</v>
      </c>
      <c r="D63" s="45">
        <f t="shared" si="1"/>
        <v>0.38610833333333339</v>
      </c>
    </row>
    <row r="64" spans="1:6" x14ac:dyDescent="0.35">
      <c r="A64" s="2" t="s">
        <v>102</v>
      </c>
      <c r="B64" t="str">
        <f t="shared" si="3"/>
        <v>990</v>
      </c>
      <c r="C64" t="s">
        <v>135</v>
      </c>
      <c r="D64" s="45">
        <f t="shared" si="1"/>
        <v>0.38610833333333339</v>
      </c>
    </row>
    <row r="65" spans="1:4" x14ac:dyDescent="0.35">
      <c r="A65" s="2" t="s">
        <v>102</v>
      </c>
      <c r="B65" t="str">
        <f t="shared" si="3"/>
        <v>439</v>
      </c>
      <c r="C65" t="s">
        <v>137</v>
      </c>
      <c r="D65" s="45">
        <f t="shared" si="1"/>
        <v>0.38610833333333339</v>
      </c>
    </row>
    <row r="66" spans="1:4" x14ac:dyDescent="0.35">
      <c r="A66" s="2" t="s">
        <v>102</v>
      </c>
      <c r="B66" t="str">
        <f t="shared" si="3"/>
        <v>1045</v>
      </c>
      <c r="C66" t="s">
        <v>76</v>
      </c>
      <c r="D66" s="45">
        <f t="shared" si="1"/>
        <v>0.38610833333333339</v>
      </c>
    </row>
    <row r="67" spans="1:4" x14ac:dyDescent="0.35">
      <c r="A67" s="2" t="s">
        <v>102</v>
      </c>
      <c r="B67" t="str">
        <f t="shared" si="3"/>
        <v>806</v>
      </c>
      <c r="C67" t="s">
        <v>134</v>
      </c>
      <c r="D67" s="45">
        <f t="shared" ref="D67:D130" si="4">+IF(A67="MAT-EMP",0.46333/(20*500),0.46333/1.2)</f>
        <v>0.38610833333333339</v>
      </c>
    </row>
    <row r="68" spans="1:4" x14ac:dyDescent="0.35">
      <c r="A68" s="2" t="s">
        <v>102</v>
      </c>
      <c r="B68" t="str">
        <f t="shared" si="3"/>
        <v>439.3</v>
      </c>
      <c r="C68" t="s">
        <v>178</v>
      </c>
      <c r="D68" s="45">
        <f t="shared" si="4"/>
        <v>0.38610833333333339</v>
      </c>
    </row>
    <row r="69" spans="1:4" x14ac:dyDescent="0.35">
      <c r="A69" s="2" t="s">
        <v>102</v>
      </c>
      <c r="B69" t="str">
        <f t="shared" si="3"/>
        <v>1068</v>
      </c>
      <c r="C69" t="s">
        <v>145</v>
      </c>
      <c r="D69" s="45">
        <f t="shared" si="4"/>
        <v>0.38610833333333339</v>
      </c>
    </row>
    <row r="70" spans="1:4" x14ac:dyDescent="0.35">
      <c r="A70" s="2" t="s">
        <v>102</v>
      </c>
      <c r="B70" t="str">
        <f t="shared" si="3"/>
        <v>1009</v>
      </c>
      <c r="C70" t="s">
        <v>73</v>
      </c>
      <c r="D70" s="45">
        <f t="shared" si="4"/>
        <v>0.38610833333333339</v>
      </c>
    </row>
    <row r="71" spans="1:4" x14ac:dyDescent="0.35">
      <c r="A71" s="2" t="s">
        <v>102</v>
      </c>
      <c r="B71" t="str">
        <f t="shared" si="3"/>
        <v>455.3</v>
      </c>
      <c r="C71" t="s">
        <v>150</v>
      </c>
      <c r="D71" s="45">
        <f t="shared" si="4"/>
        <v>0.38610833333333339</v>
      </c>
    </row>
    <row r="72" spans="1:4" x14ac:dyDescent="0.35">
      <c r="A72" s="2" t="s">
        <v>102</v>
      </c>
      <c r="B72" t="str">
        <f t="shared" si="3"/>
        <v>488.1</v>
      </c>
      <c r="C72" t="s">
        <v>149</v>
      </c>
      <c r="D72" s="45">
        <f t="shared" si="4"/>
        <v>0.38610833333333339</v>
      </c>
    </row>
    <row r="73" spans="1:4" x14ac:dyDescent="0.35">
      <c r="A73" s="2" t="s">
        <v>102</v>
      </c>
      <c r="B73" t="str">
        <f t="shared" si="3"/>
        <v>110.2</v>
      </c>
      <c r="C73" t="s">
        <v>170</v>
      </c>
      <c r="D73" s="45">
        <f t="shared" si="4"/>
        <v>0.38610833333333339</v>
      </c>
    </row>
    <row r="74" spans="1:4" x14ac:dyDescent="0.35">
      <c r="A74" s="2" t="s">
        <v>102</v>
      </c>
      <c r="B74" t="str">
        <f t="shared" si="3"/>
        <v>160</v>
      </c>
      <c r="C74" t="s">
        <v>175</v>
      </c>
      <c r="D74" s="45">
        <f t="shared" si="4"/>
        <v>0.38610833333333339</v>
      </c>
    </row>
    <row r="75" spans="1:4" x14ac:dyDescent="0.35">
      <c r="A75" s="2" t="s">
        <v>102</v>
      </c>
      <c r="B75" t="str">
        <f t="shared" si="3"/>
        <v>173</v>
      </c>
      <c r="C75" t="s">
        <v>138</v>
      </c>
      <c r="D75" s="45">
        <f t="shared" si="4"/>
        <v>0.38610833333333339</v>
      </c>
    </row>
    <row r="76" spans="1:4" x14ac:dyDescent="0.35">
      <c r="A76" s="2" t="s">
        <v>102</v>
      </c>
      <c r="B76" t="str">
        <f t="shared" si="3"/>
        <v>461</v>
      </c>
      <c r="C76" t="s">
        <v>176</v>
      </c>
      <c r="D76" s="45">
        <f t="shared" si="4"/>
        <v>0.38610833333333339</v>
      </c>
    </row>
    <row r="77" spans="1:4" x14ac:dyDescent="0.35">
      <c r="A77" s="2" t="s">
        <v>102</v>
      </c>
      <c r="B77" t="str">
        <f t="shared" si="3"/>
        <v>1007.5</v>
      </c>
      <c r="C77" t="s">
        <v>141</v>
      </c>
      <c r="D77" s="45">
        <f t="shared" si="4"/>
        <v>0.38610833333333339</v>
      </c>
    </row>
    <row r="78" spans="1:4" x14ac:dyDescent="0.35">
      <c r="A78" s="2" t="s">
        <v>102</v>
      </c>
      <c r="B78" t="str">
        <f t="shared" si="3"/>
        <v>456.12</v>
      </c>
      <c r="C78" t="s">
        <v>153</v>
      </c>
      <c r="D78" s="45">
        <f t="shared" si="4"/>
        <v>0.38610833333333339</v>
      </c>
    </row>
    <row r="79" spans="1:4" x14ac:dyDescent="0.35">
      <c r="A79" s="2" t="s">
        <v>102</v>
      </c>
      <c r="B79" t="str">
        <f t="shared" si="3"/>
        <v>499.11</v>
      </c>
      <c r="C79" t="s">
        <v>142</v>
      </c>
      <c r="D79" s="45">
        <f t="shared" si="4"/>
        <v>0.38610833333333339</v>
      </c>
    </row>
    <row r="80" spans="1:4" x14ac:dyDescent="0.35">
      <c r="A80" s="2" t="s">
        <v>102</v>
      </c>
      <c r="B80" t="str">
        <f t="shared" si="3"/>
        <v>508</v>
      </c>
      <c r="C80" t="s">
        <v>154</v>
      </c>
      <c r="D80" s="45">
        <f t="shared" si="4"/>
        <v>0.38610833333333339</v>
      </c>
    </row>
    <row r="81" spans="1:4" x14ac:dyDescent="0.35">
      <c r="A81" s="2" t="s">
        <v>102</v>
      </c>
      <c r="B81" t="str">
        <f t="shared" si="3"/>
        <v>742</v>
      </c>
      <c r="C81" t="s">
        <v>147</v>
      </c>
      <c r="D81" s="45">
        <f t="shared" si="4"/>
        <v>0.38610833333333339</v>
      </c>
    </row>
    <row r="82" spans="1:4" x14ac:dyDescent="0.35">
      <c r="A82" s="2" t="s">
        <v>102</v>
      </c>
      <c r="B82" t="str">
        <f t="shared" si="3"/>
        <v>740</v>
      </c>
      <c r="C82" t="s">
        <v>143</v>
      </c>
      <c r="D82" s="45">
        <f t="shared" si="4"/>
        <v>0.38610833333333339</v>
      </c>
    </row>
    <row r="83" spans="1:4" x14ac:dyDescent="0.35">
      <c r="A83" s="2" t="s">
        <v>102</v>
      </c>
      <c r="B83" t="str">
        <f t="shared" si="3"/>
        <v>741</v>
      </c>
      <c r="C83" t="s">
        <v>146</v>
      </c>
      <c r="D83" s="45">
        <f t="shared" si="4"/>
        <v>0.38610833333333339</v>
      </c>
    </row>
    <row r="84" spans="1:4" x14ac:dyDescent="0.35">
      <c r="A84" s="2" t="s">
        <v>102</v>
      </c>
      <c r="B84" t="str">
        <f t="shared" si="3"/>
        <v>716</v>
      </c>
      <c r="C84" t="s">
        <v>162</v>
      </c>
      <c r="D84" s="45">
        <f t="shared" si="4"/>
        <v>0.38610833333333339</v>
      </c>
    </row>
    <row r="85" spans="1:4" x14ac:dyDescent="0.35">
      <c r="A85" s="2" t="s">
        <v>102</v>
      </c>
      <c r="B85" t="str">
        <f t="shared" si="3"/>
        <v>945</v>
      </c>
      <c r="C85" t="s">
        <v>148</v>
      </c>
      <c r="D85" s="45">
        <f t="shared" si="4"/>
        <v>0.38610833333333339</v>
      </c>
    </row>
    <row r="86" spans="1:4" x14ac:dyDescent="0.35">
      <c r="A86" s="2" t="s">
        <v>102</v>
      </c>
      <c r="B86" t="str">
        <f t="shared" si="3"/>
        <v>936</v>
      </c>
      <c r="C86" t="s">
        <v>85</v>
      </c>
      <c r="D86" s="45">
        <f t="shared" si="4"/>
        <v>0.38610833333333339</v>
      </c>
    </row>
    <row r="87" spans="1:4" x14ac:dyDescent="0.35">
      <c r="A87" s="2" t="s">
        <v>102</v>
      </c>
      <c r="B87" t="str">
        <f t="shared" si="3"/>
        <v>1059</v>
      </c>
      <c r="C87" t="s">
        <v>151</v>
      </c>
      <c r="D87" s="45">
        <f t="shared" si="4"/>
        <v>0.38610833333333339</v>
      </c>
    </row>
    <row r="88" spans="1:4" x14ac:dyDescent="0.35">
      <c r="A88" s="2" t="s">
        <v>102</v>
      </c>
      <c r="B88" t="str">
        <f t="shared" si="3"/>
        <v>58</v>
      </c>
      <c r="C88" t="s">
        <v>172</v>
      </c>
      <c r="D88" s="45">
        <f t="shared" si="4"/>
        <v>0.38610833333333339</v>
      </c>
    </row>
    <row r="89" spans="1:4" x14ac:dyDescent="0.35">
      <c r="A89" s="2" t="s">
        <v>102</v>
      </c>
      <c r="B89" t="str">
        <f t="shared" si="3"/>
        <v>442.4</v>
      </c>
      <c r="C89" t="s">
        <v>164</v>
      </c>
      <c r="D89" s="45">
        <f t="shared" si="4"/>
        <v>0.38610833333333339</v>
      </c>
    </row>
    <row r="90" spans="1:4" x14ac:dyDescent="0.35">
      <c r="A90" s="2" t="s">
        <v>102</v>
      </c>
      <c r="B90" t="str">
        <f t="shared" si="3"/>
        <v>475</v>
      </c>
      <c r="C90" t="s">
        <v>82</v>
      </c>
      <c r="D90" s="45">
        <f t="shared" si="4"/>
        <v>0.38610833333333339</v>
      </c>
    </row>
    <row r="91" spans="1:4" x14ac:dyDescent="0.35">
      <c r="A91" s="2" t="s">
        <v>102</v>
      </c>
      <c r="B91" t="str">
        <f t="shared" si="3"/>
        <v>70</v>
      </c>
      <c r="C91" t="s">
        <v>159</v>
      </c>
      <c r="D91" s="45">
        <f t="shared" si="4"/>
        <v>0.38610833333333339</v>
      </c>
    </row>
    <row r="92" spans="1:4" x14ac:dyDescent="0.35">
      <c r="A92" s="2" t="s">
        <v>102</v>
      </c>
      <c r="B92" t="str">
        <f t="shared" si="3"/>
        <v>810</v>
      </c>
      <c r="C92" t="s">
        <v>144</v>
      </c>
      <c r="D92" s="45">
        <f t="shared" si="4"/>
        <v>0.38610833333333339</v>
      </c>
    </row>
    <row r="93" spans="1:4" x14ac:dyDescent="0.35">
      <c r="A93" s="2" t="s">
        <v>102</v>
      </c>
      <c r="B93" t="str">
        <f t="shared" ref="B93:B124" si="5">+RIGHT(C93, LEN(C93) - FIND("|", C93) - 1)</f>
        <v>456.9</v>
      </c>
      <c r="C93" t="s">
        <v>158</v>
      </c>
      <c r="D93" s="45">
        <f t="shared" si="4"/>
        <v>0.38610833333333339</v>
      </c>
    </row>
    <row r="94" spans="1:4" x14ac:dyDescent="0.35">
      <c r="A94" s="2" t="s">
        <v>102</v>
      </c>
      <c r="B94" t="str">
        <f t="shared" si="5"/>
        <v>492.12</v>
      </c>
      <c r="C94" t="s">
        <v>91</v>
      </c>
      <c r="D94" s="45">
        <f t="shared" si="4"/>
        <v>0.38610833333333339</v>
      </c>
    </row>
    <row r="95" spans="1:4" x14ac:dyDescent="0.35">
      <c r="A95" s="2" t="s">
        <v>102</v>
      </c>
      <c r="B95" t="str">
        <f t="shared" si="5"/>
        <v>706</v>
      </c>
      <c r="C95" t="s">
        <v>156</v>
      </c>
      <c r="D95" s="45">
        <f t="shared" si="4"/>
        <v>0.38610833333333339</v>
      </c>
    </row>
    <row r="96" spans="1:4" x14ac:dyDescent="0.35">
      <c r="A96" s="2" t="s">
        <v>102</v>
      </c>
      <c r="B96" t="str">
        <f t="shared" si="5"/>
        <v>46.5</v>
      </c>
      <c r="C96" t="s">
        <v>161</v>
      </c>
      <c r="D96" s="45">
        <f t="shared" si="4"/>
        <v>0.38610833333333339</v>
      </c>
    </row>
    <row r="97" spans="1:4" x14ac:dyDescent="0.35">
      <c r="A97" s="2" t="s">
        <v>102</v>
      </c>
      <c r="B97" t="str">
        <f t="shared" si="5"/>
        <v>981.2</v>
      </c>
      <c r="C97" t="s">
        <v>171</v>
      </c>
      <c r="D97" s="45">
        <f t="shared" si="4"/>
        <v>0.38610833333333339</v>
      </c>
    </row>
    <row r="98" spans="1:4" x14ac:dyDescent="0.35">
      <c r="A98" s="2" t="s">
        <v>102</v>
      </c>
      <c r="B98" t="str">
        <f t="shared" si="5"/>
        <v>549.1</v>
      </c>
      <c r="C98" t="s">
        <v>92</v>
      </c>
      <c r="D98" s="45">
        <f t="shared" si="4"/>
        <v>0.38610833333333339</v>
      </c>
    </row>
    <row r="99" spans="1:4" x14ac:dyDescent="0.35">
      <c r="A99" s="2" t="s">
        <v>102</v>
      </c>
      <c r="B99" t="str">
        <f t="shared" si="5"/>
        <v>68</v>
      </c>
      <c r="C99" t="s">
        <v>160</v>
      </c>
      <c r="D99" s="45">
        <f t="shared" si="4"/>
        <v>0.38610833333333339</v>
      </c>
    </row>
    <row r="100" spans="1:4" x14ac:dyDescent="0.35">
      <c r="A100" s="2" t="s">
        <v>102</v>
      </c>
      <c r="B100" t="str">
        <f t="shared" si="5"/>
        <v>499.12</v>
      </c>
      <c r="C100" t="s">
        <v>152</v>
      </c>
      <c r="D100" s="45">
        <f t="shared" si="4"/>
        <v>0.38610833333333339</v>
      </c>
    </row>
    <row r="101" spans="1:4" x14ac:dyDescent="0.35">
      <c r="A101" s="2" t="s">
        <v>102</v>
      </c>
      <c r="B101" t="str">
        <f t="shared" si="5"/>
        <v>470.5</v>
      </c>
      <c r="C101" t="s">
        <v>77</v>
      </c>
      <c r="D101" s="45">
        <f t="shared" si="4"/>
        <v>0.38610833333333339</v>
      </c>
    </row>
    <row r="102" spans="1:4" x14ac:dyDescent="0.35">
      <c r="A102" s="2" t="s">
        <v>102</v>
      </c>
      <c r="B102" t="str">
        <f t="shared" si="5"/>
        <v>388</v>
      </c>
      <c r="C102" t="s">
        <v>74</v>
      </c>
      <c r="D102" s="45">
        <f t="shared" si="4"/>
        <v>0.38610833333333339</v>
      </c>
    </row>
    <row r="103" spans="1:4" x14ac:dyDescent="0.35">
      <c r="A103" s="2" t="s">
        <v>102</v>
      </c>
      <c r="B103" t="str">
        <f t="shared" si="5"/>
        <v>527.1</v>
      </c>
      <c r="C103" t="s">
        <v>166</v>
      </c>
      <c r="D103" s="45">
        <f t="shared" si="4"/>
        <v>0.38610833333333339</v>
      </c>
    </row>
    <row r="104" spans="1:4" x14ac:dyDescent="0.35">
      <c r="A104" s="2" t="s">
        <v>102</v>
      </c>
      <c r="B104" t="str">
        <f t="shared" si="5"/>
        <v>317</v>
      </c>
      <c r="C104" t="s">
        <v>69</v>
      </c>
      <c r="D104" s="45">
        <f t="shared" si="4"/>
        <v>0.38610833333333339</v>
      </c>
    </row>
    <row r="105" spans="1:4" x14ac:dyDescent="0.35">
      <c r="A105" s="2" t="s">
        <v>102</v>
      </c>
      <c r="B105" t="str">
        <f t="shared" si="5"/>
        <v>933</v>
      </c>
      <c r="C105" t="s">
        <v>163</v>
      </c>
      <c r="D105" s="45">
        <f t="shared" si="4"/>
        <v>0.38610833333333339</v>
      </c>
    </row>
    <row r="106" spans="1:4" x14ac:dyDescent="0.35">
      <c r="A106" s="2" t="s">
        <v>102</v>
      </c>
      <c r="B106" t="str">
        <f t="shared" si="5"/>
        <v>498.1</v>
      </c>
      <c r="C106" t="s">
        <v>157</v>
      </c>
      <c r="D106" s="45">
        <f t="shared" si="4"/>
        <v>0.38610833333333339</v>
      </c>
    </row>
    <row r="107" spans="1:4" x14ac:dyDescent="0.35">
      <c r="A107" s="2" t="s">
        <v>102</v>
      </c>
      <c r="B107" t="str">
        <f t="shared" si="5"/>
        <v>877</v>
      </c>
      <c r="C107" t="s">
        <v>88</v>
      </c>
      <c r="D107" s="45">
        <f t="shared" si="4"/>
        <v>0.38610833333333339</v>
      </c>
    </row>
    <row r="108" spans="1:4" x14ac:dyDescent="0.35">
      <c r="A108" s="2" t="s">
        <v>102</v>
      </c>
      <c r="B108" t="str">
        <f t="shared" si="5"/>
        <v>316</v>
      </c>
      <c r="C108" t="s">
        <v>165</v>
      </c>
      <c r="D108" s="45">
        <f t="shared" si="4"/>
        <v>0.38610833333333339</v>
      </c>
    </row>
    <row r="109" spans="1:4" x14ac:dyDescent="0.35">
      <c r="A109" s="2" t="s">
        <v>102</v>
      </c>
      <c r="B109" t="str">
        <f t="shared" si="5"/>
        <v>912.5</v>
      </c>
      <c r="C109" t="s">
        <v>90</v>
      </c>
      <c r="D109" s="45">
        <f t="shared" si="4"/>
        <v>0.38610833333333339</v>
      </c>
    </row>
    <row r="110" spans="1:4" x14ac:dyDescent="0.35">
      <c r="A110" s="2" t="s">
        <v>102</v>
      </c>
      <c r="B110" t="str">
        <f t="shared" si="5"/>
        <v>929</v>
      </c>
      <c r="C110" t="s">
        <v>71</v>
      </c>
      <c r="D110" s="45">
        <f t="shared" si="4"/>
        <v>0.38610833333333339</v>
      </c>
    </row>
    <row r="111" spans="1:4" x14ac:dyDescent="0.35">
      <c r="A111" s="2" t="s">
        <v>102</v>
      </c>
      <c r="B111" t="str">
        <f t="shared" si="5"/>
        <v>937</v>
      </c>
      <c r="C111" t="s">
        <v>86</v>
      </c>
      <c r="D111" s="45">
        <f t="shared" si="4"/>
        <v>0.38610833333333339</v>
      </c>
    </row>
    <row r="112" spans="1:4" x14ac:dyDescent="0.35">
      <c r="A112" s="2" t="s">
        <v>102</v>
      </c>
      <c r="B112" t="str">
        <f t="shared" si="5"/>
        <v>340.1</v>
      </c>
      <c r="C112" t="s">
        <v>84</v>
      </c>
      <c r="D112" s="45">
        <f t="shared" si="4"/>
        <v>0.38610833333333339</v>
      </c>
    </row>
    <row r="113" spans="1:4" x14ac:dyDescent="0.35">
      <c r="A113" s="2" t="s">
        <v>102</v>
      </c>
      <c r="B113" t="str">
        <f t="shared" si="5"/>
        <v>520.5</v>
      </c>
      <c r="C113" t="s">
        <v>87</v>
      </c>
      <c r="D113" s="45">
        <f t="shared" si="4"/>
        <v>0.38610833333333339</v>
      </c>
    </row>
    <row r="114" spans="1:4" x14ac:dyDescent="0.35">
      <c r="A114" s="2" t="s">
        <v>102</v>
      </c>
      <c r="B114" t="str">
        <f t="shared" si="5"/>
        <v>1016</v>
      </c>
      <c r="C114" t="s">
        <v>177</v>
      </c>
      <c r="D114" s="45">
        <f t="shared" si="4"/>
        <v>0.38610833333333339</v>
      </c>
    </row>
    <row r="115" spans="1:4" x14ac:dyDescent="0.35">
      <c r="A115" s="2" t="s">
        <v>102</v>
      </c>
      <c r="B115" t="str">
        <f t="shared" si="5"/>
        <v>495</v>
      </c>
      <c r="C115" t="s">
        <v>78</v>
      </c>
      <c r="D115" s="45">
        <f t="shared" si="4"/>
        <v>0.38610833333333339</v>
      </c>
    </row>
    <row r="116" spans="1:4" x14ac:dyDescent="0.35">
      <c r="A116" s="2" t="s">
        <v>102</v>
      </c>
      <c r="B116" t="str">
        <f t="shared" si="5"/>
        <v>701.2</v>
      </c>
      <c r="C116" t="s">
        <v>140</v>
      </c>
      <c r="D116" s="45">
        <f t="shared" si="4"/>
        <v>0.38610833333333339</v>
      </c>
    </row>
    <row r="117" spans="1:4" x14ac:dyDescent="0.35">
      <c r="A117" s="2" t="s">
        <v>102</v>
      </c>
      <c r="B117" t="str">
        <f t="shared" si="5"/>
        <v>901</v>
      </c>
      <c r="C117" t="s">
        <v>70</v>
      </c>
      <c r="D117" s="45">
        <f t="shared" si="4"/>
        <v>0.38610833333333339</v>
      </c>
    </row>
    <row r="118" spans="1:4" x14ac:dyDescent="0.35">
      <c r="A118" s="2" t="s">
        <v>102</v>
      </c>
      <c r="B118" t="str">
        <f t="shared" si="5"/>
        <v>900</v>
      </c>
      <c r="C118" t="s">
        <v>72</v>
      </c>
      <c r="D118" s="45">
        <f t="shared" si="4"/>
        <v>0.38610833333333339</v>
      </c>
    </row>
    <row r="119" spans="1:4" x14ac:dyDescent="0.35">
      <c r="A119" s="2" t="s">
        <v>102</v>
      </c>
      <c r="B119" t="str">
        <f t="shared" si="5"/>
        <v>907</v>
      </c>
      <c r="C119" t="s">
        <v>155</v>
      </c>
      <c r="D119" s="45">
        <f t="shared" si="4"/>
        <v>0.38610833333333339</v>
      </c>
    </row>
    <row r="120" spans="1:4" x14ac:dyDescent="0.35">
      <c r="A120" s="2" t="s">
        <v>102</v>
      </c>
      <c r="B120" t="str">
        <f t="shared" si="5"/>
        <v>170</v>
      </c>
      <c r="C120" t="s">
        <v>174</v>
      </c>
      <c r="D120" s="45">
        <f t="shared" si="4"/>
        <v>0.38610833333333339</v>
      </c>
    </row>
    <row r="121" spans="1:4" x14ac:dyDescent="0.35">
      <c r="A121" s="2" t="s">
        <v>102</v>
      </c>
      <c r="B121" t="str">
        <f t="shared" si="5"/>
        <v>600</v>
      </c>
      <c r="C121" t="s">
        <v>179</v>
      </c>
      <c r="D121" s="45">
        <f t="shared" si="4"/>
        <v>0.38610833333333339</v>
      </c>
    </row>
    <row r="122" spans="1:4" x14ac:dyDescent="0.35">
      <c r="A122" s="2" t="s">
        <v>102</v>
      </c>
      <c r="B122" t="str">
        <f t="shared" si="5"/>
        <v>1070</v>
      </c>
      <c r="C122" t="s">
        <v>75</v>
      </c>
      <c r="D122" s="45">
        <f t="shared" si="4"/>
        <v>0.38610833333333339</v>
      </c>
    </row>
    <row r="123" spans="1:4" x14ac:dyDescent="0.35">
      <c r="A123" s="2" t="s">
        <v>102</v>
      </c>
      <c r="B123" t="str">
        <f t="shared" si="5"/>
        <v>743</v>
      </c>
      <c r="C123" t="s">
        <v>79</v>
      </c>
      <c r="D123" s="45">
        <f t="shared" si="4"/>
        <v>0.38610833333333339</v>
      </c>
    </row>
    <row r="124" spans="1:4" x14ac:dyDescent="0.35">
      <c r="A124" s="2" t="s">
        <v>102</v>
      </c>
      <c r="B124" t="str">
        <f t="shared" si="5"/>
        <v>744</v>
      </c>
      <c r="C124" t="s">
        <v>80</v>
      </c>
      <c r="D124" s="45">
        <f t="shared" si="4"/>
        <v>0.38610833333333339</v>
      </c>
    </row>
    <row r="125" spans="1:4" x14ac:dyDescent="0.35">
      <c r="A125" s="2" t="s">
        <v>102</v>
      </c>
      <c r="B125" t="str">
        <f t="shared" ref="B125:B156" si="6">+RIGHT(C125, LEN(C125) - FIND("|", C125) - 1)</f>
        <v>311</v>
      </c>
      <c r="C125" t="s">
        <v>168</v>
      </c>
      <c r="D125" s="45">
        <f t="shared" si="4"/>
        <v>0.38610833333333339</v>
      </c>
    </row>
    <row r="126" spans="1:4" x14ac:dyDescent="0.35">
      <c r="A126" s="2" t="s">
        <v>102</v>
      </c>
      <c r="B126" t="str">
        <f t="shared" si="6"/>
        <v>685</v>
      </c>
      <c r="C126" t="s">
        <v>169</v>
      </c>
      <c r="D126" s="45">
        <f t="shared" si="4"/>
        <v>0.38610833333333339</v>
      </c>
    </row>
    <row r="127" spans="1:4" x14ac:dyDescent="0.35">
      <c r="A127" s="2" t="s">
        <v>102</v>
      </c>
      <c r="B127" t="str">
        <f t="shared" si="6"/>
        <v>601</v>
      </c>
      <c r="C127" t="s">
        <v>167</v>
      </c>
      <c r="D127" s="45">
        <f t="shared" si="4"/>
        <v>0.38610833333333339</v>
      </c>
    </row>
    <row r="128" spans="1:4" x14ac:dyDescent="0.35">
      <c r="A128" s="2" t="s">
        <v>102</v>
      </c>
      <c r="B128" t="str">
        <f t="shared" si="6"/>
        <v>1051</v>
      </c>
      <c r="C128" t="s">
        <v>173</v>
      </c>
      <c r="D128" s="45">
        <f t="shared" si="4"/>
        <v>0.38610833333333339</v>
      </c>
    </row>
    <row r="129" spans="1:4" x14ac:dyDescent="0.35">
      <c r="A129" s="2" t="s">
        <v>102</v>
      </c>
      <c r="B129" t="str">
        <f t="shared" si="6"/>
        <v>710</v>
      </c>
      <c r="C129" t="s">
        <v>571</v>
      </c>
      <c r="D129" s="45">
        <f t="shared" si="4"/>
        <v>0.38610833333333339</v>
      </c>
    </row>
    <row r="130" spans="1:4" x14ac:dyDescent="0.35">
      <c r="A130" s="2" t="s">
        <v>102</v>
      </c>
      <c r="B130" t="str">
        <f t="shared" si="6"/>
        <v>932</v>
      </c>
      <c r="C130" t="s">
        <v>970</v>
      </c>
      <c r="D130" s="45">
        <f t="shared" si="4"/>
        <v>0.38610833333333339</v>
      </c>
    </row>
    <row r="131" spans="1:4" x14ac:dyDescent="0.35">
      <c r="A131" s="2" t="s">
        <v>102</v>
      </c>
      <c r="B131" t="str">
        <f t="shared" si="6"/>
        <v>931</v>
      </c>
      <c r="C131" t="s">
        <v>974</v>
      </c>
      <c r="D131" s="45">
        <f t="shared" ref="D131:D192" si="7">+IF(A131="MAT-EMP",0.46333/(20*500),0.46333/1.2)</f>
        <v>0.38610833333333339</v>
      </c>
    </row>
    <row r="132" spans="1:4" x14ac:dyDescent="0.35">
      <c r="A132" s="2" t="s">
        <v>102</v>
      </c>
      <c r="B132" t="str">
        <f t="shared" si="6"/>
        <v>59</v>
      </c>
      <c r="C132" t="s">
        <v>957</v>
      </c>
      <c r="D132" s="45">
        <f t="shared" si="7"/>
        <v>0.38610833333333339</v>
      </c>
    </row>
    <row r="133" spans="1:4" x14ac:dyDescent="0.35">
      <c r="A133" s="2" t="s">
        <v>102</v>
      </c>
      <c r="B133" t="str">
        <f t="shared" si="6"/>
        <v>20</v>
      </c>
      <c r="C133" t="s">
        <v>958</v>
      </c>
      <c r="D133" s="45">
        <f t="shared" si="7"/>
        <v>0.38610833333333339</v>
      </c>
    </row>
    <row r="134" spans="1:4" x14ac:dyDescent="0.35">
      <c r="A134" s="2" t="s">
        <v>102</v>
      </c>
      <c r="B134" t="str">
        <f t="shared" si="6"/>
        <v>22</v>
      </c>
      <c r="C134" t="s">
        <v>959</v>
      </c>
      <c r="D134" s="45">
        <f t="shared" si="7"/>
        <v>0.38610833333333339</v>
      </c>
    </row>
    <row r="135" spans="1:4" x14ac:dyDescent="0.35">
      <c r="A135" s="2" t="s">
        <v>102</v>
      </c>
      <c r="B135" t="str">
        <f t="shared" si="6"/>
        <v>21</v>
      </c>
      <c r="C135" t="s">
        <v>964</v>
      </c>
      <c r="D135" s="45">
        <f t="shared" si="7"/>
        <v>0.38610833333333339</v>
      </c>
    </row>
    <row r="136" spans="1:4" x14ac:dyDescent="0.35">
      <c r="A136" s="2" t="s">
        <v>102</v>
      </c>
      <c r="B136" t="str">
        <f t="shared" si="6"/>
        <v>1050</v>
      </c>
      <c r="C136" t="s">
        <v>973</v>
      </c>
      <c r="D136" s="45">
        <f t="shared" si="7"/>
        <v>0.38610833333333339</v>
      </c>
    </row>
    <row r="137" spans="1:4" x14ac:dyDescent="0.35">
      <c r="A137" s="2" t="s">
        <v>103</v>
      </c>
      <c r="B137" t="str">
        <f t="shared" si="6"/>
        <v>17.2</v>
      </c>
      <c r="C137" t="s">
        <v>181</v>
      </c>
      <c r="D137" s="45">
        <f t="shared" si="7"/>
        <v>0.38610833333333339</v>
      </c>
    </row>
    <row r="138" spans="1:4" x14ac:dyDescent="0.35">
      <c r="A138" s="2" t="s">
        <v>103</v>
      </c>
      <c r="B138" t="str">
        <f t="shared" si="6"/>
        <v>122</v>
      </c>
      <c r="C138" t="s">
        <v>180</v>
      </c>
      <c r="D138" s="45">
        <f t="shared" si="7"/>
        <v>0.38610833333333339</v>
      </c>
    </row>
    <row r="139" spans="1:4" x14ac:dyDescent="0.35">
      <c r="A139" s="2" t="s">
        <v>103</v>
      </c>
      <c r="B139" t="str">
        <f t="shared" si="6"/>
        <v>1</v>
      </c>
      <c r="C139" t="s">
        <v>182</v>
      </c>
      <c r="D139" s="45">
        <f t="shared" si="7"/>
        <v>0.38610833333333339</v>
      </c>
    </row>
    <row r="140" spans="1:4" x14ac:dyDescent="0.35">
      <c r="A140" s="2" t="s">
        <v>103</v>
      </c>
      <c r="B140" t="str">
        <f t="shared" si="6"/>
        <v>410</v>
      </c>
      <c r="C140" t="s">
        <v>183</v>
      </c>
      <c r="D140" s="45">
        <f t="shared" si="7"/>
        <v>0.38610833333333339</v>
      </c>
    </row>
    <row r="141" spans="1:4" x14ac:dyDescent="0.35">
      <c r="A141" s="2" t="s">
        <v>104</v>
      </c>
      <c r="B141" t="str">
        <f t="shared" si="6"/>
        <v>223</v>
      </c>
      <c r="C141" t="s">
        <v>93</v>
      </c>
      <c r="D141" s="45">
        <f t="shared" si="7"/>
        <v>0.38610833333333339</v>
      </c>
    </row>
    <row r="142" spans="1:4" x14ac:dyDescent="0.35">
      <c r="A142" s="2" t="s">
        <v>104</v>
      </c>
      <c r="B142" t="str">
        <f t="shared" si="6"/>
        <v>200</v>
      </c>
      <c r="C142" t="s">
        <v>97</v>
      </c>
      <c r="D142" s="45">
        <f t="shared" si="7"/>
        <v>0.38610833333333339</v>
      </c>
    </row>
    <row r="143" spans="1:4" x14ac:dyDescent="0.35">
      <c r="A143" s="2" t="s">
        <v>104</v>
      </c>
      <c r="B143" t="str">
        <f t="shared" si="6"/>
        <v>42</v>
      </c>
      <c r="C143" t="s">
        <v>94</v>
      </c>
      <c r="D143" s="45">
        <f t="shared" si="7"/>
        <v>0.38610833333333339</v>
      </c>
    </row>
    <row r="144" spans="1:4" x14ac:dyDescent="0.35">
      <c r="A144" s="2" t="s">
        <v>104</v>
      </c>
      <c r="B144" t="str">
        <f t="shared" si="6"/>
        <v>156.4</v>
      </c>
      <c r="C144" t="s">
        <v>977</v>
      </c>
      <c r="D144" s="45">
        <f t="shared" si="7"/>
        <v>0.38610833333333339</v>
      </c>
    </row>
    <row r="145" spans="1:4" x14ac:dyDescent="0.35">
      <c r="A145" s="2" t="s">
        <v>104</v>
      </c>
      <c r="B145" t="str">
        <f t="shared" si="6"/>
        <v>211</v>
      </c>
      <c r="C145" t="s">
        <v>188</v>
      </c>
      <c r="D145" s="45">
        <f t="shared" si="7"/>
        <v>0.38610833333333339</v>
      </c>
    </row>
    <row r="146" spans="1:4" x14ac:dyDescent="0.35">
      <c r="A146" s="2" t="s">
        <v>104</v>
      </c>
      <c r="B146" t="str">
        <f t="shared" si="6"/>
        <v>116</v>
      </c>
      <c r="C146" t="s">
        <v>99</v>
      </c>
      <c r="D146" s="45">
        <f t="shared" si="7"/>
        <v>0.38610833333333339</v>
      </c>
    </row>
    <row r="147" spans="1:4" x14ac:dyDescent="0.35">
      <c r="A147" s="2" t="s">
        <v>104</v>
      </c>
      <c r="B147" t="str">
        <f t="shared" si="6"/>
        <v>701</v>
      </c>
      <c r="C147" t="s">
        <v>98</v>
      </c>
      <c r="D147" s="45">
        <f t="shared" si="7"/>
        <v>0.38610833333333339</v>
      </c>
    </row>
    <row r="148" spans="1:4" x14ac:dyDescent="0.35">
      <c r="A148" s="2" t="s">
        <v>104</v>
      </c>
      <c r="B148" t="str">
        <f t="shared" si="6"/>
        <v>111</v>
      </c>
      <c r="C148" t="s">
        <v>184</v>
      </c>
      <c r="D148" s="45">
        <f>+IF(A148="MAT-EMP",0.46333/(20*500),0.46333/1.2)</f>
        <v>0.38610833333333339</v>
      </c>
    </row>
    <row r="149" spans="1:4" x14ac:dyDescent="0.35">
      <c r="A149" s="2" t="s">
        <v>104</v>
      </c>
      <c r="B149" t="str">
        <f t="shared" si="6"/>
        <v>214</v>
      </c>
      <c r="C149" t="s">
        <v>186</v>
      </c>
      <c r="D149" s="45">
        <f t="shared" si="7"/>
        <v>0.38610833333333339</v>
      </c>
    </row>
    <row r="150" spans="1:4" x14ac:dyDescent="0.35">
      <c r="A150" s="2" t="s">
        <v>104</v>
      </c>
      <c r="B150" t="str">
        <f t="shared" si="6"/>
        <v>14</v>
      </c>
      <c r="C150" t="s">
        <v>187</v>
      </c>
      <c r="D150" s="45">
        <f t="shared" si="7"/>
        <v>0.38610833333333339</v>
      </c>
    </row>
    <row r="151" spans="1:4" x14ac:dyDescent="0.35">
      <c r="A151" s="2" t="s">
        <v>104</v>
      </c>
      <c r="B151" t="str">
        <f t="shared" si="6"/>
        <v>40</v>
      </c>
      <c r="C151" t="s">
        <v>95</v>
      </c>
      <c r="D151" s="45">
        <f t="shared" si="7"/>
        <v>0.38610833333333339</v>
      </c>
    </row>
    <row r="152" spans="1:4" x14ac:dyDescent="0.35">
      <c r="A152" s="2" t="s">
        <v>104</v>
      </c>
      <c r="B152" t="str">
        <f t="shared" si="6"/>
        <v>100.2</v>
      </c>
      <c r="C152" t="s">
        <v>185</v>
      </c>
      <c r="D152" s="45">
        <f t="shared" si="7"/>
        <v>0.38610833333333339</v>
      </c>
    </row>
    <row r="153" spans="1:4" x14ac:dyDescent="0.35">
      <c r="A153" s="2" t="s">
        <v>104</v>
      </c>
      <c r="B153" t="str">
        <f t="shared" si="6"/>
        <v>106</v>
      </c>
      <c r="C153" t="s">
        <v>191</v>
      </c>
      <c r="D153" s="45">
        <f t="shared" si="7"/>
        <v>0.38610833333333339</v>
      </c>
    </row>
    <row r="154" spans="1:4" x14ac:dyDescent="0.35">
      <c r="A154" s="2" t="s">
        <v>104</v>
      </c>
      <c r="B154" t="str">
        <f t="shared" si="6"/>
        <v>301</v>
      </c>
      <c r="C154" t="s">
        <v>96</v>
      </c>
      <c r="D154" s="45">
        <f t="shared" si="7"/>
        <v>0.38610833333333339</v>
      </c>
    </row>
    <row r="155" spans="1:4" x14ac:dyDescent="0.35">
      <c r="A155" s="2" t="s">
        <v>680</v>
      </c>
      <c r="B155" t="str">
        <f t="shared" si="6"/>
        <v>40</v>
      </c>
      <c r="C155" t="s">
        <v>95</v>
      </c>
      <c r="D155" s="45">
        <f t="shared" si="7"/>
        <v>0.38610833333333339</v>
      </c>
    </row>
    <row r="156" spans="1:4" x14ac:dyDescent="0.35">
      <c r="A156" s="2" t="s">
        <v>680</v>
      </c>
      <c r="B156" t="str">
        <f t="shared" si="6"/>
        <v>100.2</v>
      </c>
      <c r="C156" t="s">
        <v>185</v>
      </c>
      <c r="D156" s="45">
        <f t="shared" si="7"/>
        <v>0.38610833333333339</v>
      </c>
    </row>
    <row r="157" spans="1:4" x14ac:dyDescent="0.35">
      <c r="A157" s="2" t="s">
        <v>680</v>
      </c>
      <c r="B157" t="str">
        <f t="shared" ref="B157:B192" si="8">+RIGHT(C157, LEN(C157) - FIND("|", C157) - 1)</f>
        <v>106</v>
      </c>
      <c r="C157" t="s">
        <v>191</v>
      </c>
      <c r="D157" s="45">
        <f t="shared" si="7"/>
        <v>0.38610833333333339</v>
      </c>
    </row>
    <row r="158" spans="1:4" x14ac:dyDescent="0.35">
      <c r="A158" s="2" t="s">
        <v>680</v>
      </c>
      <c r="B158" t="str">
        <f t="shared" si="8"/>
        <v>301</v>
      </c>
      <c r="C158" t="s">
        <v>96</v>
      </c>
      <c r="D158" s="45">
        <f t="shared" si="7"/>
        <v>0.38610833333333339</v>
      </c>
    </row>
    <row r="159" spans="1:4" x14ac:dyDescent="0.35">
      <c r="A159" s="2" t="s">
        <v>680</v>
      </c>
      <c r="B159" t="str">
        <f t="shared" si="8"/>
        <v>3262</v>
      </c>
      <c r="C159" t="s">
        <v>786</v>
      </c>
      <c r="D159" s="45">
        <f t="shared" si="7"/>
        <v>0.38610833333333339</v>
      </c>
    </row>
    <row r="160" spans="1:4" x14ac:dyDescent="0.35">
      <c r="A160" s="2" t="s">
        <v>680</v>
      </c>
      <c r="B160" t="str">
        <f t="shared" si="8"/>
        <v>3135</v>
      </c>
      <c r="C160" t="s">
        <v>788</v>
      </c>
      <c r="D160" s="45">
        <f t="shared" si="7"/>
        <v>0.38610833333333339</v>
      </c>
    </row>
    <row r="161" spans="1:4" x14ac:dyDescent="0.35">
      <c r="A161" s="2" t="s">
        <v>680</v>
      </c>
      <c r="B161" t="str">
        <f t="shared" si="8"/>
        <v>5400</v>
      </c>
      <c r="C161" t="s">
        <v>780</v>
      </c>
      <c r="D161" s="45">
        <f t="shared" si="7"/>
        <v>0.38610833333333339</v>
      </c>
    </row>
    <row r="162" spans="1:4" x14ac:dyDescent="0.35">
      <c r="A162" s="2" t="s">
        <v>680</v>
      </c>
      <c r="B162" t="str">
        <f t="shared" si="8"/>
        <v>3001</v>
      </c>
      <c r="C162" t="s">
        <v>781</v>
      </c>
      <c r="D162" s="45">
        <f t="shared" si="7"/>
        <v>0.38610833333333339</v>
      </c>
    </row>
    <row r="163" spans="1:4" x14ac:dyDescent="0.35">
      <c r="A163" s="2" t="s">
        <v>680</v>
      </c>
      <c r="B163" t="str">
        <f t="shared" si="8"/>
        <v>5106</v>
      </c>
      <c r="C163" t="s">
        <v>782</v>
      </c>
      <c r="D163" s="45">
        <f t="shared" si="7"/>
        <v>0.38610833333333339</v>
      </c>
    </row>
    <row r="164" spans="1:4" x14ac:dyDescent="0.35">
      <c r="A164" s="2" t="s">
        <v>680</v>
      </c>
      <c r="B164" t="str">
        <f t="shared" si="8"/>
        <v>6410-FER</v>
      </c>
      <c r="C164" t="s">
        <v>783</v>
      </c>
      <c r="D164" s="45">
        <f t="shared" si="7"/>
        <v>0.38610833333333339</v>
      </c>
    </row>
    <row r="165" spans="1:4" x14ac:dyDescent="0.35">
      <c r="A165" s="2" t="s">
        <v>680</v>
      </c>
      <c r="B165" t="str">
        <f t="shared" si="8"/>
        <v>5402</v>
      </c>
      <c r="C165" t="s">
        <v>784</v>
      </c>
      <c r="D165" s="45">
        <f t="shared" si="7"/>
        <v>0.38610833333333339</v>
      </c>
    </row>
    <row r="166" spans="1:4" x14ac:dyDescent="0.35">
      <c r="A166" s="2" t="s">
        <v>680</v>
      </c>
      <c r="B166" t="str">
        <f t="shared" si="8"/>
        <v>5205</v>
      </c>
      <c r="C166" t="s">
        <v>807</v>
      </c>
      <c r="D166" s="45">
        <f t="shared" si="7"/>
        <v>0.38610833333333339</v>
      </c>
    </row>
    <row r="167" spans="1:4" x14ac:dyDescent="0.35">
      <c r="A167" s="2" t="s">
        <v>680</v>
      </c>
      <c r="B167" t="str">
        <f t="shared" si="8"/>
        <v>1202</v>
      </c>
      <c r="C167" t="s">
        <v>785</v>
      </c>
      <c r="D167" s="45">
        <f t="shared" si="7"/>
        <v>0.38610833333333339</v>
      </c>
    </row>
    <row r="168" spans="1:4" x14ac:dyDescent="0.35">
      <c r="A168" s="2" t="s">
        <v>680</v>
      </c>
      <c r="B168" t="str">
        <f t="shared" si="8"/>
        <v>4300</v>
      </c>
      <c r="C168" t="s">
        <v>787</v>
      </c>
      <c r="D168" s="45">
        <f>+IF(A168="MAT-EMP",0.46333/(20*500),0.46333/1.2)</f>
        <v>0.38610833333333339</v>
      </c>
    </row>
    <row r="169" spans="1:4" x14ac:dyDescent="0.35">
      <c r="A169" s="2" t="s">
        <v>680</v>
      </c>
      <c r="B169" t="str">
        <f t="shared" si="8"/>
        <v>2408</v>
      </c>
      <c r="C169" t="s">
        <v>789</v>
      </c>
      <c r="D169" s="45">
        <f>+IF(A169="MAT-EMP",0.46333/(20*500),0.46333/1.2)</f>
        <v>0.38610833333333339</v>
      </c>
    </row>
    <row r="170" spans="1:4" x14ac:dyDescent="0.35">
      <c r="A170" s="2" t="s">
        <v>680</v>
      </c>
      <c r="B170" t="str">
        <f t="shared" si="8"/>
        <v>4200</v>
      </c>
      <c r="C170" t="s">
        <v>790</v>
      </c>
      <c r="D170" s="45">
        <f t="shared" si="7"/>
        <v>0.38610833333333339</v>
      </c>
    </row>
    <row r="171" spans="1:4" x14ac:dyDescent="0.35">
      <c r="A171" s="2" t="s">
        <v>680</v>
      </c>
      <c r="B171" t="str">
        <f t="shared" si="8"/>
        <v>6202-FER</v>
      </c>
      <c r="C171" t="s">
        <v>792</v>
      </c>
      <c r="D171" s="45">
        <f t="shared" si="7"/>
        <v>0.38610833333333339</v>
      </c>
    </row>
    <row r="172" spans="1:4" x14ac:dyDescent="0.35">
      <c r="A172" s="2" t="s">
        <v>680</v>
      </c>
      <c r="B172" t="str">
        <f t="shared" si="8"/>
        <v>1217</v>
      </c>
      <c r="C172" t="s">
        <v>791</v>
      </c>
      <c r="D172" s="45">
        <f t="shared" si="7"/>
        <v>0.38610833333333339</v>
      </c>
    </row>
    <row r="173" spans="1:4" x14ac:dyDescent="0.35">
      <c r="A173" s="2" t="s">
        <v>680</v>
      </c>
      <c r="B173" t="str">
        <f t="shared" si="8"/>
        <v>6100</v>
      </c>
      <c r="C173" t="s">
        <v>793</v>
      </c>
      <c r="D173" s="45">
        <f t="shared" si="7"/>
        <v>0.38610833333333339</v>
      </c>
    </row>
    <row r="174" spans="1:4" x14ac:dyDescent="0.35">
      <c r="A174" s="2" t="s">
        <v>680</v>
      </c>
      <c r="B174" t="str">
        <f t="shared" si="8"/>
        <v>6200</v>
      </c>
      <c r="C174" t="s">
        <v>794</v>
      </c>
      <c r="D174" s="45">
        <f t="shared" si="7"/>
        <v>0.38610833333333339</v>
      </c>
    </row>
    <row r="175" spans="1:4" x14ac:dyDescent="0.35">
      <c r="A175" s="2" t="s">
        <v>680</v>
      </c>
      <c r="B175" t="str">
        <f t="shared" si="8"/>
        <v>3212</v>
      </c>
      <c r="C175" t="s">
        <v>795</v>
      </c>
      <c r="D175" s="45">
        <f t="shared" si="7"/>
        <v>0.38610833333333339</v>
      </c>
    </row>
    <row r="176" spans="1:4" x14ac:dyDescent="0.35">
      <c r="A176" s="2" t="s">
        <v>680</v>
      </c>
      <c r="B176" t="str">
        <f t="shared" si="8"/>
        <v>2451</v>
      </c>
      <c r="C176" t="s">
        <v>796</v>
      </c>
      <c r="D176" s="45">
        <f t="shared" si="7"/>
        <v>0.38610833333333339</v>
      </c>
    </row>
    <row r="177" spans="1:4" x14ac:dyDescent="0.35">
      <c r="A177" s="2" t="s">
        <v>680</v>
      </c>
      <c r="B177" t="str">
        <f t="shared" si="8"/>
        <v>3500</v>
      </c>
      <c r="C177" t="s">
        <v>797</v>
      </c>
      <c r="D177" s="45">
        <f t="shared" si="7"/>
        <v>0.38610833333333339</v>
      </c>
    </row>
    <row r="178" spans="1:4" x14ac:dyDescent="0.35">
      <c r="A178" s="2" t="s">
        <v>680</v>
      </c>
      <c r="B178" t="str">
        <f t="shared" si="8"/>
        <v>3280</v>
      </c>
      <c r="C178" t="s">
        <v>971</v>
      </c>
      <c r="D178" s="45">
        <f t="shared" si="7"/>
        <v>0.38610833333333339</v>
      </c>
    </row>
    <row r="179" spans="1:4" x14ac:dyDescent="0.35">
      <c r="A179" s="2" t="s">
        <v>680</v>
      </c>
      <c r="B179" t="str">
        <f t="shared" si="8"/>
        <v>5107</v>
      </c>
      <c r="C179" t="s">
        <v>798</v>
      </c>
      <c r="D179" s="45">
        <f t="shared" si="7"/>
        <v>0.38610833333333339</v>
      </c>
    </row>
    <row r="180" spans="1:4" x14ac:dyDescent="0.35">
      <c r="A180" s="2" t="s">
        <v>680</v>
      </c>
      <c r="B180" t="str">
        <f t="shared" si="8"/>
        <v>5410</v>
      </c>
      <c r="C180" t="s">
        <v>799</v>
      </c>
      <c r="D180" s="45">
        <f t="shared" si="7"/>
        <v>0.38610833333333339</v>
      </c>
    </row>
    <row r="181" spans="1:4" x14ac:dyDescent="0.35">
      <c r="A181" s="2" t="s">
        <v>680</v>
      </c>
      <c r="B181" t="str">
        <f t="shared" si="8"/>
        <v>2435</v>
      </c>
      <c r="C181" t="s">
        <v>801</v>
      </c>
      <c r="D181" s="45">
        <f t="shared" si="7"/>
        <v>0.38610833333333339</v>
      </c>
    </row>
    <row r="182" spans="1:4" x14ac:dyDescent="0.35">
      <c r="A182" s="2" t="s">
        <v>680</v>
      </c>
      <c r="B182" t="str">
        <f t="shared" si="8"/>
        <v>5207</v>
      </c>
      <c r="C182" t="s">
        <v>803</v>
      </c>
      <c r="D182" s="45">
        <f t="shared" si="7"/>
        <v>0.38610833333333339</v>
      </c>
    </row>
    <row r="183" spans="1:4" x14ac:dyDescent="0.35">
      <c r="A183" s="2" t="s">
        <v>680</v>
      </c>
      <c r="B183" t="str">
        <f t="shared" si="8"/>
        <v>5009</v>
      </c>
      <c r="C183" t="s">
        <v>800</v>
      </c>
      <c r="D183" s="45">
        <f t="shared" si="7"/>
        <v>0.38610833333333339</v>
      </c>
    </row>
    <row r="184" spans="1:4" x14ac:dyDescent="0.35">
      <c r="A184" s="2" t="s">
        <v>680</v>
      </c>
      <c r="B184" t="str">
        <f t="shared" si="8"/>
        <v>6102-FER</v>
      </c>
      <c r="C184" t="s">
        <v>802</v>
      </c>
      <c r="D184" s="45">
        <f t="shared" si="7"/>
        <v>0.38610833333333339</v>
      </c>
    </row>
    <row r="185" spans="1:4" x14ac:dyDescent="0.35">
      <c r="A185" s="2" t="s">
        <v>680</v>
      </c>
      <c r="B185" t="str">
        <f t="shared" si="8"/>
        <v>1102</v>
      </c>
      <c r="C185" t="s">
        <v>804</v>
      </c>
      <c r="D185" s="45">
        <f t="shared" si="7"/>
        <v>0.38610833333333339</v>
      </c>
    </row>
    <row r="186" spans="1:4" x14ac:dyDescent="0.35">
      <c r="A186" s="2" t="s">
        <v>680</v>
      </c>
      <c r="B186" t="str">
        <f t="shared" si="8"/>
        <v>5409</v>
      </c>
      <c r="C186" t="s">
        <v>806</v>
      </c>
      <c r="D186" s="45">
        <f t="shared" si="7"/>
        <v>0.38610833333333339</v>
      </c>
    </row>
    <row r="187" spans="1:4" x14ac:dyDescent="0.35">
      <c r="A187" s="2" t="s">
        <v>680</v>
      </c>
      <c r="B187" t="str">
        <f t="shared" si="8"/>
        <v>6403</v>
      </c>
      <c r="C187" t="s">
        <v>809</v>
      </c>
      <c r="D187" s="45">
        <f t="shared" si="7"/>
        <v>0.38610833333333339</v>
      </c>
    </row>
    <row r="188" spans="1:4" x14ac:dyDescent="0.35">
      <c r="A188" s="2" t="s">
        <v>680</v>
      </c>
      <c r="B188" t="str">
        <f t="shared" si="8"/>
        <v>6402</v>
      </c>
      <c r="C188" t="s">
        <v>808</v>
      </c>
      <c r="D188" s="45">
        <f t="shared" si="7"/>
        <v>0.38610833333333339</v>
      </c>
    </row>
    <row r="189" spans="1:4" x14ac:dyDescent="0.35">
      <c r="A189" s="2" t="s">
        <v>680</v>
      </c>
      <c r="B189" t="str">
        <f t="shared" si="8"/>
        <v>4100</v>
      </c>
      <c r="C189" t="s">
        <v>810</v>
      </c>
      <c r="D189" s="45">
        <f t="shared" si="7"/>
        <v>0.38610833333333339</v>
      </c>
    </row>
    <row r="190" spans="1:4" x14ac:dyDescent="0.35">
      <c r="A190" s="2" t="s">
        <v>680</v>
      </c>
      <c r="B190" t="str">
        <f t="shared" si="8"/>
        <v>4101</v>
      </c>
      <c r="C190" t="s">
        <v>811</v>
      </c>
      <c r="D190" s="45">
        <f t="shared" si="7"/>
        <v>0.38610833333333339</v>
      </c>
    </row>
    <row r="191" spans="1:4" x14ac:dyDescent="0.35">
      <c r="A191" s="2" t="s">
        <v>102</v>
      </c>
      <c r="B191" t="str">
        <f t="shared" si="8"/>
        <v>930</v>
      </c>
      <c r="C191" t="s">
        <v>969</v>
      </c>
      <c r="D191" s="45">
        <f t="shared" si="7"/>
        <v>0.38610833333333339</v>
      </c>
    </row>
    <row r="192" spans="1:4" x14ac:dyDescent="0.35">
      <c r="A192" s="2" t="s">
        <v>102</v>
      </c>
      <c r="B192" t="str">
        <f t="shared" si="8"/>
        <v>499.12</v>
      </c>
      <c r="C192" t="s">
        <v>972</v>
      </c>
      <c r="D192" s="45">
        <f t="shared" si="7"/>
        <v>0.38610833333333339</v>
      </c>
    </row>
  </sheetData>
  <autoFilter ref="A1:D169" xr:uid="{2A9F87A0-7F53-40CB-9428-43D909929452}">
    <sortState xmlns:xlrd2="http://schemas.microsoft.com/office/spreadsheetml/2017/richdata2" ref="A2:D169">
      <sortCondition descending="1" ref="D1:D169"/>
    </sortState>
  </autoFilter>
  <conditionalFormatting sqref="B1">
    <cfRule type="duplicateValues" dxfId="7" priority="12"/>
  </conditionalFormatting>
  <conditionalFormatting sqref="C1">
    <cfRule type="duplicateValues" dxfId="6" priority="58"/>
  </conditionalFormatting>
  <conditionalFormatting sqref="C2:C74">
    <cfRule type="duplicateValues" dxfId="5" priority="4"/>
  </conditionalFormatting>
  <conditionalFormatting sqref="C131">
    <cfRule type="duplicateValues" dxfId="4" priority="1"/>
  </conditionalFormatting>
  <conditionalFormatting sqref="C136">
    <cfRule type="duplicateValues" dxfId="3" priority="2"/>
  </conditionalFormatting>
  <conditionalFormatting sqref="C159:C170 C75:C129 C132:C135">
    <cfRule type="duplicateValues" dxfId="2" priority="6"/>
  </conditionalFormatting>
  <conditionalFormatting sqref="C189">
    <cfRule type="duplicateValues" dxfId="1" priority="3"/>
  </conditionalFormatting>
  <conditionalFormatting sqref="C190 C171:C188">
    <cfRule type="duplicateValues" dxfId="0" priority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8124D-4C43-48A3-9A0F-F74C46BAFC8D}">
  <sheetPr codeName="Hoja11"/>
  <dimension ref="A1:L27"/>
  <sheetViews>
    <sheetView tabSelected="1" workbookViewId="0">
      <selection activeCell="I8" sqref="I8"/>
    </sheetView>
  </sheetViews>
  <sheetFormatPr baseColWidth="10" defaultRowHeight="14.5" x14ac:dyDescent="0.35"/>
  <cols>
    <col min="1" max="1" width="21.26953125" bestFit="1" customWidth="1"/>
    <col min="2" max="2" width="9.7265625" bestFit="1" customWidth="1"/>
    <col min="3" max="3" width="11.81640625" bestFit="1" customWidth="1"/>
    <col min="4" max="4" width="15.6328125" bestFit="1" customWidth="1"/>
    <col min="5" max="5" width="9.36328125" customWidth="1"/>
    <col min="6" max="6" width="10" bestFit="1" customWidth="1"/>
  </cols>
  <sheetData>
    <row r="1" spans="1:12" x14ac:dyDescent="0.35">
      <c r="A1" s="120" t="s">
        <v>444</v>
      </c>
      <c r="B1" s="120"/>
      <c r="C1" s="120"/>
      <c r="D1" s="120"/>
      <c r="E1" s="120"/>
    </row>
    <row r="2" spans="1:12" x14ac:dyDescent="0.35">
      <c r="A2" s="31" t="s">
        <v>9</v>
      </c>
      <c r="B2" s="31" t="s">
        <v>448</v>
      </c>
      <c r="C2" s="31" t="s">
        <v>465</v>
      </c>
      <c r="D2" s="38" t="s">
        <v>466</v>
      </c>
      <c r="E2" s="31" t="s">
        <v>444</v>
      </c>
    </row>
    <row r="3" spans="1:12" x14ac:dyDescent="0.35">
      <c r="A3" s="2" t="s">
        <v>423</v>
      </c>
      <c r="B3" s="39">
        <f>+D16+D20*3</f>
        <v>10.739809572222223</v>
      </c>
      <c r="C3" s="6">
        <v>5</v>
      </c>
      <c r="D3" s="41">
        <f>+C3*B3</f>
        <v>53.699047861111112</v>
      </c>
      <c r="E3" s="41">
        <f>+D3/150</f>
        <v>0.35799365240740744</v>
      </c>
    </row>
    <row r="4" spans="1:12" x14ac:dyDescent="0.35">
      <c r="A4" s="2" t="s">
        <v>422</v>
      </c>
      <c r="B4" s="39">
        <f>+D21+D22</f>
        <v>5.3472427777777778</v>
      </c>
      <c r="C4" s="6">
        <v>5</v>
      </c>
      <c r="D4" s="41">
        <f>+C4*B4</f>
        <v>26.736213888888891</v>
      </c>
      <c r="E4" s="41">
        <f>+D4/300</f>
        <v>8.9120712962962964E-2</v>
      </c>
    </row>
    <row r="5" spans="1:12" x14ac:dyDescent="0.35">
      <c r="B5" s="39"/>
    </row>
    <row r="6" spans="1:12" x14ac:dyDescent="0.35">
      <c r="A6" s="120" t="s">
        <v>445</v>
      </c>
      <c r="B6" s="120"/>
      <c r="C6" s="120"/>
      <c r="D6" s="120"/>
      <c r="E6" s="120"/>
      <c r="F6" s="120"/>
      <c r="G6" s="120"/>
    </row>
    <row r="7" spans="1:12" ht="29" x14ac:dyDescent="0.35">
      <c r="A7" s="31" t="s">
        <v>9</v>
      </c>
      <c r="B7" s="31" t="s">
        <v>446</v>
      </c>
      <c r="C7" s="31" t="s">
        <v>455</v>
      </c>
      <c r="D7" s="31" t="s">
        <v>464</v>
      </c>
      <c r="E7" s="31" t="s">
        <v>26</v>
      </c>
      <c r="F7" s="31" t="s">
        <v>447</v>
      </c>
      <c r="G7" s="31" t="s">
        <v>445</v>
      </c>
    </row>
    <row r="8" spans="1:12" x14ac:dyDescent="0.35">
      <c r="A8" s="2" t="s">
        <v>103</v>
      </c>
      <c r="B8" s="39">
        <f>+$D$25*C8</f>
        <v>6.9792824074074078</v>
      </c>
      <c r="C8">
        <f>+D8*E8</f>
        <v>0.83333333333333337</v>
      </c>
      <c r="D8" s="7">
        <f>5/12</f>
        <v>0.41666666666666669</v>
      </c>
      <c r="E8">
        <v>2</v>
      </c>
      <c r="F8" s="7">
        <f>+$D$18*5/60</f>
        <v>0.42088657407407398</v>
      </c>
      <c r="G8" s="41">
        <f>+F8+B8</f>
        <v>7.4001689814814817</v>
      </c>
    </row>
    <row r="9" spans="1:12" x14ac:dyDescent="0.35">
      <c r="A9" s="2" t="s">
        <v>104</v>
      </c>
      <c r="B9" s="39">
        <f>+$D$25*C9</f>
        <v>6.9792824074074078</v>
      </c>
      <c r="C9">
        <f t="shared" ref="C9:C12" si="0">+D9*E9</f>
        <v>0.83333333333333337</v>
      </c>
      <c r="D9" s="7">
        <f t="shared" ref="D9:D13" si="1">5/12</f>
        <v>0.41666666666666669</v>
      </c>
      <c r="E9">
        <v>2</v>
      </c>
      <c r="F9" s="7">
        <f>+$D$18*5/60</f>
        <v>0.42088657407407398</v>
      </c>
      <c r="G9" s="41">
        <f t="shared" ref="G9:G13" si="2">+F9+B9</f>
        <v>7.4001689814814817</v>
      </c>
    </row>
    <row r="10" spans="1:12" x14ac:dyDescent="0.35">
      <c r="A10" s="2" t="s">
        <v>100</v>
      </c>
      <c r="B10" s="39">
        <f>+$D$24*C10</f>
        <v>6.9792824074074078</v>
      </c>
      <c r="C10">
        <f>+D10*E10</f>
        <v>0.83333333333333337</v>
      </c>
      <c r="D10" s="7">
        <f t="shared" si="1"/>
        <v>0.41666666666666669</v>
      </c>
      <c r="E10">
        <v>2</v>
      </c>
      <c r="F10" s="7">
        <f t="shared" ref="F10:F13" si="3">+$D$18*5/60</f>
        <v>0.42088657407407398</v>
      </c>
      <c r="G10" s="41">
        <f t="shared" si="2"/>
        <v>7.4001689814814817</v>
      </c>
    </row>
    <row r="11" spans="1:12" x14ac:dyDescent="0.35">
      <c r="A11" s="2" t="s">
        <v>102</v>
      </c>
      <c r="B11" s="39">
        <f>+$D$24*C11</f>
        <v>6.9792824074074078</v>
      </c>
      <c r="C11">
        <f t="shared" si="0"/>
        <v>0.83333333333333337</v>
      </c>
      <c r="D11" s="7">
        <f t="shared" si="1"/>
        <v>0.41666666666666669</v>
      </c>
      <c r="E11">
        <v>2</v>
      </c>
      <c r="F11" s="7">
        <f t="shared" si="3"/>
        <v>0.42088657407407398</v>
      </c>
      <c r="G11" s="41">
        <f t="shared" si="2"/>
        <v>7.4001689814814817</v>
      </c>
    </row>
    <row r="12" spans="1:12" x14ac:dyDescent="0.35">
      <c r="A12" s="2" t="s">
        <v>101</v>
      </c>
      <c r="B12" s="39">
        <f>+$D$24*C12</f>
        <v>6.9792824074074078</v>
      </c>
      <c r="C12">
        <f t="shared" si="0"/>
        <v>0.83333333333333337</v>
      </c>
      <c r="D12" s="7">
        <f t="shared" si="1"/>
        <v>0.41666666666666669</v>
      </c>
      <c r="E12">
        <v>2</v>
      </c>
      <c r="F12" s="7">
        <f t="shared" si="3"/>
        <v>0.42088657407407398</v>
      </c>
      <c r="G12" s="41">
        <f t="shared" si="2"/>
        <v>7.4001689814814817</v>
      </c>
    </row>
    <row r="13" spans="1:12" x14ac:dyDescent="0.35">
      <c r="A13" s="2" t="s">
        <v>680</v>
      </c>
      <c r="B13" s="39">
        <f>+$D$24*C13</f>
        <v>6.9792824074074078</v>
      </c>
      <c r="C13">
        <f t="shared" ref="C13" si="4">+D13*E13</f>
        <v>0.83333333333333337</v>
      </c>
      <c r="D13" s="7">
        <f t="shared" si="1"/>
        <v>0.41666666666666669</v>
      </c>
      <c r="E13">
        <v>2</v>
      </c>
      <c r="F13" s="7">
        <f t="shared" si="3"/>
        <v>0.42088657407407398</v>
      </c>
      <c r="G13" s="41">
        <f t="shared" si="2"/>
        <v>7.4001689814814817</v>
      </c>
    </row>
    <row r="14" spans="1:12" x14ac:dyDescent="0.35">
      <c r="A14" s="119" t="s">
        <v>430</v>
      </c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</row>
    <row r="15" spans="1:12" x14ac:dyDescent="0.35">
      <c r="B15" t="s">
        <v>424</v>
      </c>
      <c r="C15" t="s">
        <v>425</v>
      </c>
      <c r="D15" t="s">
        <v>426</v>
      </c>
      <c r="F15" t="s">
        <v>435</v>
      </c>
      <c r="G15" t="s">
        <v>436</v>
      </c>
      <c r="H15" t="s">
        <v>437</v>
      </c>
      <c r="I15" t="s">
        <v>438</v>
      </c>
      <c r="J15" t="s">
        <v>439</v>
      </c>
      <c r="L15" s="2" t="s">
        <v>440</v>
      </c>
    </row>
    <row r="16" spans="1:12" x14ac:dyDescent="0.35">
      <c r="A16" t="s">
        <v>421</v>
      </c>
      <c r="B16" s="39">
        <v>482</v>
      </c>
      <c r="C16" s="41">
        <f>B16/240</f>
        <v>2.0083333333333333</v>
      </c>
      <c r="D16" s="41">
        <f>L16/240</f>
        <v>2.7345705555555555</v>
      </c>
      <c r="F16" s="41">
        <f>B16*12.15%</f>
        <v>58.562999999999995</v>
      </c>
      <c r="G16" s="41">
        <f>B16/12</f>
        <v>40.166666666666664</v>
      </c>
      <c r="H16">
        <f>460/30</f>
        <v>15.333333333333334</v>
      </c>
      <c r="I16" s="41">
        <f>B16/24</f>
        <v>20.083333333333332</v>
      </c>
      <c r="J16" s="41">
        <f>B16*8.33%</f>
        <v>40.150599999999997</v>
      </c>
      <c r="K16" s="43">
        <f>SUM(F16:J16)</f>
        <v>174.29693333333333</v>
      </c>
      <c r="L16" s="41">
        <f>K16+B16</f>
        <v>656.2969333333333</v>
      </c>
    </row>
    <row r="17" spans="1:12" x14ac:dyDescent="0.35">
      <c r="A17" t="s">
        <v>427</v>
      </c>
      <c r="B17" s="39">
        <v>471</v>
      </c>
      <c r="C17" s="41">
        <f t="shared" ref="C17" si="5">B17/240</f>
        <v>1.9624999999999999</v>
      </c>
      <c r="D17" s="41">
        <f t="shared" ref="D17:D25" si="6">L17/240</f>
        <v>2.6736213888888889</v>
      </c>
      <c r="F17" s="41">
        <f t="shared" ref="F17:F18" si="7">B17*12.15%</f>
        <v>57.226500000000001</v>
      </c>
      <c r="G17" s="41">
        <f t="shared" ref="G17:G25" si="8">B17/12</f>
        <v>39.25</v>
      </c>
      <c r="H17">
        <f t="shared" ref="H17:H25" si="9">460/30</f>
        <v>15.333333333333334</v>
      </c>
      <c r="I17" s="41">
        <f t="shared" ref="I17:I25" si="10">B17/24</f>
        <v>19.625</v>
      </c>
      <c r="J17" s="41">
        <f t="shared" ref="J17:J25" si="11">B17*8.33%</f>
        <v>39.234299999999998</v>
      </c>
      <c r="K17" s="43">
        <f t="shared" ref="K17:K25" si="12">SUM(F17:J17)</f>
        <v>170.66913333333332</v>
      </c>
      <c r="L17" s="41">
        <f t="shared" ref="L17:L25" si="13">K17+B17</f>
        <v>641.66913333333332</v>
      </c>
    </row>
    <row r="18" spans="1:12" x14ac:dyDescent="0.35">
      <c r="A18" t="s">
        <v>428</v>
      </c>
      <c r="B18" s="39">
        <v>900</v>
      </c>
      <c r="C18" s="41">
        <f>B18/240</f>
        <v>3.75</v>
      </c>
      <c r="D18" s="41">
        <f t="shared" si="6"/>
        <v>5.050638888888888</v>
      </c>
      <c r="F18" s="41">
        <f t="shared" si="7"/>
        <v>109.35</v>
      </c>
      <c r="G18" s="41">
        <f t="shared" si="8"/>
        <v>75</v>
      </c>
      <c r="H18">
        <f t="shared" si="9"/>
        <v>15.333333333333334</v>
      </c>
      <c r="I18" s="41">
        <f t="shared" si="10"/>
        <v>37.5</v>
      </c>
      <c r="J18" s="41">
        <f t="shared" si="11"/>
        <v>74.97</v>
      </c>
      <c r="K18" s="43">
        <f t="shared" si="12"/>
        <v>312.15333333333331</v>
      </c>
      <c r="L18" s="41">
        <f t="shared" si="13"/>
        <v>1212.1533333333332</v>
      </c>
    </row>
    <row r="19" spans="1:12" x14ac:dyDescent="0.35">
      <c r="A19" t="s">
        <v>429</v>
      </c>
      <c r="B19" s="39">
        <v>1200</v>
      </c>
      <c r="C19" s="41">
        <f>B19/240</f>
        <v>5</v>
      </c>
      <c r="D19" s="41">
        <f t="shared" si="6"/>
        <v>6.7128888888888882</v>
      </c>
      <c r="F19" s="41">
        <f>B19*12.15%</f>
        <v>145.79999999999998</v>
      </c>
      <c r="G19" s="41">
        <f t="shared" si="8"/>
        <v>100</v>
      </c>
      <c r="H19">
        <f t="shared" si="9"/>
        <v>15.333333333333334</v>
      </c>
      <c r="I19" s="41">
        <f t="shared" si="10"/>
        <v>50</v>
      </c>
      <c r="J19" s="41">
        <f t="shared" si="11"/>
        <v>99.96</v>
      </c>
      <c r="K19" s="43">
        <f t="shared" si="12"/>
        <v>411.09333333333331</v>
      </c>
      <c r="L19" s="41">
        <f t="shared" si="13"/>
        <v>1611.0933333333332</v>
      </c>
    </row>
    <row r="20" spans="1:12" x14ac:dyDescent="0.35">
      <c r="A20" t="s">
        <v>431</v>
      </c>
      <c r="B20" s="39">
        <v>470.06</v>
      </c>
      <c r="C20" s="41">
        <f>B20/240</f>
        <v>1.9585833333333333</v>
      </c>
      <c r="D20" s="41">
        <f t="shared" si="6"/>
        <v>2.6684130055555557</v>
      </c>
      <c r="F20" s="41">
        <f>B20*12.15%</f>
        <v>57.112290000000002</v>
      </c>
      <c r="G20" s="41">
        <f t="shared" si="8"/>
        <v>39.171666666666667</v>
      </c>
      <c r="H20">
        <f t="shared" si="9"/>
        <v>15.333333333333334</v>
      </c>
      <c r="I20" s="41">
        <f t="shared" si="10"/>
        <v>19.585833333333333</v>
      </c>
      <c r="J20" s="41">
        <f t="shared" si="11"/>
        <v>39.155997999999997</v>
      </c>
      <c r="K20" s="43">
        <f t="shared" si="12"/>
        <v>170.35912133333335</v>
      </c>
      <c r="L20" s="41">
        <f t="shared" si="13"/>
        <v>640.41912133333335</v>
      </c>
    </row>
    <row r="21" spans="1:12" x14ac:dyDescent="0.35">
      <c r="A21" t="s">
        <v>432</v>
      </c>
      <c r="B21" s="39">
        <v>471</v>
      </c>
      <c r="C21" s="41">
        <f t="shared" ref="C21:C22" si="14">B21/240</f>
        <v>1.9624999999999999</v>
      </c>
      <c r="D21" s="41">
        <f t="shared" si="6"/>
        <v>2.6736213888888889</v>
      </c>
      <c r="F21" s="41">
        <f t="shared" ref="F21:F22" si="15">B21*12.15%</f>
        <v>57.226500000000001</v>
      </c>
      <c r="G21" s="41">
        <f t="shared" si="8"/>
        <v>39.25</v>
      </c>
      <c r="H21">
        <f t="shared" si="9"/>
        <v>15.333333333333334</v>
      </c>
      <c r="I21" s="41">
        <f t="shared" si="10"/>
        <v>19.625</v>
      </c>
      <c r="J21" s="41">
        <f t="shared" si="11"/>
        <v>39.234299999999998</v>
      </c>
      <c r="K21" s="43">
        <f t="shared" si="12"/>
        <v>170.66913333333332</v>
      </c>
      <c r="L21" s="41">
        <f t="shared" si="13"/>
        <v>641.66913333333332</v>
      </c>
    </row>
    <row r="22" spans="1:12" x14ac:dyDescent="0.35">
      <c r="A22" t="s">
        <v>433</v>
      </c>
      <c r="B22" s="39">
        <v>471</v>
      </c>
      <c r="C22" s="41">
        <f t="shared" si="14"/>
        <v>1.9624999999999999</v>
      </c>
      <c r="D22" s="41">
        <f t="shared" si="6"/>
        <v>2.6736213888888889</v>
      </c>
      <c r="F22" s="41">
        <f t="shared" si="15"/>
        <v>57.226500000000001</v>
      </c>
      <c r="G22" s="41">
        <f t="shared" si="8"/>
        <v>39.25</v>
      </c>
      <c r="H22">
        <f t="shared" si="9"/>
        <v>15.333333333333334</v>
      </c>
      <c r="I22" s="41">
        <f t="shared" si="10"/>
        <v>19.625</v>
      </c>
      <c r="J22" s="41">
        <f t="shared" si="11"/>
        <v>39.234299999999998</v>
      </c>
      <c r="K22" s="43">
        <f t="shared" si="12"/>
        <v>170.66913333333332</v>
      </c>
      <c r="L22" s="41">
        <f t="shared" si="13"/>
        <v>641.66913333333332</v>
      </c>
    </row>
    <row r="23" spans="1:12" x14ac:dyDescent="0.35">
      <c r="A23" t="s">
        <v>441</v>
      </c>
      <c r="B23" s="39">
        <v>1700</v>
      </c>
      <c r="C23" s="41">
        <f>B23/240</f>
        <v>7.083333333333333</v>
      </c>
      <c r="D23" s="41">
        <f t="shared" si="6"/>
        <v>9.483305555555555</v>
      </c>
      <c r="F23" s="41">
        <f>B23*12.15%</f>
        <v>206.54999999999998</v>
      </c>
      <c r="G23" s="41">
        <f t="shared" si="8"/>
        <v>141.66666666666666</v>
      </c>
      <c r="H23">
        <f t="shared" si="9"/>
        <v>15.333333333333334</v>
      </c>
      <c r="I23" s="41">
        <f t="shared" si="10"/>
        <v>70.833333333333329</v>
      </c>
      <c r="J23" s="41">
        <f t="shared" si="11"/>
        <v>141.60999999999999</v>
      </c>
      <c r="K23" s="43">
        <f t="shared" si="12"/>
        <v>575.99333333333323</v>
      </c>
      <c r="L23" s="41">
        <f t="shared" si="13"/>
        <v>2275.9933333333333</v>
      </c>
    </row>
    <row r="24" spans="1:12" x14ac:dyDescent="0.35">
      <c r="A24" t="s">
        <v>442</v>
      </c>
      <c r="B24" s="39">
        <v>1500</v>
      </c>
      <c r="C24" s="41">
        <f>B24/240</f>
        <v>6.25</v>
      </c>
      <c r="D24" s="41">
        <f t="shared" si="6"/>
        <v>8.3751388888888894</v>
      </c>
      <c r="F24" s="41">
        <f>B24*12.15%</f>
        <v>182.25</v>
      </c>
      <c r="G24" s="41">
        <f t="shared" si="8"/>
        <v>125</v>
      </c>
      <c r="H24">
        <f t="shared" si="9"/>
        <v>15.333333333333334</v>
      </c>
      <c r="I24" s="41">
        <f t="shared" si="10"/>
        <v>62.5</v>
      </c>
      <c r="J24" s="41">
        <f t="shared" si="11"/>
        <v>124.95</v>
      </c>
      <c r="K24" s="43">
        <f t="shared" si="12"/>
        <v>510.0333333333333</v>
      </c>
      <c r="L24" s="41">
        <f t="shared" si="13"/>
        <v>2010.0333333333333</v>
      </c>
    </row>
    <row r="25" spans="1:12" x14ac:dyDescent="0.35">
      <c r="A25" t="s">
        <v>443</v>
      </c>
      <c r="B25" s="39">
        <v>1500</v>
      </c>
      <c r="C25" s="41">
        <f>B25/240</f>
        <v>6.25</v>
      </c>
      <c r="D25" s="41">
        <f t="shared" si="6"/>
        <v>8.3751388888888894</v>
      </c>
      <c r="F25" s="41">
        <f>B25*12.15%</f>
        <v>182.25</v>
      </c>
      <c r="G25" s="41">
        <f t="shared" si="8"/>
        <v>125</v>
      </c>
      <c r="H25">
        <f t="shared" si="9"/>
        <v>15.333333333333334</v>
      </c>
      <c r="I25" s="41">
        <f t="shared" si="10"/>
        <v>62.5</v>
      </c>
      <c r="J25" s="41">
        <f t="shared" si="11"/>
        <v>124.95</v>
      </c>
      <c r="K25" s="43">
        <f t="shared" si="12"/>
        <v>510.0333333333333</v>
      </c>
      <c r="L25" s="41">
        <f t="shared" si="13"/>
        <v>2010.0333333333333</v>
      </c>
    </row>
    <row r="27" spans="1:12" x14ac:dyDescent="0.35">
      <c r="C27" s="41">
        <f>+C20*6</f>
        <v>11.7515</v>
      </c>
    </row>
  </sheetData>
  <mergeCells count="3">
    <mergeCell ref="A14:L14"/>
    <mergeCell ref="A6:G6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lt</vt:lpstr>
      <vt:lpstr>FORMULACIÓN</vt:lpstr>
      <vt:lpstr>POLÍTICA</vt:lpstr>
      <vt:lpstr>inventario</vt:lpstr>
      <vt:lpstr>costo_mp</vt:lpstr>
      <vt:lpstr>h</vt:lpstr>
      <vt:lpstr>k</vt:lpstr>
      <vt:lpstr>costo_mp!Área_de_impresión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Dreher</dc:creator>
  <cp:lastModifiedBy>Maybelline Frere</cp:lastModifiedBy>
  <dcterms:created xsi:type="dcterms:W3CDTF">2023-09-06T18:51:09Z</dcterms:created>
  <dcterms:modified xsi:type="dcterms:W3CDTF">2024-12-08T01:47:00Z</dcterms:modified>
</cp:coreProperties>
</file>