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ink/ink1.xml" ContentType="application/inkml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te\OneDrive\Documentos\Documentos\Proyectos digitales\Heating-Systems-Peru\Calculos\"/>
    </mc:Choice>
  </mc:AlternateContent>
  <xr:revisionPtr revIDLastSave="0" documentId="13_ncr:1_{7886C32B-FBB9-49C9-9C95-692A8EBE50E1}" xr6:coauthVersionLast="47" xr6:coauthVersionMax="47" xr10:uidLastSave="{00000000-0000-0000-0000-000000000000}"/>
  <bookViews>
    <workbookView xWindow="11424" yWindow="0" windowWidth="11712" windowHeight="12336" firstSheet="1" activeTab="2" xr2:uid="{871B7CCD-0AC1-4A84-B096-2B2F47B84CAF}"/>
  </bookViews>
  <sheets>
    <sheet name="Entrada datos mensual" sheetId="10" r:id="rId1"/>
    <sheet name="Demanda Termica" sheetId="12" r:id="rId2"/>
    <sheet name="Reuniones" sheetId="13" r:id="rId3"/>
    <sheet name="Resumen" sheetId="11" state="hidden" r:id="rId4"/>
    <sheet name="Analisis comparativo" sheetId="9" r:id="rId5"/>
    <sheet name="VAN" sheetId="3" r:id="rId6"/>
    <sheet name="Temperatura ambiente media sol" sheetId="6" r:id="rId7"/>
    <sheet name="Irradiacion horizontal media" sheetId="5" r:id="rId8"/>
    <sheet name="Temperatura de agua de red" sheetId="4" r:id="rId9"/>
    <sheet name="Coeficiente de correccion K" sheetId="7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9" l="1"/>
  <c r="K10" i="3"/>
  <c r="P22" i="10"/>
  <c r="P19" i="10"/>
  <c r="F19" i="3"/>
  <c r="F18" i="3"/>
  <c r="F11" i="3"/>
  <c r="F10" i="3"/>
  <c r="E11" i="3"/>
  <c r="E12" i="3"/>
  <c r="E13" i="3"/>
  <c r="E14" i="3"/>
  <c r="E15" i="3"/>
  <c r="D10" i="3"/>
  <c r="C32" i="10"/>
  <c r="C31" i="10"/>
  <c r="C30" i="10"/>
  <c r="F14" i="9"/>
  <c r="F11" i="9"/>
  <c r="F12" i="9"/>
  <c r="F15" i="9"/>
  <c r="F16" i="9"/>
  <c r="G16" i="9" s="1"/>
  <c r="F17" i="9"/>
  <c r="G17" i="9" s="1"/>
  <c r="F18" i="9"/>
  <c r="F19" i="9"/>
  <c r="G19" i="9" s="1"/>
  <c r="F20" i="9"/>
  <c r="G20" i="9" s="1"/>
  <c r="F21" i="9"/>
  <c r="G21" i="9" s="1"/>
  <c r="F22" i="9"/>
  <c r="G22" i="9" s="1"/>
  <c r="G12" i="9"/>
  <c r="G13" i="9"/>
  <c r="G14" i="9"/>
  <c r="G15" i="9"/>
  <c r="G18" i="9"/>
  <c r="G11" i="9"/>
  <c r="B4" i="9"/>
  <c r="P20" i="10"/>
  <c r="P16" i="10"/>
  <c r="E12" i="9"/>
  <c r="E13" i="9"/>
  <c r="E14" i="9"/>
  <c r="E15" i="9"/>
  <c r="E16" i="9"/>
  <c r="E17" i="9"/>
  <c r="E18" i="9"/>
  <c r="E19" i="9"/>
  <c r="E20" i="9"/>
  <c r="E21" i="9"/>
  <c r="E22" i="9"/>
  <c r="E11" i="9"/>
  <c r="B22" i="9"/>
  <c r="B21" i="9"/>
  <c r="B12" i="9"/>
  <c r="B13" i="9"/>
  <c r="B14" i="9"/>
  <c r="B15" i="9"/>
  <c r="B16" i="9"/>
  <c r="B17" i="9"/>
  <c r="B18" i="9"/>
  <c r="B19" i="9"/>
  <c r="B20" i="9"/>
  <c r="B11" i="9"/>
  <c r="D11" i="10"/>
  <c r="G41" i="10" s="1"/>
  <c r="C16" i="10"/>
  <c r="H17" i="10" s="1"/>
  <c r="F12" i="3" l="1"/>
  <c r="K85" i="3"/>
  <c r="K59" i="3"/>
  <c r="K40" i="3"/>
  <c r="K73" i="3"/>
  <c r="K50" i="3"/>
  <c r="K42" i="3"/>
  <c r="K13" i="3"/>
  <c r="K66" i="3"/>
  <c r="K38" i="3"/>
  <c r="K98" i="3"/>
  <c r="K84" i="3"/>
  <c r="K91" i="3"/>
  <c r="K88" i="3"/>
  <c r="K57" i="3"/>
  <c r="K26" i="3"/>
  <c r="K87" i="3"/>
  <c r="K43" i="3"/>
  <c r="K99" i="3"/>
  <c r="K56" i="3"/>
  <c r="K49" i="3"/>
  <c r="K51" i="3"/>
  <c r="K90" i="3"/>
  <c r="K39" i="3"/>
  <c r="K89" i="3"/>
  <c r="K41" i="3"/>
  <c r="K37" i="3"/>
  <c r="K106" i="3"/>
  <c r="K69" i="3"/>
  <c r="K35" i="3"/>
  <c r="K72" i="3"/>
  <c r="K71" i="3"/>
  <c r="K107" i="3"/>
  <c r="K11" i="3"/>
  <c r="K101" i="3"/>
  <c r="K68" i="3"/>
  <c r="K34" i="3"/>
  <c r="K79" i="3"/>
  <c r="K70" i="3"/>
  <c r="K100" i="3"/>
  <c r="K67" i="3"/>
  <c r="K32" i="3"/>
  <c r="K86" i="3"/>
  <c r="K58" i="3"/>
  <c r="K36" i="3"/>
  <c r="K83" i="3"/>
  <c r="K55" i="3"/>
  <c r="K54" i="3"/>
  <c r="K103" i="3"/>
  <c r="K75" i="3"/>
  <c r="K53" i="3"/>
  <c r="K25" i="3"/>
  <c r="K105" i="3"/>
  <c r="K27" i="3"/>
  <c r="K104" i="3"/>
  <c r="K82" i="3"/>
  <c r="K102" i="3"/>
  <c r="K74" i="3"/>
  <c r="K52" i="3"/>
  <c r="K23" i="3"/>
  <c r="K24" i="3"/>
  <c r="K22" i="3"/>
  <c r="K21" i="3"/>
  <c r="K20" i="3"/>
  <c r="K19" i="3"/>
  <c r="K18" i="3"/>
  <c r="K17" i="3"/>
  <c r="K16" i="3"/>
  <c r="K15" i="3"/>
  <c r="K81" i="3"/>
  <c r="K33" i="3"/>
  <c r="K48" i="3"/>
  <c r="K63" i="3"/>
  <c r="K47" i="3"/>
  <c r="K31" i="3"/>
  <c r="K110" i="3"/>
  <c r="K94" i="3"/>
  <c r="K78" i="3"/>
  <c r="K62" i="3"/>
  <c r="K46" i="3"/>
  <c r="K30" i="3"/>
  <c r="K14" i="3"/>
  <c r="K97" i="3"/>
  <c r="K65" i="3"/>
  <c r="K96" i="3"/>
  <c r="K80" i="3"/>
  <c r="K64" i="3"/>
  <c r="K95" i="3"/>
  <c r="K109" i="3"/>
  <c r="K93" i="3"/>
  <c r="K77" i="3"/>
  <c r="K61" i="3"/>
  <c r="K45" i="3"/>
  <c r="K29" i="3"/>
  <c r="K108" i="3"/>
  <c r="K92" i="3"/>
  <c r="K76" i="3"/>
  <c r="K60" i="3"/>
  <c r="K44" i="3"/>
  <c r="K28" i="3"/>
  <c r="K12" i="3"/>
  <c r="C17" i="10"/>
  <c r="C18" i="10" s="1"/>
  <c r="C19" i="10" s="1"/>
  <c r="H41" i="10"/>
  <c r="I41" i="10"/>
  <c r="G51" i="10"/>
  <c r="I51" i="10" s="1"/>
  <c r="G40" i="10"/>
  <c r="H40" i="10" s="1"/>
  <c r="G50" i="10"/>
  <c r="H50" i="10" s="1"/>
  <c r="G49" i="10"/>
  <c r="H49" i="10" s="1"/>
  <c r="G48" i="10"/>
  <c r="H48" i="10" s="1"/>
  <c r="G47" i="10"/>
  <c r="I47" i="10" s="1"/>
  <c r="G46" i="10"/>
  <c r="I46" i="10" s="1"/>
  <c r="G45" i="10"/>
  <c r="H45" i="10" s="1"/>
  <c r="G44" i="10"/>
  <c r="H44" i="10" s="1"/>
  <c r="G43" i="10"/>
  <c r="H43" i="10" s="1"/>
  <c r="G42" i="10"/>
  <c r="H42" i="10" s="1"/>
  <c r="L18" i="10"/>
  <c r="L16" i="10"/>
  <c r="N44" i="10" l="1"/>
  <c r="P47" i="10"/>
  <c r="P49" i="10"/>
  <c r="P40" i="10"/>
  <c r="P42" i="10"/>
  <c r="N45" i="10"/>
  <c r="P43" i="10"/>
  <c r="P44" i="10"/>
  <c r="P45" i="10"/>
  <c r="P46" i="10"/>
  <c r="P48" i="10"/>
  <c r="P50" i="10"/>
  <c r="P51" i="10"/>
  <c r="P41" i="10"/>
  <c r="F13" i="3"/>
  <c r="F14" i="3" s="1"/>
  <c r="F15" i="3" s="1"/>
  <c r="F16" i="3"/>
  <c r="N50" i="10"/>
  <c r="N43" i="10"/>
  <c r="N49" i="10"/>
  <c r="N51" i="10"/>
  <c r="N40" i="10"/>
  <c r="N41" i="10"/>
  <c r="N46" i="10"/>
  <c r="N48" i="10"/>
  <c r="N42" i="10"/>
  <c r="N47" i="10"/>
  <c r="I45" i="10"/>
  <c r="J45" i="10" s="1"/>
  <c r="K45" i="10" s="1"/>
  <c r="I50" i="10"/>
  <c r="J50" i="10" s="1"/>
  <c r="K50" i="10" s="1"/>
  <c r="I44" i="10"/>
  <c r="J44" i="10" s="1"/>
  <c r="K44" i="10" s="1"/>
  <c r="I40" i="10"/>
  <c r="J40" i="10" s="1"/>
  <c r="K40" i="10" s="1"/>
  <c r="I48" i="10"/>
  <c r="J48" i="10" s="1"/>
  <c r="K48" i="10" s="1"/>
  <c r="H47" i="10"/>
  <c r="J47" i="10" s="1"/>
  <c r="K47" i="10" s="1"/>
  <c r="H46" i="10"/>
  <c r="J46" i="10" s="1"/>
  <c r="K46" i="10" s="1"/>
  <c r="I49" i="10"/>
  <c r="J49" i="10" s="1"/>
  <c r="K49" i="10" s="1"/>
  <c r="H51" i="10"/>
  <c r="J51" i="10" s="1"/>
  <c r="K51" i="10" s="1"/>
  <c r="I43" i="10"/>
  <c r="J43" i="10" s="1"/>
  <c r="K43" i="10" s="1"/>
  <c r="I42" i="10"/>
  <c r="J42" i="10" s="1"/>
  <c r="K42" i="10" s="1"/>
  <c r="J41" i="10"/>
  <c r="K41" i="10" s="1"/>
  <c r="O45" i="10" l="1"/>
  <c r="Q45" i="10"/>
  <c r="O44" i="10"/>
  <c r="Q44" i="10"/>
  <c r="O47" i="10"/>
  <c r="Q47" i="10"/>
  <c r="O41" i="10"/>
  <c r="Q41" i="10"/>
  <c r="O43" i="10"/>
  <c r="Q43" i="10"/>
  <c r="O51" i="10"/>
  <c r="Q51" i="10"/>
  <c r="O42" i="10"/>
  <c r="Q42" i="10"/>
  <c r="O50" i="10"/>
  <c r="Q50" i="10"/>
  <c r="O48" i="10"/>
  <c r="Q48" i="10"/>
  <c r="O46" i="10"/>
  <c r="Q46" i="10"/>
  <c r="O40" i="10"/>
  <c r="Q40" i="10"/>
  <c r="O49" i="10"/>
  <c r="Q49" i="10"/>
  <c r="L44" i="10"/>
  <c r="M44" i="10"/>
  <c r="L46" i="10"/>
  <c r="M46" i="10"/>
  <c r="L40" i="10"/>
  <c r="M40" i="10"/>
  <c r="L51" i="10"/>
  <c r="M51" i="10"/>
  <c r="L50" i="10"/>
  <c r="M50" i="10"/>
  <c r="L49" i="10"/>
  <c r="M49" i="10"/>
  <c r="L48" i="10"/>
  <c r="M48" i="10"/>
  <c r="L47" i="10"/>
  <c r="M47" i="10"/>
  <c r="L43" i="10"/>
  <c r="M43" i="10"/>
  <c r="L45" i="10"/>
  <c r="M45" i="10"/>
  <c r="L42" i="10"/>
  <c r="M42" i="10"/>
  <c r="L41" i="10"/>
  <c r="M41" i="10"/>
  <c r="K52" i="10"/>
  <c r="G52" i="10"/>
  <c r="O52" i="10" l="1"/>
  <c r="M52" i="10"/>
  <c r="Q52" i="10"/>
  <c r="N52" i="10"/>
  <c r="L52" i="10"/>
  <c r="J52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tc={6409D16C-0268-4F2B-B07C-4E384E04AB54}</author>
    <author>tc={3D8196C1-F661-444A-A70D-C0CE5C619020}</author>
    <author>tc={F0EC5397-B68E-4740-BA83-D59098DE5B37}</author>
    <author>tc={1B56EC91-B3C6-4CBC-900A-0C066FE90517}</author>
    <author>tc={B0588406-EE8A-4F09-A8C9-736B243C991B}</author>
    <author>tc={F32BFCE7-C0BD-40BA-8F16-29342EAB9D3A}</author>
    <author>tc={B287F046-7D02-4F39-8C76-470255A8A209}</author>
    <author>tc={6814D13F-356E-42A5-B5A0-5C6879B66DE7}</author>
    <author>tc={510C51D5-5BB7-4361-A3A2-F319EEF34EA5}</author>
    <author>tc={242401AB-4F96-4597-856B-880B62D700A7}</author>
    <author>tc={387B9694-A301-4C67-9B6C-98D44CE79462}</author>
  </authors>
  <commentList>
    <comment ref="L16" authorId="0" shapeId="0" xr:uid="{6409D16C-0268-4F2B-B07C-4E384E04AB5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Predimensionamiento del volumen de acumulación, que suele ser 75 veces el área de los captadores</t>
      </text>
    </comment>
    <comment ref="P16" authorId="1" shapeId="0" xr:uid="{3D8196C1-F661-444A-A70D-C0CE5C61902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Factor de eficiencia óptica del captador, ordenada en origen de la curva característica del captador. Dato proporcionado por el fabricante</t>
      </text>
    </comment>
    <comment ref="P17" authorId="2" shapeId="0" xr:uid="{F0EC5397-B68E-4740-BA83-D59098DE5B3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Modificador del ángulo de incidencia. En general se puede tomar como constante. 0.94 para superficie transparente doble. 0.96 para superficie transparente sencilla. 1.2 para tubos de vacío con absorbedor cilíndricos</t>
      </text>
    </comment>
    <comment ref="L18" authorId="3" shapeId="0" xr:uid="{1B56EC91-B3C6-4CBC-900A-0C066FE9051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Relación entre el volumen de acumulación de ACS en litros y la superficie de los captadores en m2. Según CTE debe cumplirse que 50&lt;V/Sc&lt;180</t>
      </text>
    </comment>
    <comment ref="P18" authorId="4" shapeId="0" xr:uid="{B0588406-EE8A-4F09-A8C9-736B243C991B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Factor de corrección del conjunto captador intercambiador. Valor usual 0.95
</t>
      </text>
    </comment>
    <comment ref="B38" authorId="5" shapeId="0" xr:uid="{F32BFCE7-C0BD-40BA-8F16-29342EAB9D3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Números de días por mes</t>
      </text>
    </comment>
    <comment ref="D38" authorId="6" shapeId="0" xr:uid="{B287F046-7D02-4F39-8C76-470255A8A20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Radiacion solar diaria promedio</t>
      </text>
    </comment>
    <comment ref="E38" authorId="7" shapeId="0" xr:uid="{6814D13F-356E-42A5-B5A0-5C6879B66DE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Temperatura de ambiente</t>
      </text>
    </comment>
    <comment ref="C39" authorId="8" shapeId="0" xr:uid="{510C51D5-5BB7-4361-A3A2-F319EEF34EA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Temperatura de agua de red</t>
      </text>
    </comment>
    <comment ref="D39" authorId="9" shapeId="0" xr:uid="{242401AB-4F96-4597-856B-880B62D700A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Radiacion solar diaria promedio</t>
      </text>
    </comment>
    <comment ref="E39" authorId="10" shapeId="0" xr:uid="{387B9694-A301-4C67-9B6C-98D44CE7946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Temperatura de ambiente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tc={4E7D3F8B-492A-4753-807D-4D7A4CD02DE1}</author>
    <author>tc={AE04F5D2-8B13-40EA-A896-6914D3B4CFDF}</author>
    <author>tc={BA2FB039-60A1-4767-9003-FA4045FAE4FA}</author>
  </authors>
  <commentList>
    <comment ref="L26" authorId="0" shapeId="0" xr:uid="{4E7D3F8B-492A-4753-807D-4D7A4CD02DE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Factor de eficiencia óptica del captador, ordenada en origen de la curva característica del captador. Dato proporcionado por el fabricante</t>
      </text>
    </comment>
    <comment ref="L27" authorId="1" shapeId="0" xr:uid="{AE04F5D2-8B13-40EA-A896-6914D3B4CFD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Modificador del ángulo de incidencia. En general se puede tomar como constante. 0.94 para superficie transparente doble. 0.96 para superficie transparente sencilla. 1.2 para tubos de vacío con absorbedor cilíndricos</t>
      </text>
    </comment>
    <comment ref="L28" authorId="2" shapeId="0" xr:uid="{BA2FB039-60A1-4767-9003-FA4045FAE4FA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Factor de corrección del conjunto captador intercambiador. Valor usual 0.95
</t>
      </text>
    </comment>
  </commentList>
</comments>
</file>

<file path=xl/sharedStrings.xml><?xml version="1.0" encoding="utf-8"?>
<sst xmlns="http://schemas.openxmlformats.org/spreadsheetml/2006/main" count="221" uniqueCount="173">
  <si>
    <t>MES</t>
  </si>
  <si>
    <t>tred[°C]</t>
  </si>
  <si>
    <t>H [MJ/m2]</t>
  </si>
  <si>
    <t>ta [°C]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</si>
  <si>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</si>
  <si>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</si>
  <si>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</si>
  <si>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</si>
  <si>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</si>
  <si>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</si>
  <si>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</si>
  <si>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</si>
  <si>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</si>
  <si>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</si>
  <si>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</si>
  <si>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</si>
  <si>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ACS</t>
  </si>
  <si>
    <t>Mes</t>
  </si>
  <si>
    <t>TOTAL</t>
  </si>
  <si>
    <t>N° Colectores</t>
  </si>
  <si>
    <t>Área</t>
  </si>
  <si>
    <t>Fracción Solar (%)</t>
  </si>
  <si>
    <t>Efecto débil irradiación primeras y últimas horas del día</t>
  </si>
  <si>
    <t>Atmósfera limpia o polucionada</t>
  </si>
  <si>
    <t>Influencia orientación</t>
  </si>
  <si>
    <t>Influencia suciedad</t>
  </si>
  <si>
    <t>Provincia</t>
  </si>
  <si>
    <t>Latitud de cálculo</t>
  </si>
  <si>
    <t>t_ac</t>
  </si>
  <si>
    <t>Acimut captador</t>
  </si>
  <si>
    <t>Inclinación captador</t>
  </si>
  <si>
    <t>Consumo/día a 60 °C</t>
  </si>
  <si>
    <t>°C</t>
  </si>
  <si>
    <t>Zona climática</t>
  </si>
  <si>
    <t>fs Cobertura solar mínim</t>
  </si>
  <si>
    <t>%</t>
  </si>
  <si>
    <t>Factor óptico</t>
  </si>
  <si>
    <t>Factor pérdidas</t>
  </si>
  <si>
    <t>Superficie Panel</t>
  </si>
  <si>
    <t>m2</t>
  </si>
  <si>
    <t>W/m2.K</t>
  </si>
  <si>
    <t>Predimensionado campo de captadores</t>
  </si>
  <si>
    <t>Area captador</t>
  </si>
  <si>
    <t>Area predimencionada</t>
  </si>
  <si>
    <t>N° de captadores predimensionados</t>
  </si>
  <si>
    <t>Área redondeada</t>
  </si>
  <si>
    <t>Datos del sistema de captación</t>
  </si>
  <si>
    <t>N° de captadores proyectados</t>
  </si>
  <si>
    <t>sc = área captadores proyectada</t>
  </si>
  <si>
    <t>(*) pérdidas de acumulación en apoyo</t>
  </si>
  <si>
    <t>(*) pérdidas de distribución/ circulación</t>
  </si>
  <si>
    <t>Sistema de acumulación</t>
  </si>
  <si>
    <t>Volumen predimensionado</t>
  </si>
  <si>
    <t>Volumen proyectado</t>
  </si>
  <si>
    <t>°</t>
  </si>
  <si>
    <t>l/dia</t>
  </si>
  <si>
    <t>no</t>
  </si>
  <si>
    <t>V/S_c</t>
  </si>
  <si>
    <t>Yauli</t>
  </si>
  <si>
    <t>KW/m2.K</t>
  </si>
  <si>
    <t>C_mes a 60°C</t>
  </si>
  <si>
    <t>litros</t>
  </si>
  <si>
    <t>Q_ACS-Climat</t>
  </si>
  <si>
    <t>kWh</t>
  </si>
  <si>
    <t>Q_perd</t>
  </si>
  <si>
    <t>Q_a-total</t>
  </si>
  <si>
    <t>H_dia</t>
  </si>
  <si>
    <t>MJ/m2.dia</t>
  </si>
  <si>
    <t>EI</t>
  </si>
  <si>
    <t>E_a</t>
  </si>
  <si>
    <t>f</t>
  </si>
  <si>
    <t>Q_u</t>
  </si>
  <si>
    <t>Rendi</t>
  </si>
  <si>
    <t>Total anual</t>
  </si>
  <si>
    <t>Media anual</t>
  </si>
  <si>
    <t>Área captador</t>
  </si>
  <si>
    <t>Área predimensionada</t>
  </si>
  <si>
    <t>N° captadores proyectados</t>
  </si>
  <si>
    <t>sc área captadores proyectados</t>
  </si>
  <si>
    <t>V/Sc</t>
  </si>
  <si>
    <t>Cumplimiento DB HE-4. COBERTURA SOLAR, FS &gt; 60%</t>
  </si>
  <si>
    <t>Cumplimiento DB HE-4: RENDIMIENTO. IST Medio Anual &gt; 20%; (PCT &gt; 30%)</t>
  </si>
  <si>
    <t>SI</t>
  </si>
  <si>
    <t>Número de días por mes</t>
  </si>
  <si>
    <t>[dias]</t>
  </si>
  <si>
    <t>Temperatura de agua de red</t>
  </si>
  <si>
    <t xml:space="preserve"> Q_a [MJ]</t>
  </si>
  <si>
    <t>Relación energía absorbida por la placa del captador y la carga calorífica total de calentamiento</t>
  </si>
  <si>
    <t>Relación entre las pérdidas de energía en el captador</t>
  </si>
  <si>
    <t>Radiación media diaria por unidad de superficie</t>
  </si>
  <si>
    <t>[%]</t>
  </si>
  <si>
    <t>Q_u [MJ]</t>
  </si>
  <si>
    <t>Eficiencia óptica del colector</t>
  </si>
  <si>
    <t>X</t>
  </si>
  <si>
    <t>Y</t>
  </si>
  <si>
    <t>Temperatura ambiental promedio</t>
  </si>
  <si>
    <t>[hrs]</t>
  </si>
  <si>
    <t>f [%]</t>
  </si>
  <si>
    <t>f value</t>
  </si>
  <si>
    <t>Aporte solar</t>
  </si>
  <si>
    <t>Rendimiento</t>
  </si>
  <si>
    <t>Rendimiento (%)</t>
  </si>
  <si>
    <t xml:space="preserve">Backup cost </t>
  </si>
  <si>
    <t>(S/.)</t>
  </si>
  <si>
    <t>Back up cost (S/.)</t>
  </si>
  <si>
    <t>Coeficiente global de pérdidas</t>
  </si>
  <si>
    <t>Modificador ángulo incidencia</t>
  </si>
  <si>
    <t>Factor de corrección del conjunto intercambiador</t>
  </si>
  <si>
    <t>Horas de sol</t>
  </si>
  <si>
    <t>Ahorro (S/.)</t>
  </si>
  <si>
    <t>Demanda de energía</t>
  </si>
  <si>
    <t>tasa de interés i</t>
  </si>
  <si>
    <t>inflación j</t>
  </si>
  <si>
    <t>tasa descuento d</t>
  </si>
  <si>
    <t>Costo por unidad de área (S/. m2)</t>
  </si>
  <si>
    <t>años funcionamiento w</t>
  </si>
  <si>
    <t>Costo mantenimiento OM</t>
  </si>
  <si>
    <t>Costo anualizado (S/)</t>
  </si>
  <si>
    <t>Análisis económico</t>
  </si>
  <si>
    <t>Costo electricidad</t>
  </si>
  <si>
    <t>S/. /kWh</t>
  </si>
  <si>
    <t>Costo de colectores solares instalados</t>
  </si>
  <si>
    <t>S/. /m2</t>
  </si>
  <si>
    <t>Costos adicionales (intercambiador de calor, bombas, piping)</t>
  </si>
  <si>
    <t>S/.</t>
  </si>
  <si>
    <t xml:space="preserve">Costo almacenamiento agua </t>
  </si>
  <si>
    <t>s/. /kg</t>
  </si>
  <si>
    <t>Fracción anual de inversión</t>
  </si>
  <si>
    <t>Impacto ambiental</t>
  </si>
  <si>
    <t>CO2 eq/ kWh</t>
  </si>
  <si>
    <t>Producción de CO2</t>
  </si>
  <si>
    <t>[kg]</t>
  </si>
  <si>
    <t>Produccion CO2 (kg)</t>
  </si>
  <si>
    <t>Ahorro (SOL)</t>
  </si>
  <si>
    <t>Energy per dollar (kJ/ SOL)</t>
  </si>
  <si>
    <t>Años</t>
  </si>
  <si>
    <t>Flujo beneficio (+)</t>
  </si>
  <si>
    <t>Flujo beneficio (-)</t>
  </si>
  <si>
    <t>Flujo beneficio neto S/.</t>
  </si>
  <si>
    <t>Inversión</t>
  </si>
  <si>
    <t>Flujo caja positivo</t>
  </si>
  <si>
    <t>VAN</t>
  </si>
  <si>
    <t>VAN caso 1</t>
  </si>
  <si>
    <t>Tasa de descuentos (TIR)</t>
  </si>
  <si>
    <t>Datos</t>
  </si>
  <si>
    <t>Valores</t>
  </si>
  <si>
    <t>Número de periodos</t>
  </si>
  <si>
    <t>Tipo de periodo</t>
  </si>
  <si>
    <t>Tasa de descuento (i)</t>
  </si>
  <si>
    <t>anual</t>
  </si>
  <si>
    <t>(1+i)^n</t>
  </si>
  <si>
    <t>FNE/(1+i)^n</t>
  </si>
  <si>
    <t>TIR</t>
  </si>
  <si>
    <t>Calefacción</t>
  </si>
  <si>
    <t>Enfriamiento</t>
  </si>
  <si>
    <t>Potencia (kW)</t>
  </si>
  <si>
    <t>Energía anual (kWh)</t>
  </si>
  <si>
    <t>Ventanas grandes + buen aislamiento + NS</t>
  </si>
  <si>
    <t>Ventanas pequeñas + buen aislamiento + NS</t>
  </si>
  <si>
    <t>Ventanas pequeñas + mal aislamiento + NS</t>
  </si>
  <si>
    <t>Ventanas pequeñas + buen aislamiento + EO</t>
  </si>
  <si>
    <t>Calefacción + ACS</t>
  </si>
  <si>
    <t>1. Crear caso 5 y 6 en base al caso 2 y 3 con cortinas los dos</t>
  </si>
  <si>
    <t>2. Revisar la radiacion, temperatura interna, temperatura externa, demanda térmica positiva, negativa</t>
  </si>
  <si>
    <t>3. Fórmulas de la potencia de diseño de calefacción y enfriamiento</t>
  </si>
  <si>
    <t>4. Detalle del cálculo de la energía anual</t>
  </si>
  <si>
    <t>5. Análisis de TIR y VAN</t>
  </si>
  <si>
    <t>sin ventanas + buen aislamiento + NS</t>
  </si>
  <si>
    <t>sin ventanas + mal aislamiento + NS</t>
  </si>
  <si>
    <t>1. Revisar la data</t>
  </si>
  <si>
    <t>2. ¿Hay algún caso en la que se pueda optimizar más que el caso 2, variando aislamiento y ventanas?</t>
  </si>
  <si>
    <t xml:space="preserve">Encontrar la relación entre el aislamiento, orientación, </t>
  </si>
  <si>
    <t>Menor demanda energética para calefacción y eliminar la demana refrigeración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</si>
</sst>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13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2" borderId="8" xfId="0" applyFill="1" applyBorder="1"/>
    <xf numFmtId="0" fontId="0" fillId="2" borderId="13" xfId="0" applyFill="1" applyBorder="1"/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9" xfId="0" applyFill="1" applyBorder="1"/>
    <xf numFmtId="0" fontId="0" fillId="2" borderId="14" xfId="0" applyFill="1" applyBorder="1"/>
    <xf numFmtId="0" fontId="0" fillId="2" borderId="11" xfId="0" applyFill="1" applyBorder="1"/>
    <xf numFmtId="2" fontId="0" fillId="0" borderId="1" xfId="0" applyNumberFormat="1" applyBorder="1"/>
    <xf numFmtId="1" fontId="0" fillId="0" borderId="1" xfId="0" applyNumberFormat="1" applyBorder="1"/>
    <xf numFmtId="1" fontId="0" fillId="0" borderId="13" xfId="0" applyNumberFormat="1" applyBorder="1"/>
    <xf numFmtId="9" fontId="0" fillId="2" borderId="1" xfId="1" applyFont="1" applyFill="1" applyBorder="1"/>
    <xf numFmtId="0" fontId="1" fillId="0" borderId="1" xfId="0" applyFont="1" applyBorder="1"/>
    <xf numFmtId="0" fontId="0" fillId="0" borderId="21" xfId="0" applyBorder="1"/>
    <xf numFmtId="0" fontId="0" fillId="0" borderId="4" xfId="0" applyBorder="1"/>
    <xf numFmtId="0" fontId="0" fillId="0" borderId="0" xfId="0" applyAlignment="1">
      <alignment horizontal="center" vertical="center"/>
    </xf>
    <xf numFmtId="0" fontId="5" fillId="4" borderId="1" xfId="0" applyFont="1" applyFill="1" applyBorder="1"/>
    <xf numFmtId="164" fontId="0" fillId="2" borderId="1" xfId="0" applyNumberForma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0" fillId="0" borderId="0" xfId="0" applyNumberFormat="1"/>
    <xf numFmtId="164" fontId="0" fillId="0" borderId="1" xfId="0" applyNumberFormat="1" applyBorder="1" applyAlignment="1">
      <alignment horizontal="center"/>
    </xf>
    <xf numFmtId="1" fontId="0" fillId="0" borderId="0" xfId="0" applyNumberFormat="1"/>
    <xf numFmtId="2" fontId="0" fillId="0" borderId="0" xfId="0" applyNumberFormat="1"/>
    <xf numFmtId="164" fontId="1" fillId="0" borderId="1" xfId="0" applyNumberFormat="1" applyFont="1" applyBorder="1" applyAlignment="1">
      <alignment horizontal="center" vertical="center"/>
    </xf>
    <xf numFmtId="9" fontId="0" fillId="0" borderId="1" xfId="1" applyFont="1" applyFill="1" applyBorder="1" applyAlignment="1">
      <alignment horizontal="center"/>
    </xf>
    <xf numFmtId="9" fontId="0" fillId="2" borderId="1" xfId="1" applyFont="1" applyFill="1" applyBorder="1" applyAlignment="1">
      <alignment horizontal="center" vertical="center"/>
    </xf>
    <xf numFmtId="9" fontId="6" fillId="2" borderId="1" xfId="1" applyFont="1" applyFill="1" applyBorder="1" applyAlignment="1">
      <alignment horizontal="center" vertical="center"/>
    </xf>
    <xf numFmtId="9" fontId="1" fillId="0" borderId="1" xfId="1" applyFont="1" applyFill="1" applyBorder="1" applyAlignment="1">
      <alignment horizontal="center"/>
    </xf>
    <xf numFmtId="0" fontId="0" fillId="0" borderId="0" xfId="0" applyAlignment="1">
      <alignment wrapText="1"/>
    </xf>
    <xf numFmtId="0" fontId="1" fillId="2" borderId="5" xfId="0" applyFont="1" applyFill="1" applyBorder="1" applyAlignment="1">
      <alignment horizontal="center" vertical="center"/>
    </xf>
    <xf numFmtId="0" fontId="0" fillId="0" borderId="5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9" fontId="0" fillId="0" borderId="14" xfId="1" applyFont="1" applyBorder="1"/>
    <xf numFmtId="165" fontId="0" fillId="0" borderId="1" xfId="0" applyNumberFormat="1" applyBorder="1"/>
    <xf numFmtId="2" fontId="0" fillId="0" borderId="1" xfId="0" applyNumberForma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9" fontId="0" fillId="0" borderId="1" xfId="1" applyFont="1" applyBorder="1" applyAlignment="1">
      <alignment horizontal="center"/>
    </xf>
    <xf numFmtId="0" fontId="1" fillId="6" borderId="1" xfId="0" applyFont="1" applyFill="1" applyBorder="1" applyAlignment="1">
      <alignment horizontal="center" vertical="center" wrapText="1"/>
    </xf>
    <xf numFmtId="166" fontId="0" fillId="0" borderId="1" xfId="0" applyNumberFormat="1" applyBorder="1"/>
    <xf numFmtId="0" fontId="3" fillId="3" borderId="3" xfId="0" applyFont="1" applyFill="1" applyBorder="1" applyAlignment="1">
      <alignment horizontal="center" vertical="center"/>
    </xf>
    <xf numFmtId="0" fontId="0" fillId="0" borderId="22" xfId="0" applyBorder="1"/>
    <xf numFmtId="0" fontId="0" fillId="0" borderId="23" xfId="0" applyBorder="1"/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9" fontId="0" fillId="0" borderId="14" xfId="1" applyFont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9" fontId="0" fillId="0" borderId="1" xfId="0" applyNumberFormat="1" applyBorder="1"/>
    <xf numFmtId="0" fontId="0" fillId="6" borderId="1" xfId="0" applyFill="1" applyBorder="1"/>
    <xf numFmtId="14" fontId="0" fillId="0" borderId="0" xfId="0" applyNumberFormat="1"/>
    <xf numFmtId="0" fontId="0" fillId="0" borderId="17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" xfId="0" applyBorder="1" applyAlignment="1">
      <alignment horizontal="left"/>
    </xf>
    <xf numFmtId="0" fontId="5" fillId="0" borderId="7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4" xfId="0" applyBorder="1" applyAlignment="1">
      <alignment horizontal="left" wrapText="1"/>
    </xf>
    <xf numFmtId="14" fontId="0" fillId="0" borderId="0" xfId="0" applyNumberFormat="1" applyAlignment="1">
      <alignment horizontal="left"/>
    </xf>
  </cellXfs>
  <cellStyles count="2">
    <cellStyle name="Normal" xfId="0" builtinId="0"/>
    <cellStyle name="Porcentaje" xfId="1" builtinId="5"/>
  </cellStyles>
  <dxfs count="4"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'Entrada datos mensual'!$G$39</c:f>
              <c:strCache>
                <c:ptCount val="1"/>
                <c:pt idx="0">
                  <c:v> Q_a [MJ]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'Entrada datos mensual'!$G$40:$G$51</c:f>
              <c:numCache>
                <c:formatCode>0.0000</c:formatCode>
                <c:ptCount val="12"/>
                <c:pt idx="0">
                  <c:v>4830.5874545599991</c:v>
                </c:pt>
                <c:pt idx="1">
                  <c:v>4358.51559808</c:v>
                </c:pt>
                <c:pt idx="2">
                  <c:v>4828.5522375999999</c:v>
                </c:pt>
                <c:pt idx="3">
                  <c:v>4692.4881359999999</c:v>
                </c:pt>
                <c:pt idx="4">
                  <c:v>4948.6300382400004</c:v>
                </c:pt>
                <c:pt idx="5">
                  <c:v>4889.4446159999998</c:v>
                </c:pt>
                <c:pt idx="6">
                  <c:v>5095.1656593599992</c:v>
                </c:pt>
                <c:pt idx="7">
                  <c:v>4990.3519859199996</c:v>
                </c:pt>
                <c:pt idx="8">
                  <c:v>4718.092478399999</c:v>
                </c:pt>
                <c:pt idx="9">
                  <c:v>4761.3900779200003</c:v>
                </c:pt>
                <c:pt idx="10">
                  <c:v>4601.8881552000003</c:v>
                </c:pt>
                <c:pt idx="11">
                  <c:v>4758.3372524799997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02-40B1-BEC9-F55DAF24C4B4}"/>
            </c:ext>
          </c:extLst>
        </c:ser>
        <c:ser>
          <c:idx val="1"/>
          <c:order val="1"/>
          <c:tx>
            <c:strRef>
              <c:f>'Entrada datos mensual'!$K$39</c:f>
              <c:strCache>
                <c:ptCount val="1"/>
                <c:pt idx="0">
                  <c:v>Q_u [MJ]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'Entrada datos mensual'!$K$40:$K$51</c:f>
              <c:numCache>
                <c:formatCode>0.0000</c:formatCode>
                <c:ptCount val="12"/>
                <c:pt idx="0">
                  <c:v>2442.833251012788</c:v>
                </c:pt>
                <c:pt idx="1">
                  <c:v>3053.4807824520049</c:v>
                </c:pt>
                <c:pt idx="2">
                  <c:v>4321.107294828048</c:v>
                </c:pt>
                <c:pt idx="3">
                  <c:v>5039.0904273050328</c:v>
                </c:pt>
                <c:pt idx="4">
                  <c:v>5623.3829286976552</c:v>
                </c:pt>
                <c:pt idx="5">
                  <c:v>5956.2353149618402</c:v>
                </c:pt>
                <c:pt idx="6">
                  <c:v>6364.4869175432332</c:v>
                </c:pt>
                <c:pt idx="7">
                  <c:v>5876.7030660714363</c:v>
                </c:pt>
                <c:pt idx="8">
                  <c:v>4921.4948737742961</c:v>
                </c:pt>
                <c:pt idx="9">
                  <c:v>3764.7901926131244</c:v>
                </c:pt>
                <c:pt idx="10">
                  <c:v>2781.7112765357606</c:v>
                </c:pt>
                <c:pt idx="11">
                  <c:v>2090.6072883796269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02-40B1-BEC9-F55DAF24C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0977663"/>
        <c:axId val="1563717775"/>
      </c:lineChart>
      <c:catAx>
        <c:axId val="155097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63717775"/>
        <c:crosses val="autoZero"/>
        <c:auto val="1"/>
        <c:lblAlgn val="ctr"/>
        <c:lblOffset val="100"/>
        <c:noMultiLvlLbl val="0"/>
      </c:catAx>
      <c:valAx>
        <c:axId val="1563717775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50977663"/>
        <c:crosses val="autoZero"/>
        <c:crossBetween val="between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962594866792511E-2"/>
          <c:y val="4.801169670784363E-2"/>
          <c:w val="0.91457743725294049"/>
          <c:h val="0.89738019640375377"/>
        </c:manualLayout>
      </c:layout>
      <c:scatterChart>
        <c:scatterStyle val="lineMarker"/>
        <c:varyColors val="0"/>
        <c:ser>
          <c:idx val="0"/>
          <c:order val="0"/>
          <c:tx>
            <c:strRef>
              <c:f>'Entrada datos mensual'!$M$39</c:f>
              <c:strCache>
                <c:ptCount val="1"/>
                <c:pt idx="0">
                  <c:v>(S/.)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'Entrada datos mensual'!$M$40:$M$51</c:f>
              <c:numCache>
                <c:formatCode>General</c:formatCode>
                <c:ptCount val="12"/>
                <c:pt idx="0">
                  <c:v>510.57109359029658</c:v>
                </c:pt>
                <c:pt idx="1">
                  <c:v>279.05428959091859</c:v>
                </c:pt>
                <c:pt idx="2">
                  <c:v>108.5064446679837</c:v>
                </c:pt>
                <c:pt idx="3">
                  <c:v>-74.113621347463862</c:v>
                </c:pt>
                <c:pt idx="4">
                  <c:v>-144.28173581366985</c:v>
                </c:pt>
                <c:pt idx="5">
                  <c:v>-228.1107883683114</c:v>
                </c:pt>
                <c:pt idx="6">
                  <c:v>-271.41769531606275</c:v>
                </c:pt>
                <c:pt idx="7">
                  <c:v>-189.52756511770158</c:v>
                </c:pt>
                <c:pt idx="8">
                  <c:v>-43.49333080049059</c:v>
                </c:pt>
                <c:pt idx="9">
                  <c:v>213.10195687528397</c:v>
                </c:pt>
                <c:pt idx="10">
                  <c:v>389.20660178789575</c:v>
                </c:pt>
                <c:pt idx="11">
                  <c:v>570.43803049361861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BC-48FF-A424-42296C627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730223"/>
        <c:axId val="1051561151"/>
      </c:scatterChart>
      <c:valAx>
        <c:axId val="1562730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51561151"/>
        <c:crosses val="autoZero"/>
        <c:crossBetween val="midCat"/>
      </c:valAx>
      <c:valAx>
        <c:axId val="10515611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62730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'Analisis comparativo'!$C$10</c:f>
              <c:strCache>
                <c:ptCount val="1"/>
                <c:pt idx="0">
                  <c:v>Fracción Solar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'Analisis comparativo'!$C$11:$C$22</c:f>
              <c:numCache>
                <c:formatCode>General</c:formatCode>
                <c:ptCount val="12"/>
                <c:pt idx="0">
                  <c:v>0.13</c:v>
                </c:pt>
                <c:pt idx="1">
                  <c:v>0.25</c:v>
                </c:pt>
                <c:pt idx="2">
                  <c:v>0.36</c:v>
                </c:pt>
                <c:pt idx="3">
                  <c:v>0.46</c:v>
                </c:pt>
                <c:pt idx="4">
                  <c:v>0.56000000000000005</c:v>
                </c:pt>
                <c:pt idx="5">
                  <c:v>0.64</c:v>
                </c:pt>
                <c:pt idx="6">
                  <c:v>0.72</c:v>
                </c:pt>
                <c:pt idx="7">
                  <c:v>0.79</c:v>
                </c:pt>
                <c:pt idx="8">
                  <c:v>0.85</c:v>
                </c:pt>
                <c:pt idx="9">
                  <c:v>0.9</c:v>
                </c:pt>
                <c:pt idx="10">
                  <c:v>0.95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95-4FE7-91CE-4C0987C1F970}"/>
            </c:ext>
          </c:extLst>
        </c:ser>
        <c:ser>
          <c:idx val="1"/>
          <c:order val="1"/>
          <c:tx>
            <c:strRef>
              <c:f>'Analisis comparativo'!$D$10</c:f>
              <c:strCache>
                <c:ptCount val="1"/>
                <c:pt idx="0">
                  <c:v>Rendimiento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'Analisis comparativo'!$D$11:$D$22</c:f>
              <c:numCache>
                <c:formatCode>General</c:formatCode>
                <c:ptCount val="12"/>
                <c:pt idx="0">
                  <c:v>0.66</c:v>
                </c:pt>
                <c:pt idx="1">
                  <c:v>0.63</c:v>
                </c:pt>
                <c:pt idx="2">
                  <c:v>0.61</c:v>
                </c:pt>
                <c:pt idx="3">
                  <c:v>0.57999999999999996</c:v>
                </c:pt>
                <c:pt idx="4">
                  <c:v>0.56000000000000005</c:v>
                </c:pt>
                <c:pt idx="5">
                  <c:v>0.54</c:v>
                </c:pt>
                <c:pt idx="6">
                  <c:v>0.52</c:v>
                </c:pt>
                <c:pt idx="7">
                  <c:v>0.49</c:v>
                </c:pt>
                <c:pt idx="8">
                  <c:v>0.47</c:v>
                </c:pt>
                <c:pt idx="9">
                  <c:v>0.46</c:v>
                </c:pt>
                <c:pt idx="10">
                  <c:v>0.44</c:v>
                </c:pt>
                <c:pt idx="11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95-4FE7-91CE-4C0987C1F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225903"/>
        <c:axId val="1631661151"/>
      </c:lineChart>
      <c:lineChart>
        <c:grouping val="standard"/>
        <c:varyColors val="0"/>
        <c:ser>
          <c:idx val="2"/>
          <c:order val="2"/>
          <c:tx>
            <c:strRef>
              <c:f>'Analisis comparativo'!$H$10</c:f>
              <c:strCache>
                <c:ptCount val="1"/>
                <c:pt idx="0">
                  <c:v>Ahorro (SOL)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'Analisis comparativo'!$H$11:$H$22</c:f>
              <c:numCache>
                <c:formatCode>General</c:formatCode>
                <c:ptCount val="12"/>
                <c:pt idx="0">
                  <c:v>6951.0647894826561</c:v>
                </c:pt>
                <c:pt idx="1">
                  <c:v>6075.5447894826557</c:v>
                </c:pt>
                <c:pt idx="2">
                  <c:v>5200.0247894826543</c:v>
                </c:pt>
                <c:pt idx="3">
                  <c:v>4324.5047894826548</c:v>
                </c:pt>
                <c:pt idx="4">
                  <c:v>3448.9847894826544</c:v>
                </c:pt>
                <c:pt idx="5">
                  <c:v>2573.4647894826599</c:v>
                </c:pt>
                <c:pt idx="6">
                  <c:v>1697.9447894826567</c:v>
                </c:pt>
                <c:pt idx="7">
                  <c:v>822.42478948265625</c:v>
                </c:pt>
                <c:pt idx="8">
                  <c:v>-53.095210517344185</c:v>
                </c:pt>
                <c:pt idx="9">
                  <c:v>-928.61521051734189</c:v>
                </c:pt>
                <c:pt idx="10">
                  <c:v>-1804.1352105173423</c:v>
                </c:pt>
                <c:pt idx="11">
                  <c:v>-2679.6552105173428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3F-40A0-83BB-4BF561C96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8341071"/>
        <c:axId val="1460108879"/>
      </c:lineChart>
      <c:catAx>
        <c:axId val="180722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31661151"/>
        <c:crosses val="autoZero"/>
        <c:auto val="1"/>
        <c:lblAlgn val="ctr"/>
        <c:lblOffset val="100"/>
        <c:noMultiLvlLbl val="0"/>
      </c:catAx>
      <c:valAx>
        <c:axId val="16316611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07225903"/>
        <c:crosses val="autoZero"/>
        <c:crossBetween val="between"/>
      </c:valAx>
      <c:valAx>
        <c:axId val="146010887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28341071"/>
        <c:crosses val="max"/>
        <c:crossBetween val="between"/>
      </c:valAx>
      <c:catAx>
        <c:axId val="328341071"/>
        <c:scaling>
          <c:orientation val="minMax"/>
        </c:scaling>
        <c:delete val="1"/>
        <c:axPos val="b"/>
        <c:majorTickMark val="out"/>
        <c:minorTickMark val="none"/>
        <c:tickLblPos val="nextTo"/>
        <c:crossAx val="1460108879"/>
        <c:crosses val="autoZero"/>
        <c:auto val="1"/>
        <c:lblAlgn val="ctr"/>
        <c:lblOffset val="100"/>
        <c:noMultiLvlLbl val="0"/>
      </c:cat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'Analisis comparativo'!$E$10</c:f>
              <c:strCache>
                <c:ptCount val="1"/>
                <c:pt idx="0">
                  <c:v>Back up cost (S/.)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'Analisis comparativo'!$E$11:$E$22</c:f>
              <c:numCache>
                <c:formatCode>General</c:formatCode>
                <c:ptCount val="12"/>
                <c:pt idx="0">
                  <c:v>10664.904399992354</c:v>
                </c:pt>
                <c:pt idx="1">
                  <c:v>9193.8831034416853</c:v>
                </c:pt>
                <c:pt idx="2">
                  <c:v>7845.4469149369042</c:v>
                </c:pt>
                <c:pt idx="3">
                  <c:v>6619.5958344780138</c:v>
                </c:pt>
                <c:pt idx="4">
                  <c:v>5393.7447540191215</c:v>
                </c:pt>
                <c:pt idx="5">
                  <c:v>4413.0638896520077</c:v>
                </c:pt>
                <c:pt idx="6">
                  <c:v>3432.3830252848957</c:v>
                </c:pt>
                <c:pt idx="7">
                  <c:v>2574.2872689636711</c:v>
                </c:pt>
                <c:pt idx="8">
                  <c:v>1838.7766206883373</c:v>
                </c:pt>
                <c:pt idx="9">
                  <c:v>1225.8510804588909</c:v>
                </c:pt>
                <c:pt idx="10">
                  <c:v>612.92554022944614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54-40A5-9E6A-CBDE2DAEC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695071"/>
        <c:axId val="1602608207"/>
      </c:scatterChart>
      <c:valAx>
        <c:axId val="156369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02608207"/>
        <c:crosses val="autoZero"/>
        <c:crossBetween val="midCat"/>
      </c:valAx>
      <c:valAx>
        <c:axId val="160260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63695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20427258028332"/>
          <c:y val="6.514581387524955E-2"/>
          <c:w val="0.85693085445071338"/>
          <c:h val="0.91317828686527935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'Analisis comparativo'!$H$10</c:f>
              <c:strCache>
                <c:ptCount val="1"/>
                <c:pt idx="0">
                  <c:v>Ahorro (SOL)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'Analisis comparativo'!$H$11:$H$22</c:f>
              <c:numCache>
                <c:formatCode>General</c:formatCode>
                <c:ptCount val="12"/>
                <c:pt idx="0">
                  <c:v>6951.0647894826561</c:v>
                </c:pt>
                <c:pt idx="1">
                  <c:v>6075.5447894826557</c:v>
                </c:pt>
                <c:pt idx="2">
                  <c:v>5200.0247894826543</c:v>
                </c:pt>
                <c:pt idx="3">
                  <c:v>4324.5047894826548</c:v>
                </c:pt>
                <c:pt idx="4">
                  <c:v>3448.9847894826544</c:v>
                </c:pt>
                <c:pt idx="5">
                  <c:v>2573.4647894826599</c:v>
                </c:pt>
                <c:pt idx="6">
                  <c:v>1697.9447894826567</c:v>
                </c:pt>
                <c:pt idx="7">
                  <c:v>822.42478948265625</c:v>
                </c:pt>
                <c:pt idx="8">
                  <c:v>-53.095210517344185</c:v>
                </c:pt>
                <c:pt idx="9">
                  <c:v>-928.61521051734189</c:v>
                </c:pt>
                <c:pt idx="10">
                  <c:v>-1804.1352105173423</c:v>
                </c:pt>
                <c:pt idx="11">
                  <c:v>-2679.6552105173428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F4-4156-8316-C974D2B45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77855"/>
        <c:axId val="1694235631"/>
      </c:scatterChart>
      <c:valAx>
        <c:axId val="16557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94235631"/>
        <c:crosses val="autoZero"/>
        <c:crossBetween val="midCat"/>
      </c:valAx>
      <c:valAx>
        <c:axId val="169423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Ahorro (S/.)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5577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'Analisis comparativo'!$A$10</c:f>
              <c:strCache>
                <c:ptCount val="1"/>
                <c:pt idx="0">
                  <c:v>N° Colectores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'Analisis comparativo'!$A$11:$A$22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D3-40DD-A74E-12BBE5AA3AFC}"/>
            </c:ext>
          </c:extLst>
        </c:ser>
        <c:ser>
          <c:idx val="1"/>
          <c:order val="1"/>
          <c:tx>
            <c:strRef>
              <c:f>'Analisis comparativo'!$I$10</c:f>
              <c:strCache>
                <c:ptCount val="1"/>
                <c:pt idx="0">
                  <c:v>Produccion CO2 (kg)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'Analisis comparativo'!$I$11:$I$22</c:f>
              <c:numCache>
                <c:formatCode>General</c:formatCode>
                <c:ptCount val="12"/>
                <c:pt idx="0">
                  <c:v>20871.983950524238</c:v>
                </c:pt>
                <c:pt idx="1">
                  <c:v>18372.234327739297</c:v>
                </c:pt>
                <c:pt idx="2">
                  <c:v>16056.644119260503</c:v>
                </c:pt>
                <c:pt idx="3">
                  <c:v>13916.994399901556</c:v>
                </c:pt>
                <c:pt idx="4">
                  <c:v>11945.066244476171</c:v>
                </c:pt>
                <c:pt idx="5">
                  <c:v>10132.64072779806</c:v>
                </c:pt>
                <c:pt idx="6">
                  <c:v>8471.4989246809309</c:v>
                </c:pt>
                <c:pt idx="7">
                  <c:v>6953.4219099384945</c:v>
                </c:pt>
                <c:pt idx="8">
                  <c:v>5570.190758384465</c:v>
                </c:pt>
                <c:pt idx="9">
                  <c:v>4313.5865448325476</c:v>
                </c:pt>
                <c:pt idx="10">
                  <c:v>3175.3903440964609</c:v>
                </c:pt>
                <c:pt idx="11">
                  <c:v>2147.3832309899117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D3-40DD-A74E-12BBE5AA3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0881471"/>
        <c:axId val="1460110799"/>
      </c:barChart>
      <c:catAx>
        <c:axId val="1890881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60110799"/>
        <c:crosses val="autoZero"/>
        <c:auto val="1"/>
        <c:lblAlgn val="ctr"/>
        <c:lblOffset val="100"/>
        <c:noMultiLvlLbl val="0"/>
      </c:catAx>
      <c:valAx>
        <c:axId val="14601107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Ptoduccion</a:t>
                </a:r>
                <a:r>
                  <a:rPr lang="es-PE" baseline="0"/>
                  <a:t> CO2 (kg)</a:t>
                </a:r>
                <a:endParaRPr lang="es-P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9088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VAN!$K$9</c:f>
              <c:strCache>
                <c:ptCount val="1"/>
                <c:pt idx="0">
                  <c:v>VAN caso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VAN!$J$10:$J$110</c:f>
              <c:numCache>
                <c:formatCode>0%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VAN!$K$10:$K$110</c:f>
              <c:numCache>
                <c:formatCode>0.0</c:formatCode>
                <c:ptCount val="101"/>
                <c:pt idx="0">
                  <c:v>5500</c:v>
                </c:pt>
                <c:pt idx="1">
                  <c:v>5133.5780983128006</c:v>
                </c:pt>
                <c:pt idx="2">
                  <c:v>4783.648771260514</c:v>
                </c:pt>
                <c:pt idx="3">
                  <c:v>4449.267967986334</c:v>
                </c:pt>
                <c:pt idx="4">
                  <c:v>4129.5558275405128</c:v>
                </c:pt>
                <c:pt idx="5">
                  <c:v>3823.6916765770457</c:v>
                </c:pt>
                <c:pt idx="6">
                  <c:v>3530.9094639142822</c:v>
                </c:pt>
                <c:pt idx="7">
                  <c:v>3250.4935898689837</c:v>
                </c:pt>
                <c:pt idx="8">
                  <c:v>2981.775092695214</c:v>
                </c:pt>
                <c:pt idx="9">
                  <c:v>2724.1281583792897</c:v>
                </c:pt>
                <c:pt idx="10">
                  <c:v>2476.9669235211186</c:v>
                </c:pt>
                <c:pt idx="11">
                  <c:v>2239.742544123661</c:v>
                </c:pt>
                <c:pt idx="12">
                  <c:v>2011.9405058625107</c:v>
                </c:pt>
                <c:pt idx="13">
                  <c:v>1793.0781538567662</c:v>
                </c:pt>
                <c:pt idx="14">
                  <c:v>1582.7024221461488</c:v>
                </c:pt>
                <c:pt idx="15">
                  <c:v>1380.3877450285054</c:v>
                </c:pt>
                <c:pt idx="16">
                  <c:v>1185.7341341530901</c:v>
                </c:pt>
                <c:pt idx="17">
                  <c:v>998.36540682303894</c:v>
                </c:pt>
                <c:pt idx="18">
                  <c:v>817.92755235474397</c:v>
                </c:pt>
                <c:pt idx="19">
                  <c:v>644.08722459201999</c:v>
                </c:pt>
                <c:pt idx="20">
                  <c:v>476.53034979423865</c:v>
                </c:pt>
                <c:pt idx="21">
                  <c:v>314.96084012462325</c:v>
                </c:pt>
                <c:pt idx="22">
                  <c:v>159.09940387011102</c:v>
                </c:pt>
                <c:pt idx="23">
                  <c:v>8.6824443385730774</c:v>
                </c:pt>
                <c:pt idx="24">
                  <c:v>-136.53895988742352</c:v>
                </c:pt>
                <c:pt idx="25">
                  <c:v>-276.80000000000018</c:v>
                </c:pt>
                <c:pt idx="26">
                  <c:v>-412.32301338182515</c:v>
                </c:pt>
                <c:pt idx="27">
                  <c:v>-543.31829691318853</c:v>
                </c:pt>
                <c:pt idx="28">
                  <c:v>-669.98486220836639</c:v>
                </c:pt>
                <c:pt idx="29">
                  <c:v>-792.51113737906417</c:v>
                </c:pt>
                <c:pt idx="30">
                  <c:v>-911.07561952420474</c:v>
                </c:pt>
                <c:pt idx="31">
                  <c:v>-1025.8474817842543</c:v>
                </c:pt>
                <c:pt idx="32">
                  <c:v>-1136.9871384707958</c:v>
                </c:pt>
                <c:pt idx="33">
                  <c:v>-1244.6467714849723</c:v>
                </c:pt>
                <c:pt idx="34">
                  <c:v>-1348.9708209685195</c:v>
                </c:pt>
                <c:pt idx="35">
                  <c:v>-1450.0964428858597</c:v>
                </c:pt>
                <c:pt idx="36">
                  <c:v>-1548.1539360125698</c:v>
                </c:pt>
                <c:pt idx="37">
                  <c:v>-1643.2671406024974</c:v>
                </c:pt>
                <c:pt idx="38">
                  <c:v>-1735.5538108207047</c:v>
                </c:pt>
                <c:pt idx="39">
                  <c:v>-1825.1259628608614</c:v>
                </c:pt>
                <c:pt idx="40">
                  <c:v>-1912.0902005116914</c:v>
                </c:pt>
                <c:pt idx="41">
                  <c:v>-1996.5480197967927</c:v>
                </c:pt>
                <c:pt idx="42">
                  <c:v>-2078.5960941835929</c:v>
                </c:pt>
                <c:pt idx="43">
                  <c:v>-2158.3265417400789</c:v>
                </c:pt>
                <c:pt idx="44">
                  <c:v>-2235.8271755104861</c:v>
                </c:pt>
                <c:pt idx="45">
                  <c:v>-2311.1817382829204</c:v>
                </c:pt>
                <c:pt idx="46">
                  <c:v>-2384.4701228318836</c:v>
                </c:pt>
                <c:pt idx="47">
                  <c:v>-2455.7685786361608</c:v>
                </c:pt>
                <c:pt idx="48">
                  <c:v>-2525.1499059968555</c:v>
                </c:pt>
                <c:pt idx="49">
                  <c:v>-2592.6836384109283</c:v>
                </c:pt>
                <c:pt idx="50">
                  <c:v>-2658.4362139917694</c:v>
                </c:pt>
                <c:pt idx="51">
                  <c:v>-2722.4711366697675</c:v>
                </c:pt>
                <c:pt idx="52">
                  <c:v>-2784.8491278519159</c:v>
                </c:pt>
                <c:pt idx="53">
                  <c:v>-2845.6282691699143</c:v>
                </c:pt>
                <c:pt idx="54">
                  <c:v>-2904.8641369005913</c:v>
                </c:pt>
                <c:pt idx="55">
                  <c:v>-2962.6099286003973</c:v>
                </c:pt>
                <c:pt idx="56">
                  <c:v>-3018.9165824569973</c:v>
                </c:pt>
                <c:pt idx="57">
                  <c:v>-3073.8328898252225</c:v>
                </c:pt>
                <c:pt idx="58">
                  <c:v>-3127.4056013816994</c:v>
                </c:pt>
                <c:pt idx="59">
                  <c:v>-3179.6795273019779</c:v>
                </c:pt>
                <c:pt idx="60">
                  <c:v>-3230.6976318359375</c:v>
                </c:pt>
                <c:pt idx="61">
                  <c:v>-3280.5011226311713</c:v>
                </c:pt>
                <c:pt idx="62">
                  <c:v>-3329.1295351300969</c:v>
                </c:pt>
                <c:pt idx="63">
                  <c:v>-3376.6208123442293</c:v>
                </c:pt>
                <c:pt idx="64">
                  <c:v>-3423.0113802885708</c:v>
                </c:pt>
                <c:pt idx="65">
                  <c:v>-3468.3362193398693</c:v>
                </c:pt>
                <c:pt idx="66">
                  <c:v>-3512.628931764998</c:v>
                </c:pt>
                <c:pt idx="67">
                  <c:v>-3555.9218056491736</c:v>
                </c:pt>
                <c:pt idx="68">
                  <c:v>-3598.2458754386835</c:v>
                </c:pt>
                <c:pt idx="69">
                  <c:v>-3639.6309792985717</c:v>
                </c:pt>
                <c:pt idx="70">
                  <c:v>-3680.105813472765</c:v>
                </c:pt>
                <c:pt idx="71">
                  <c:v>-3719.6979838218581</c:v>
                </c:pt>
                <c:pt idx="72">
                  <c:v>-3758.4340547025586</c:v>
                </c:pt>
                <c:pt idx="73">
                  <c:v>-3796.3395953422523</c:v>
                </c:pt>
                <c:pt idx="74">
                  <c:v>-3833.4392238523865</c:v>
                </c:pt>
                <c:pt idx="75">
                  <c:v>-3869.7566490152917</c:v>
                </c:pt>
                <c:pt idx="76">
                  <c:v>-3905.3147099705602</c:v>
                </c:pt>
                <c:pt idx="77">
                  <c:v>-3940.1354139192813</c:v>
                </c:pt>
                <c:pt idx="78">
                  <c:v>-3974.2399719570039</c:v>
                </c:pt>
                <c:pt idx="79">
                  <c:v>-4007.6488331395312</c:v>
                </c:pt>
                <c:pt idx="80">
                  <c:v>-4040.381716879202</c:v>
                </c:pt>
                <c:pt idx="81">
                  <c:v>-4072.4576437633873</c:v>
                </c:pt>
                <c:pt idx="82">
                  <c:v>-4103.8949648813523</c:v>
                </c:pt>
                <c:pt idx="83">
                  <c:v>-4134.7113897404652</c:v>
                </c:pt>
                <c:pt idx="84">
                  <c:v>-4164.9240128478232</c:v>
                </c:pt>
                <c:pt idx="85">
                  <c:v>-4194.549339028923</c:v>
                </c:pt>
                <c:pt idx="86">
                  <c:v>-4223.603307550653</c:v>
                </c:pt>
                <c:pt idx="87">
                  <c:v>-4252.1013151120305</c:v>
                </c:pt>
                <c:pt idx="88">
                  <c:v>-4280.0582377622895</c:v>
                </c:pt>
                <c:pt idx="89">
                  <c:v>-4307.4884518025465</c:v>
                </c:pt>
                <c:pt idx="90">
                  <c:v>-4334.4058537239416</c:v>
                </c:pt>
                <c:pt idx="91">
                  <c:v>-4360.8238792321663</c:v>
                </c:pt>
                <c:pt idx="92">
                  <c:v>-4386.7555214053809</c:v>
                </c:pt>
                <c:pt idx="93">
                  <c:v>-4412.2133480298999</c:v>
                </c:pt>
                <c:pt idx="94">
                  <c:v>-4437.209518155465</c:v>
                </c:pt>
                <c:pt idx="95">
                  <c:v>-4461.7557979096046</c:v>
                </c:pt>
                <c:pt idx="96">
                  <c:v>-4485.8635756083531</c:v>
                </c:pt>
                <c:pt idx="97">
                  <c:v>-4509.5438761985315</c:v>
                </c:pt>
                <c:pt idx="98">
                  <c:v>-4532.80737506484</c:v>
                </c:pt>
                <c:pt idx="99">
                  <c:v>-4555.664411233196</c:v>
                </c:pt>
                <c:pt idx="100">
                  <c:v>-4578.125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C-43D8-9AE5-E1BBA1F8A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598031"/>
        <c:axId val="91257663"/>
      </c:lineChart>
      <c:catAx>
        <c:axId val="159598031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1257663"/>
        <c:crosses val="autoZero"/>
        <c:auto val="1"/>
        <c:lblAlgn val="ctr"/>
        <c:lblOffset val="100"/>
        <c:noMultiLvlLbl val="0"/>
      </c:catAx>
      <c:valAx>
        <c:axId val="91257663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9598031"/>
        <c:crosses val="autoZero"/>
        <c:crossBetween val="between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22860</xdr:colOff>
      <xdr:row>23</xdr:row>
      <xdr:rowOff>7620</xdr:rowOff>
    </xdr:from>
    <xdr:ext cx="31816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C1D69188-6BC8-2101-DB5F-2BBA63C08F79}"/>
                </a:ext>
              </a:extLst>
            </xdr:cNvPr>
            <xdr:cNvSpPr txBox="1"/>
          </xdr:nvSpPr>
          <xdr:spPr>
            <a:xfrm>
              <a:off x="7254240" y="4274820"/>
              <a:ext cx="31816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𝐴𝐶𝑆</m:t>
                        </m:r>
                      </m:sub>
                    </m:sSub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C1D69188-6BC8-2101-DB5F-2BBA63C08F79}"/>
                </a:ext>
              </a:extLst>
            </xdr:cNvPr>
            <xdr:cNvSpPr txBox="1"/>
          </xdr:nvSpPr>
          <xdr:spPr>
            <a:xfrm>
              <a:off x="7254240" y="4274820"/>
              <a:ext cx="31816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1100" b="0" i="0">
                  <a:latin typeface="Cambria Math" panose="02040503050406030204" pitchFamily="18" charset="0"/>
                </a:rPr>
                <a:t>𝑄_𝐴𝐶𝑆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14</xdr:col>
      <xdr:colOff>118441</xdr:colOff>
      <xdr:row>15</xdr:row>
      <xdr:rowOff>1242</xdr:rowOff>
    </xdr:from>
    <xdr:ext cx="52431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8F85237-9CDD-AD68-48EB-972C66362BA4}"/>
                </a:ext>
              </a:extLst>
            </xdr:cNvPr>
            <xdr:cNvSpPr txBox="1"/>
          </xdr:nvSpPr>
          <xdr:spPr>
            <a:xfrm>
              <a:off x="20783550" y="2792481"/>
              <a:ext cx="5243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b>
                    </m:sSub>
                    <m:sSub>
                      <m:sSub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d>
                          <m:dPr>
                            <m:ctrlPr>
                              <a:rPr lang="es-PE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PE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𝜏𝛼</m:t>
                            </m:r>
                          </m:e>
                        </m:d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8F85237-9CDD-AD68-48EB-972C66362BA4}"/>
                </a:ext>
              </a:extLst>
            </xdr:cNvPr>
            <xdr:cNvSpPr txBox="1"/>
          </xdr:nvSpPr>
          <xdr:spPr>
            <a:xfrm>
              <a:off x="20783550" y="2792481"/>
              <a:ext cx="5243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PE" sz="1100" b="0" i="0">
                  <a:latin typeface="Cambria Math" panose="02040503050406030204" pitchFamily="18" charset="0"/>
                </a:rPr>
                <a:t>𝐹_𝑅 (</a:t>
              </a:r>
              <a:r>
                <a:rPr lang="es-P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𝜏𝛼)_</a:t>
              </a:r>
              <a:r>
                <a:rPr lang="es-PE" sz="1100" b="0" i="0">
                  <a:latin typeface="Cambria Math" panose="02040503050406030204" pitchFamily="18" charset="0"/>
                </a:rPr>
                <a:t>𝑛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14</xdr:col>
      <xdr:colOff>22463</xdr:colOff>
      <xdr:row>16</xdr:row>
      <xdr:rowOff>16378</xdr:rowOff>
    </xdr:from>
    <xdr:ext cx="81554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D7EFD358-48E9-94AF-0815-4BE6A0C7C9C2}"/>
                </a:ext>
              </a:extLst>
            </xdr:cNvPr>
            <xdr:cNvSpPr txBox="1"/>
          </xdr:nvSpPr>
          <xdr:spPr>
            <a:xfrm>
              <a:off x="23207434" y="2952319"/>
              <a:ext cx="81554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 b="0" i="1">
                        <a:latin typeface="Cambria Math" panose="02040503050406030204" pitchFamily="18" charset="0"/>
                      </a:rPr>
                      <m:t>[</m:t>
                    </m:r>
                    <m:d>
                      <m:dPr>
                        <m:ctrlPr>
                          <a:rPr lang="es-P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P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𝜏𝛼</m:t>
                        </m:r>
                      </m:e>
                    </m:d>
                    <m:sSub>
                      <m:sSubPr>
                        <m:ctrlPr>
                          <a:rPr lang="es-P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/</m:t>
                        </m:r>
                        <m:d>
                          <m:dPr>
                            <m:ctrlPr>
                              <a:rPr lang="es-PE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PE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𝜏𝛼</m:t>
                            </m:r>
                          </m:e>
                        </m:d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PE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D7EFD358-48E9-94AF-0815-4BE6A0C7C9C2}"/>
                </a:ext>
              </a:extLst>
            </xdr:cNvPr>
            <xdr:cNvSpPr txBox="1"/>
          </xdr:nvSpPr>
          <xdr:spPr>
            <a:xfrm>
              <a:off x="23207434" y="2952319"/>
              <a:ext cx="81554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PE" sz="1100" b="0" i="0">
                  <a:latin typeface="Cambria Math" panose="02040503050406030204" pitchFamily="18" charset="0"/>
                </a:rPr>
                <a:t>[</a:t>
              </a:r>
              <a:r>
                <a:rPr lang="es-P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(𝜏𝛼) 〖/(𝜏𝛼)〗_</a:t>
              </a:r>
              <a:r>
                <a:rPr lang="es-PE" sz="1100" b="0" i="0">
                  <a:latin typeface="Cambria Math" panose="02040503050406030204" pitchFamily="18" charset="0"/>
                </a:rPr>
                <a:t>𝑛]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14</xdr:col>
      <xdr:colOff>129643</xdr:colOff>
      <xdr:row>17</xdr:row>
      <xdr:rowOff>16628</xdr:rowOff>
    </xdr:from>
    <xdr:ext cx="39574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2E5BD776-DA89-6C3E-C099-47887EF2D23C}"/>
                </a:ext>
              </a:extLst>
            </xdr:cNvPr>
            <xdr:cNvSpPr txBox="1"/>
          </xdr:nvSpPr>
          <xdr:spPr>
            <a:xfrm>
              <a:off x="20794752" y="3188867"/>
              <a:ext cx="3957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b>
                      <m:sup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PE" sz="1100" b="0" i="1">
                        <a:latin typeface="Cambria Math" panose="02040503050406030204" pitchFamily="18" charset="0"/>
                      </a:rPr>
                      <m:t>/</m:t>
                    </m:r>
                    <m:sSub>
                      <m:sSub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b>
                    </m:sSub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2E5BD776-DA89-6C3E-C099-47887EF2D23C}"/>
                </a:ext>
              </a:extLst>
            </xdr:cNvPr>
            <xdr:cNvSpPr txBox="1"/>
          </xdr:nvSpPr>
          <xdr:spPr>
            <a:xfrm>
              <a:off x="20794752" y="3188867"/>
              <a:ext cx="3957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PE" sz="1100" b="0" i="0">
                  <a:latin typeface="Cambria Math" panose="02040503050406030204" pitchFamily="18" charset="0"/>
                </a:rPr>
                <a:t>𝐹_𝑅^′/𝐹_𝑅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14</xdr:col>
      <xdr:colOff>142181</xdr:colOff>
      <xdr:row>18</xdr:row>
      <xdr:rowOff>18734</xdr:rowOff>
    </xdr:from>
    <xdr:ext cx="4498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2964123F-312E-474A-85F3-9E6EC9799DE9}"/>
                </a:ext>
              </a:extLst>
            </xdr:cNvPr>
            <xdr:cNvSpPr txBox="1"/>
          </xdr:nvSpPr>
          <xdr:spPr>
            <a:xfrm>
              <a:off x="20807290" y="3381473"/>
              <a:ext cx="4498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b>
                      <m:sup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PE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s-P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𝜏𝛼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2964123F-312E-474A-85F3-9E6EC9799DE9}"/>
                </a:ext>
              </a:extLst>
            </xdr:cNvPr>
            <xdr:cNvSpPr txBox="1"/>
          </xdr:nvSpPr>
          <xdr:spPr>
            <a:xfrm>
              <a:off x="20807290" y="3381473"/>
              <a:ext cx="4498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PE" sz="1100" b="0" i="0">
                  <a:latin typeface="Cambria Math" panose="02040503050406030204" pitchFamily="18" charset="0"/>
                </a:rPr>
                <a:t>𝐹_𝑅^′ (</a:t>
              </a:r>
              <a:r>
                <a:rPr lang="es-P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𝜏𝛼</a:t>
              </a:r>
              <a:r>
                <a:rPr lang="es-PE" sz="1100" b="0" i="0">
                  <a:latin typeface="Cambria Math" panose="02040503050406030204" pitchFamily="18" charset="0"/>
                </a:rPr>
                <a:t>)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14</xdr:col>
      <xdr:colOff>142647</xdr:colOff>
      <xdr:row>19</xdr:row>
      <xdr:rowOff>7602</xdr:rowOff>
    </xdr:from>
    <xdr:ext cx="33271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219CD1BD-2769-14D4-F919-B4E5933385BB}"/>
                </a:ext>
              </a:extLst>
            </xdr:cNvPr>
            <xdr:cNvSpPr txBox="1"/>
          </xdr:nvSpPr>
          <xdr:spPr>
            <a:xfrm>
              <a:off x="20807756" y="3560841"/>
              <a:ext cx="3327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b>
                    </m:sSub>
                    <m:sSub>
                      <m:sSub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</m:sSub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219CD1BD-2769-14D4-F919-B4E5933385BB}"/>
                </a:ext>
              </a:extLst>
            </xdr:cNvPr>
            <xdr:cNvSpPr txBox="1"/>
          </xdr:nvSpPr>
          <xdr:spPr>
            <a:xfrm>
              <a:off x="20807756" y="3560841"/>
              <a:ext cx="3327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PE" sz="1100" b="0" i="0">
                  <a:latin typeface="Cambria Math" panose="02040503050406030204" pitchFamily="18" charset="0"/>
                </a:rPr>
                <a:t>𝐹_𝑅 𝑈_𝐿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14</xdr:col>
      <xdr:colOff>129643</xdr:colOff>
      <xdr:row>20</xdr:row>
      <xdr:rowOff>8345</xdr:rowOff>
    </xdr:from>
    <xdr:ext cx="39574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A1A44212-6B32-3762-7F05-34F8CA922F20}"/>
                </a:ext>
              </a:extLst>
            </xdr:cNvPr>
            <xdr:cNvSpPr txBox="1"/>
          </xdr:nvSpPr>
          <xdr:spPr>
            <a:xfrm>
              <a:off x="20794752" y="3743802"/>
              <a:ext cx="3957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b>
                      <m:sup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PE" sz="1100" b="0" i="1">
                        <a:latin typeface="Cambria Math" panose="02040503050406030204" pitchFamily="18" charset="0"/>
                      </a:rPr>
                      <m:t>/</m:t>
                    </m:r>
                    <m:sSub>
                      <m:sSub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b>
                    </m:sSub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A1A44212-6B32-3762-7F05-34F8CA922F20}"/>
                </a:ext>
              </a:extLst>
            </xdr:cNvPr>
            <xdr:cNvSpPr txBox="1"/>
          </xdr:nvSpPr>
          <xdr:spPr>
            <a:xfrm>
              <a:off x="20794752" y="3743802"/>
              <a:ext cx="3957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PE" sz="1100" b="0" i="0">
                  <a:latin typeface="Cambria Math" panose="02040503050406030204" pitchFamily="18" charset="0"/>
                </a:rPr>
                <a:t>𝐹_𝑅^′/𝐹_𝑅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14</xdr:col>
      <xdr:colOff>142647</xdr:colOff>
      <xdr:row>21</xdr:row>
      <xdr:rowOff>10418</xdr:rowOff>
    </xdr:from>
    <xdr:ext cx="33271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F9401A70-8AA5-AF25-0778-0AD3601C05B5}"/>
                </a:ext>
              </a:extLst>
            </xdr:cNvPr>
            <xdr:cNvSpPr txBox="1"/>
          </xdr:nvSpPr>
          <xdr:spPr>
            <a:xfrm>
              <a:off x="20807756" y="3928092"/>
              <a:ext cx="3327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b>
                      <m:sup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sSub>
                      <m:sSub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</m:sSub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F9401A70-8AA5-AF25-0778-0AD3601C05B5}"/>
                </a:ext>
              </a:extLst>
            </xdr:cNvPr>
            <xdr:cNvSpPr txBox="1"/>
          </xdr:nvSpPr>
          <xdr:spPr>
            <a:xfrm>
              <a:off x="20807756" y="3928092"/>
              <a:ext cx="3327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PE" sz="1100" b="0" i="0">
                  <a:latin typeface="Cambria Math" panose="02040503050406030204" pitchFamily="18" charset="0"/>
                </a:rPr>
                <a:t>𝐹_𝑅^′ 𝑈_𝐿</a:t>
              </a:r>
              <a:endParaRPr lang="es-PE" sz="1100"/>
            </a:p>
          </xdr:txBody>
        </xdr:sp>
      </mc:Fallback>
    </mc:AlternateContent>
    <xdr:clientData/>
  </xdr:oneCellAnchor>
  <xdr:twoCellAnchor editAs="oneCell">
    <xdr:from>
      <xdr:col>10</xdr:col>
      <xdr:colOff>676402</xdr:colOff>
      <xdr:row>46</xdr:row>
      <xdr:rowOff>107944</xdr:rowOff>
    </xdr:from>
    <xdr:to>
      <xdr:col>10</xdr:col>
      <xdr:colOff>676042</xdr:colOff>
      <xdr:row>46</xdr:row>
      <xdr:rowOff>107584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1" name="Entrada de lápiz 10">
              <a:extLst>
                <a:ext uri="{FF2B5EF4-FFF2-40B4-BE49-F238E27FC236}">
                  <a16:creationId xmlns:a16="http://schemas.microsoft.com/office/drawing/2014/main" id="{E78C6D94-86CD-4DB4-B4A5-2D537DB94E1E}"/>
                </a:ext>
              </a:extLst>
            </xdr14:cNvPr>
            <xdr14:cNvContentPartPr/>
          </xdr14:nvContentPartPr>
          <xdr14:nvPr macro=""/>
          <xdr14:xfrm>
            <a:off x="6999865" y="2701019"/>
            <a:ext cx="360" cy="360"/>
          </xdr14:xfrm>
        </xdr:contentPart>
      </mc:Choice>
      <mc:Fallback xmlns="">
        <xdr:pic>
          <xdr:nvPicPr>
            <xdr:cNvPr id="73" name="Entrada de lápiz 72">
              <a:extLst>
                <a:ext uri="{FF2B5EF4-FFF2-40B4-BE49-F238E27FC236}">
                  <a16:creationId xmlns:a16="http://schemas.microsoft.com/office/drawing/2014/main" id="{29E70967-2E67-1542-5D5B-3D9F94E9292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991225" y="2692379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</xdr:col>
      <xdr:colOff>799794</xdr:colOff>
      <xdr:row>63</xdr:row>
      <xdr:rowOff>42616</xdr:rowOff>
    </xdr:from>
    <xdr:to>
      <xdr:col>7</xdr:col>
      <xdr:colOff>2312798</xdr:colOff>
      <xdr:row>89</xdr:row>
      <xdr:rowOff>42616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D0E7F08-FEE8-C1F5-2846-5D6F2FEBD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159683</xdr:colOff>
      <xdr:row>65</xdr:row>
      <xdr:rowOff>129684</xdr:rowOff>
    </xdr:from>
    <xdr:to>
      <xdr:col>14</xdr:col>
      <xdr:colOff>730590</xdr:colOff>
      <xdr:row>89</xdr:row>
      <xdr:rowOff>58927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2FE919F6-4150-6984-2F8A-373178283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784860</xdr:colOff>
      <xdr:row>25</xdr:row>
      <xdr:rowOff>7620</xdr:rowOff>
    </xdr:from>
    <xdr:ext cx="52431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C6B1A2A-F662-4625-A931-B0E23188FCAF}"/>
                </a:ext>
              </a:extLst>
            </xdr:cNvPr>
            <xdr:cNvSpPr txBox="1"/>
          </xdr:nvSpPr>
          <xdr:spPr>
            <a:xfrm>
              <a:off x="11513820" y="2804160"/>
              <a:ext cx="5243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b>
                    </m:sSub>
                    <m:sSub>
                      <m:sSub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d>
                          <m:dPr>
                            <m:ctrlPr>
                              <a:rPr lang="es-PE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PE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𝜏𝛼</m:t>
                            </m:r>
                          </m:e>
                        </m:d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C6B1A2A-F662-4625-A931-B0E23188FCAF}"/>
                </a:ext>
              </a:extLst>
            </xdr:cNvPr>
            <xdr:cNvSpPr txBox="1"/>
          </xdr:nvSpPr>
          <xdr:spPr>
            <a:xfrm>
              <a:off x="11513820" y="2804160"/>
              <a:ext cx="5243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1100" b="0" i="0">
                  <a:latin typeface="Cambria Math" panose="02040503050406030204" pitchFamily="18" charset="0"/>
                </a:rPr>
                <a:t>𝐹_𝑅 (</a:t>
              </a:r>
              <a:r>
                <a:rPr lang="es-P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𝜏𝛼)_</a:t>
              </a:r>
              <a:r>
                <a:rPr lang="es-PE" sz="1100" b="0" i="0">
                  <a:latin typeface="Cambria Math" panose="02040503050406030204" pitchFamily="18" charset="0"/>
                </a:rPr>
                <a:t>𝑛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9</xdr:col>
      <xdr:colOff>790841</xdr:colOff>
      <xdr:row>26</xdr:row>
      <xdr:rowOff>16378</xdr:rowOff>
    </xdr:from>
    <xdr:ext cx="74635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DB815B5D-0983-4083-9904-514F775EBD7B}"/>
                </a:ext>
              </a:extLst>
            </xdr:cNvPr>
            <xdr:cNvSpPr txBox="1"/>
          </xdr:nvSpPr>
          <xdr:spPr>
            <a:xfrm>
              <a:off x="11519801" y="3003418"/>
              <a:ext cx="74635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 b="0" i="1">
                        <a:latin typeface="Cambria Math" panose="02040503050406030204" pitchFamily="18" charset="0"/>
                      </a:rPr>
                      <m:t>[</m:t>
                    </m:r>
                    <m:d>
                      <m:dPr>
                        <m:ctrlPr>
                          <a:rPr lang="es-P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P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𝜏𝛼</m:t>
                        </m:r>
                      </m:e>
                    </m:d>
                    <m:sSub>
                      <m:sSubPr>
                        <m:ctrlPr>
                          <a:rPr lang="es-P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d>
                          <m:dPr>
                            <m:ctrlPr>
                              <a:rPr lang="es-PE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PE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𝜏𝛼</m:t>
                            </m:r>
                          </m:e>
                        </m:d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PE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DB815B5D-0983-4083-9904-514F775EBD7B}"/>
                </a:ext>
              </a:extLst>
            </xdr:cNvPr>
            <xdr:cNvSpPr txBox="1"/>
          </xdr:nvSpPr>
          <xdr:spPr>
            <a:xfrm>
              <a:off x="11519801" y="3003418"/>
              <a:ext cx="74635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1100" b="0" i="0">
                  <a:latin typeface="Cambria Math" panose="02040503050406030204" pitchFamily="18" charset="0"/>
                </a:rPr>
                <a:t>[</a:t>
              </a:r>
              <a:r>
                <a:rPr lang="es-P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(𝜏𝛼) (𝜏𝛼)_</a:t>
              </a:r>
              <a:r>
                <a:rPr lang="es-PE" sz="1100" b="0" i="0">
                  <a:latin typeface="Cambria Math" panose="02040503050406030204" pitchFamily="18" charset="0"/>
                </a:rPr>
                <a:t>𝑛]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9</xdr:col>
      <xdr:colOff>780159</xdr:colOff>
      <xdr:row>27</xdr:row>
      <xdr:rowOff>12818</xdr:rowOff>
    </xdr:from>
    <xdr:ext cx="39574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27C140C9-257C-47B1-B3E2-F6E6063F4D32}"/>
                </a:ext>
              </a:extLst>
            </xdr:cNvPr>
            <xdr:cNvSpPr txBox="1"/>
          </xdr:nvSpPr>
          <xdr:spPr>
            <a:xfrm>
              <a:off x="11509119" y="3190358"/>
              <a:ext cx="3957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b>
                      <m:sup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PE" sz="1100" b="0" i="1">
                        <a:latin typeface="Cambria Math" panose="02040503050406030204" pitchFamily="18" charset="0"/>
                      </a:rPr>
                      <m:t>/</m:t>
                    </m:r>
                    <m:sSub>
                      <m:sSub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b>
                    </m:sSub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27C140C9-257C-47B1-B3E2-F6E6063F4D32}"/>
                </a:ext>
              </a:extLst>
            </xdr:cNvPr>
            <xdr:cNvSpPr txBox="1"/>
          </xdr:nvSpPr>
          <xdr:spPr>
            <a:xfrm>
              <a:off x="11509119" y="3190358"/>
              <a:ext cx="3957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1100" b="0" i="0">
                  <a:latin typeface="Cambria Math" panose="02040503050406030204" pitchFamily="18" charset="0"/>
                </a:rPr>
                <a:t>𝐹_𝑅^′/𝐹_𝑅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9</xdr:col>
      <xdr:colOff>790129</xdr:colOff>
      <xdr:row>28</xdr:row>
      <xdr:rowOff>8546</xdr:rowOff>
    </xdr:from>
    <xdr:ext cx="4498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652F8887-A714-43CB-B18C-577187B70D19}"/>
                </a:ext>
              </a:extLst>
            </xdr:cNvPr>
            <xdr:cNvSpPr txBox="1"/>
          </xdr:nvSpPr>
          <xdr:spPr>
            <a:xfrm>
              <a:off x="11519089" y="3376586"/>
              <a:ext cx="4498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b>
                      <m:sup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PE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s-P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𝜏𝛼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652F8887-A714-43CB-B18C-577187B70D19}"/>
                </a:ext>
              </a:extLst>
            </xdr:cNvPr>
            <xdr:cNvSpPr txBox="1"/>
          </xdr:nvSpPr>
          <xdr:spPr>
            <a:xfrm>
              <a:off x="11519089" y="3376586"/>
              <a:ext cx="4498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1100" b="0" i="0">
                  <a:latin typeface="Cambria Math" panose="02040503050406030204" pitchFamily="18" charset="0"/>
                </a:rPr>
                <a:t>𝐹_𝑅^′ (</a:t>
              </a:r>
              <a:r>
                <a:rPr lang="es-P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𝜏𝛼</a:t>
              </a:r>
              <a:r>
                <a:rPr lang="es-PE" sz="1100" b="0" i="0">
                  <a:latin typeface="Cambria Math" panose="02040503050406030204" pitchFamily="18" charset="0"/>
                </a:rPr>
                <a:t>)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9</xdr:col>
      <xdr:colOff>776598</xdr:colOff>
      <xdr:row>29</xdr:row>
      <xdr:rowOff>5697</xdr:rowOff>
    </xdr:from>
    <xdr:ext cx="33271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CC7B3A09-8DBB-4086-8630-97A2A2C21B7E}"/>
                </a:ext>
              </a:extLst>
            </xdr:cNvPr>
            <xdr:cNvSpPr txBox="1"/>
          </xdr:nvSpPr>
          <xdr:spPr>
            <a:xfrm>
              <a:off x="11505558" y="3564237"/>
              <a:ext cx="3327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b>
                    </m:sSub>
                    <m:sSub>
                      <m:sSub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</m:sSub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CC7B3A09-8DBB-4086-8630-97A2A2C21B7E}"/>
                </a:ext>
              </a:extLst>
            </xdr:cNvPr>
            <xdr:cNvSpPr txBox="1"/>
          </xdr:nvSpPr>
          <xdr:spPr>
            <a:xfrm>
              <a:off x="11505558" y="3564237"/>
              <a:ext cx="3327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1100" b="0" i="0">
                  <a:latin typeface="Cambria Math" panose="02040503050406030204" pitchFamily="18" charset="0"/>
                </a:rPr>
                <a:t>𝐹_𝑅 𝑈_𝐿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9</xdr:col>
      <xdr:colOff>780159</xdr:colOff>
      <xdr:row>30</xdr:row>
      <xdr:rowOff>12818</xdr:rowOff>
    </xdr:from>
    <xdr:ext cx="39574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BC8AC978-9A23-4A15-85EC-498DCABE3A73}"/>
                </a:ext>
              </a:extLst>
            </xdr:cNvPr>
            <xdr:cNvSpPr txBox="1"/>
          </xdr:nvSpPr>
          <xdr:spPr>
            <a:xfrm>
              <a:off x="11509119" y="3754238"/>
              <a:ext cx="3957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b>
                      <m:sup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PE" sz="1100" b="0" i="1">
                        <a:latin typeface="Cambria Math" panose="02040503050406030204" pitchFamily="18" charset="0"/>
                      </a:rPr>
                      <m:t>/</m:t>
                    </m:r>
                    <m:sSub>
                      <m:sSub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b>
                    </m:sSub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BC8AC978-9A23-4A15-85EC-498DCABE3A73}"/>
                </a:ext>
              </a:extLst>
            </xdr:cNvPr>
            <xdr:cNvSpPr txBox="1"/>
          </xdr:nvSpPr>
          <xdr:spPr>
            <a:xfrm>
              <a:off x="11509119" y="3754238"/>
              <a:ext cx="3957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1100" b="0" i="0">
                  <a:latin typeface="Cambria Math" panose="02040503050406030204" pitchFamily="18" charset="0"/>
                </a:rPr>
                <a:t>𝐹_𝑅^′/𝐹_𝑅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9</xdr:col>
      <xdr:colOff>776598</xdr:colOff>
      <xdr:row>31</xdr:row>
      <xdr:rowOff>2135</xdr:rowOff>
    </xdr:from>
    <xdr:ext cx="33271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0A901494-219F-4255-A5D5-6F7D3348D7CA}"/>
                </a:ext>
              </a:extLst>
            </xdr:cNvPr>
            <xdr:cNvSpPr txBox="1"/>
          </xdr:nvSpPr>
          <xdr:spPr>
            <a:xfrm>
              <a:off x="11505558" y="3926435"/>
              <a:ext cx="3327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b>
                      <m:sup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sSub>
                      <m:sSub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</m:sSub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0A901494-219F-4255-A5D5-6F7D3348D7CA}"/>
                </a:ext>
              </a:extLst>
            </xdr:cNvPr>
            <xdr:cNvSpPr txBox="1"/>
          </xdr:nvSpPr>
          <xdr:spPr>
            <a:xfrm>
              <a:off x="11505558" y="3926435"/>
              <a:ext cx="3327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1100" b="0" i="0">
                  <a:latin typeface="Cambria Math" panose="02040503050406030204" pitchFamily="18" charset="0"/>
                </a:rPr>
                <a:t>𝐹_𝑅^′ 𝑈_𝐿</a:t>
              </a:r>
              <a:endParaRPr lang="es-PE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502008</xdr:colOff>
      <xdr:row>0</xdr:row>
      <xdr:rowOff>36444</xdr:rowOff>
    </xdr:from>
    <xdr:to>
      <xdr:col>17</xdr:col>
      <xdr:colOff>143868</xdr:colOff>
      <xdr:row>19</xdr:row>
      <xdr:rowOff>134592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1A54254-B840-3F2F-7C6C-3624C61A8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471777</xdr:colOff>
      <xdr:row>21</xdr:row>
      <xdr:rowOff>90115</xdr:rowOff>
    </xdr:from>
    <xdr:to>
      <xdr:col>17</xdr:col>
      <xdr:colOff>177909</xdr:colOff>
      <xdr:row>38</xdr:row>
      <xdr:rowOff>60215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AA5F3AC-3B4C-8E08-638C-BD44D8D745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47</xdr:row>
      <xdr:rowOff>149679</xdr:rowOff>
    </xdr:from>
    <xdr:to>
      <xdr:col>4</xdr:col>
      <xdr:colOff>1463180</xdr:colOff>
      <xdr:row>75</xdr:row>
      <xdr:rowOff>21656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B0CCD30-C823-C9D3-DAA7-CCE9DCBB87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654143"/>
          <a:ext cx="7660417" cy="483640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76</xdr:row>
      <xdr:rowOff>54429</xdr:rowOff>
    </xdr:from>
    <xdr:to>
      <xdr:col>4</xdr:col>
      <xdr:colOff>1314577</xdr:colOff>
      <xdr:row>91</xdr:row>
      <xdr:rowOff>17820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E4B59AF-EE4A-DF52-0A78-38B70AD0B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3688786"/>
          <a:ext cx="7504194" cy="2612974"/>
        </a:xfrm>
        <a:prstGeom prst="rect">
          <a:avLst/>
        </a:prstGeom>
      </xdr:spPr>
    </xdr:pic>
    <xdr:clientData/>
  </xdr:twoCellAnchor>
  <xdr:twoCellAnchor>
    <xdr:from>
      <xdr:col>8</xdr:col>
      <xdr:colOff>934812</xdr:colOff>
      <xdr:row>40</xdr:row>
      <xdr:rowOff>144782</xdr:rowOff>
    </xdr:from>
    <xdr:to>
      <xdr:col>15</xdr:col>
      <xdr:colOff>571500</xdr:colOff>
      <xdr:row>59</xdr:row>
      <xdr:rowOff>7621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6453398-0E09-13CB-5FD9-05262B1EA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268332</xdr:colOff>
      <xdr:row>24</xdr:row>
      <xdr:rowOff>121375</xdr:rowOff>
    </xdr:from>
    <xdr:to>
      <xdr:col>6</xdr:col>
      <xdr:colOff>600619</xdr:colOff>
      <xdr:row>40</xdr:row>
      <xdr:rowOff>36195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33E8ED1-906A-B665-3A73-2AB7FE85F9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67421</xdr:colOff>
      <xdr:row>4</xdr:row>
      <xdr:rowOff>57790</xdr:rowOff>
    </xdr:from>
    <xdr:to>
      <xdr:col>19</xdr:col>
      <xdr:colOff>1439</xdr:colOff>
      <xdr:row>19</xdr:row>
      <xdr:rowOff>108185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C9733FC-6766-F665-A3DB-DD84F5A326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07T22:57:15.00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 24575,'0'0'-8191</inkml:trace>
</inkml:ink>
</file>

<file path=xl/persons/person.xml><?xml version="1.0" encoding="utf-8"?>
<personList xmlns="http://schemas.microsoft.com/office/spreadsheetml/2018/threadedcomments" xmlns:x="http://schemas.openxmlformats.org/spreadsheetml/2006/main">
  <person displayName="Luz Estrada" id="{F78FE8DA-8966-4F17-A74F-C755544A6C3E}" userId="S::LuzEstrada@LIGHT986.onmicrosoft.com::7f45ae73-9d02-4638-b497-4307d1b915db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6" dT="2023-03-07T22:37:00.32" personId="{F78FE8DA-8966-4F17-A74F-C755544A6C3E}" id="{6409D16C-0268-4F2B-B07C-4E384E04AB54}">
    <text>Predimensionamiento del volumen de acumulación, que suele ser 75 veces el área de los captadores</text>
  </threadedComment>
  <threadedComment ref="P16" dT="2023-03-07T22:25:18.33" personId="{F78FE8DA-8966-4F17-A74F-C755544A6C3E}" id="{3D8196C1-F661-444A-A70D-C0CE5C619020}">
    <text>Factor de eficiencia óptica del captador, ordenada en origen de la curva característica del captador. Dato proporcionado por el fabricante</text>
  </threadedComment>
  <threadedComment ref="P17" dT="2023-03-07T22:28:41.66" personId="{F78FE8DA-8966-4F17-A74F-C755544A6C3E}" id="{F0EC5397-B68E-4740-BA83-D59098DE5B37}">
    <text>Modificador del ángulo de incidencia. En general se puede tomar como constante. 0.94 para superficie transparente doble. 0.96 para superficie transparente sencilla. 1.2 para tubos de vacío con absorbedor cilíndricos</text>
  </threadedComment>
  <threadedComment ref="L18" dT="2023-03-07T22:38:26.57" personId="{F78FE8DA-8966-4F17-A74F-C755544A6C3E}" id="{1B56EC91-B3C6-4CBC-900A-0C066FE90517}">
    <text>Relación entre el volumen de acumulación de ACS en litros y la superficie de los captadores en m2. Según CTE debe cumplirse que 50&lt;V/Sc&lt;180</text>
  </threadedComment>
  <threadedComment ref="P18" dT="2023-03-07T22:30:02.90" personId="{F78FE8DA-8966-4F17-A74F-C755544A6C3E}" id="{B0588406-EE8A-4F09-A8C9-736B243C991B}">
    <text xml:space="preserve">Factor de corrección del conjunto captador intercambiador. Valor usual 0.95
</text>
  </threadedComment>
  <threadedComment ref="B38" dT="2023-03-01T15:42:18.25" personId="{F78FE8DA-8966-4F17-A74F-C755544A6C3E}" id="{F32BFCE7-C0BD-40BA-8F16-29342EAB9D3A}">
    <text>Números de días por mes</text>
  </threadedComment>
  <threadedComment ref="D38" dT="2023-03-01T16:06:04.84" personId="{F78FE8DA-8966-4F17-A74F-C755544A6C3E}" id="{B287F046-7D02-4F39-8C76-470255A8A209}">
    <text>Radiacion solar diaria promedio</text>
  </threadedComment>
  <threadedComment ref="E38" dT="2023-03-01T16:30:03.52" personId="{F78FE8DA-8966-4F17-A74F-C755544A6C3E}" id="{6814D13F-356E-42A5-B5A0-5C6879B66DE7}">
    <text>Temperatura de ambiente</text>
  </threadedComment>
  <threadedComment ref="C39" dT="2023-03-01T15:44:02.90" personId="{F78FE8DA-8966-4F17-A74F-C755544A6C3E}" id="{510C51D5-5BB7-4361-A3A2-F319EEF34EA5}">
    <text>Temperatura de agua de red</text>
  </threadedComment>
  <threadedComment ref="D39" dT="2023-03-01T16:06:04.84" personId="{F78FE8DA-8966-4F17-A74F-C755544A6C3E}" id="{242401AB-4F96-4597-856B-880B62D700A7}">
    <text>Radiacion solar diaria promedio</text>
  </threadedComment>
  <threadedComment ref="E39" dT="2023-03-01T16:30:03.52" personId="{F78FE8DA-8966-4F17-A74F-C755544A6C3E}" id="{387B9694-A301-4C67-9B6C-98D44CE79462}">
    <text>Temperatura de ambiente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L26" dT="2023-03-07T22:25:18.33" personId="{F78FE8DA-8966-4F17-A74F-C755544A6C3E}" id="{4E7D3F8B-492A-4753-807D-4D7A4CD02DE1}">
    <text>Factor de eficiencia óptica del captador, ordenada en origen de la curva característica del captador. Dato proporcionado por el fabricante</text>
  </threadedComment>
  <threadedComment ref="L27" dT="2023-03-07T22:28:41.66" personId="{F78FE8DA-8966-4F17-A74F-C755544A6C3E}" id="{AE04F5D2-8B13-40EA-A896-6914D3B4CFDF}">
    <text>Modificador del ángulo de incidencia. En general se puede tomar como constante. 0.94 para superficie transparente doble. 0.96 para superficie transparente sencilla. 1.2 para tubos de vacío con absorbedor cilíndricos</text>
  </threadedComment>
  <threadedComment ref="L28" dT="2023-03-07T22:30:02.90" personId="{F78FE8DA-8966-4F17-A74F-C755544A6C3E}" id="{BA2FB039-60A1-4767-9003-FA4045FAE4FA}">
    <text xml:space="preserve">Factor de corrección del conjunto captador intercambiador. Valor usual 0.95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77FBD-505A-47A8-B255-BE98960373ED}">
  <dimension ref="A1:AA52"/>
  <sheetViews>
    <sheetView topLeftCell="A6" zoomScale="85" zoomScaleNormal="85" workbookViewId="0">
      <selection activeCell="N34" sqref="N34"/>
    </sheetView>
  </sheetViews>
  <sheetFormatPr baseColWidth="10" defaultRowHeight="14.4" x14ac:dyDescent="0.3"/>
  <cols>
    <col min="1" max="1" width="40.44140625" customWidth="1"/>
    <col min="2" max="2" width="20.109375" customWidth="1"/>
    <col min="3" max="3" width="16.109375" customWidth="1"/>
    <col min="4" max="4" width="21.109375" customWidth="1"/>
    <col min="5" max="5" width="16.5546875" customWidth="1"/>
    <col min="6" max="6" width="16.77734375" customWidth="1"/>
    <col min="7" max="7" width="29.77734375" customWidth="1"/>
    <col min="8" max="8" width="34.77734375" customWidth="1"/>
    <col min="9" max="9" width="41" customWidth="1"/>
    <col min="10" max="10" width="19.21875" customWidth="1"/>
    <col min="11" max="11" width="21.77734375" customWidth="1"/>
    <col min="12" max="12" width="15.77734375" customWidth="1"/>
    <col min="14" max="14" width="33.21875" customWidth="1"/>
    <col min="17" max="17" width="14" customWidth="1"/>
  </cols>
  <sheetData>
    <row r="1" spans="1:16" ht="15" thickBot="1" x14ac:dyDescent="0.35"/>
    <row r="2" spans="1:16" x14ac:dyDescent="0.3">
      <c r="A2" s="88" t="s">
        <v>22</v>
      </c>
      <c r="B2" s="89"/>
      <c r="C2" s="89"/>
      <c r="D2" s="89"/>
      <c r="E2" s="22">
        <v>0.94</v>
      </c>
      <c r="G2" s="88" t="s">
        <v>24</v>
      </c>
      <c r="H2" s="89"/>
      <c r="I2" s="22">
        <v>0.99199999999999999</v>
      </c>
    </row>
    <row r="3" spans="1:16" ht="15" thickBot="1" x14ac:dyDescent="0.35">
      <c r="A3" s="90" t="s">
        <v>23</v>
      </c>
      <c r="B3" s="91"/>
      <c r="C3" s="91"/>
      <c r="D3" s="91"/>
      <c r="E3" s="23">
        <v>1</v>
      </c>
      <c r="G3" s="90" t="s">
        <v>25</v>
      </c>
      <c r="H3" s="91"/>
      <c r="I3" s="23">
        <v>0.96</v>
      </c>
    </row>
    <row r="5" spans="1:16" ht="15" thickBot="1" x14ac:dyDescent="0.35"/>
    <row r="6" spans="1:16" x14ac:dyDescent="0.3">
      <c r="B6" s="92" t="s">
        <v>26</v>
      </c>
      <c r="C6" s="86"/>
      <c r="D6" s="17" t="s">
        <v>58</v>
      </c>
      <c r="E6" s="10"/>
      <c r="F6" s="85" t="s">
        <v>33</v>
      </c>
      <c r="G6" s="86"/>
      <c r="H6" s="21"/>
      <c r="I6" s="19"/>
      <c r="K6" s="9" t="s">
        <v>36</v>
      </c>
      <c r="L6" s="10">
        <v>0.69599999999999995</v>
      </c>
      <c r="M6" s="11"/>
    </row>
    <row r="7" spans="1:16" x14ac:dyDescent="0.3">
      <c r="B7" s="81" t="s">
        <v>27</v>
      </c>
      <c r="C7" s="82"/>
      <c r="D7" s="1">
        <v>-11.59</v>
      </c>
      <c r="E7" s="2" t="s">
        <v>32</v>
      </c>
      <c r="F7" s="87" t="s">
        <v>34</v>
      </c>
      <c r="G7" s="82"/>
      <c r="H7" s="6">
        <v>60</v>
      </c>
      <c r="I7" s="20" t="s">
        <v>35</v>
      </c>
      <c r="K7" s="12" t="s">
        <v>37</v>
      </c>
      <c r="L7" s="2">
        <v>4.8209999999999997</v>
      </c>
      <c r="M7" s="13" t="s">
        <v>40</v>
      </c>
    </row>
    <row r="8" spans="1:16" ht="15" thickBot="1" x14ac:dyDescent="0.35">
      <c r="B8" s="81" t="s">
        <v>28</v>
      </c>
      <c r="C8" s="82"/>
      <c r="D8" s="1">
        <v>60</v>
      </c>
      <c r="E8" s="2" t="s">
        <v>32</v>
      </c>
      <c r="F8" s="2"/>
      <c r="G8" s="2"/>
      <c r="H8" s="2"/>
      <c r="I8" s="13"/>
      <c r="K8" s="14" t="s">
        <v>38</v>
      </c>
      <c r="L8" s="15">
        <v>1.9</v>
      </c>
      <c r="M8" s="16" t="s">
        <v>39</v>
      </c>
    </row>
    <row r="9" spans="1:16" x14ac:dyDescent="0.3">
      <c r="B9" s="81" t="s">
        <v>29</v>
      </c>
      <c r="C9" s="82"/>
      <c r="D9" s="1">
        <v>15</v>
      </c>
      <c r="E9" s="2" t="s">
        <v>54</v>
      </c>
      <c r="F9" s="2"/>
      <c r="G9" s="2"/>
      <c r="H9" s="2"/>
      <c r="I9" s="13"/>
    </row>
    <row r="10" spans="1:16" x14ac:dyDescent="0.3">
      <c r="B10" s="81" t="s">
        <v>30</v>
      </c>
      <c r="C10" s="82"/>
      <c r="D10" s="1">
        <v>40</v>
      </c>
      <c r="E10" s="2" t="s">
        <v>54</v>
      </c>
      <c r="F10" s="2"/>
      <c r="G10" s="2"/>
      <c r="H10" s="2"/>
      <c r="I10" s="13"/>
    </row>
    <row r="11" spans="1:16" ht="15" thickBot="1" x14ac:dyDescent="0.35">
      <c r="B11" s="83" t="s">
        <v>31</v>
      </c>
      <c r="C11" s="84"/>
      <c r="D11" s="18">
        <f>28*28</f>
        <v>784</v>
      </c>
      <c r="E11" s="15" t="s">
        <v>55</v>
      </c>
      <c r="F11" s="15"/>
      <c r="G11" s="15"/>
      <c r="H11" s="15"/>
      <c r="I11" s="16"/>
    </row>
    <row r="14" spans="1:16" x14ac:dyDescent="0.3">
      <c r="A14" s="8" t="s">
        <v>41</v>
      </c>
      <c r="F14" s="8" t="s">
        <v>46</v>
      </c>
      <c r="J14" s="98" t="s">
        <v>51</v>
      </c>
      <c r="K14" s="98"/>
    </row>
    <row r="15" spans="1:16" ht="15" thickBot="1" x14ac:dyDescent="0.35"/>
    <row r="16" spans="1:16" x14ac:dyDescent="0.3">
      <c r="A16" s="88" t="s">
        <v>42</v>
      </c>
      <c r="B16" s="89"/>
      <c r="C16" s="10">
        <f>+L8</f>
        <v>1.9</v>
      </c>
      <c r="D16" s="11" t="s">
        <v>39</v>
      </c>
      <c r="F16" s="95" t="s">
        <v>47</v>
      </c>
      <c r="G16" s="96"/>
      <c r="H16" s="24">
        <v>12</v>
      </c>
      <c r="J16" s="88" t="s">
        <v>52</v>
      </c>
      <c r="K16" s="89"/>
      <c r="L16" s="24">
        <f>75*H17</f>
        <v>1709.9999999999998</v>
      </c>
      <c r="N16" t="s">
        <v>92</v>
      </c>
      <c r="O16" s="9"/>
      <c r="P16" s="24">
        <f>+L6</f>
        <v>0.69599999999999995</v>
      </c>
    </row>
    <row r="17" spans="1:27" ht="15" thickBot="1" x14ac:dyDescent="0.35">
      <c r="A17" s="93" t="s">
        <v>43</v>
      </c>
      <c r="B17" s="94"/>
      <c r="C17" s="27">
        <f>+D11/75</f>
        <v>10.453333333333333</v>
      </c>
      <c r="D17" s="13" t="s">
        <v>39</v>
      </c>
      <c r="F17" s="90" t="s">
        <v>48</v>
      </c>
      <c r="G17" s="91"/>
      <c r="H17" s="25">
        <f>+H16*C16</f>
        <v>22.799999999999997</v>
      </c>
      <c r="I17" t="s">
        <v>39</v>
      </c>
      <c r="J17" s="93" t="s">
        <v>53</v>
      </c>
      <c r="K17" s="94"/>
      <c r="L17" s="26">
        <v>855</v>
      </c>
      <c r="N17" t="s">
        <v>106</v>
      </c>
      <c r="O17" s="12"/>
      <c r="P17" s="26">
        <v>0.94</v>
      </c>
    </row>
    <row r="18" spans="1:27" ht="29.4" thickBot="1" x14ac:dyDescent="0.35">
      <c r="A18" s="93" t="s">
        <v>44</v>
      </c>
      <c r="B18" s="94"/>
      <c r="C18" s="28">
        <f>+C17/C16</f>
        <v>5.5017543859649125</v>
      </c>
      <c r="D18" s="13"/>
      <c r="J18" s="90" t="s">
        <v>57</v>
      </c>
      <c r="K18" s="91"/>
      <c r="L18" s="25">
        <f>+L17/H17</f>
        <v>37.500000000000007</v>
      </c>
      <c r="N18" s="55" t="s">
        <v>107</v>
      </c>
      <c r="O18" s="12"/>
      <c r="P18" s="26">
        <v>0.95</v>
      </c>
    </row>
    <row r="19" spans="1:27" ht="15" thickBot="1" x14ac:dyDescent="0.35">
      <c r="A19" s="90" t="s">
        <v>45</v>
      </c>
      <c r="B19" s="91"/>
      <c r="C19" s="29">
        <f>ROUNDUP(C18*C16,0)</f>
        <v>11</v>
      </c>
      <c r="D19" s="16" t="s">
        <v>39</v>
      </c>
      <c r="O19" s="12"/>
      <c r="P19" s="13">
        <f>+P16*P17*P18</f>
        <v>0.62152799999999986</v>
      </c>
    </row>
    <row r="20" spans="1:27" x14ac:dyDescent="0.3">
      <c r="N20" t="s">
        <v>105</v>
      </c>
      <c r="O20" s="12"/>
      <c r="P20" s="13">
        <f>+L7</f>
        <v>4.8209999999999997</v>
      </c>
      <c r="Q20" t="s">
        <v>40</v>
      </c>
    </row>
    <row r="21" spans="1:27" x14ac:dyDescent="0.3">
      <c r="O21" s="12"/>
      <c r="P21" s="26">
        <v>0.95</v>
      </c>
    </row>
    <row r="22" spans="1:27" ht="15" thickBot="1" x14ac:dyDescent="0.35">
      <c r="O22" s="14"/>
      <c r="P22" s="16">
        <f>+P21*P20*10^-3</f>
        <v>4.5799499999999993E-3</v>
      </c>
      <c r="Q22" t="s">
        <v>59</v>
      </c>
    </row>
    <row r="23" spans="1:27" x14ac:dyDescent="0.3">
      <c r="E23" s="97" t="s">
        <v>49</v>
      </c>
      <c r="F23" s="97"/>
      <c r="G23" s="97"/>
      <c r="H23" s="6" t="s">
        <v>56</v>
      </c>
    </row>
    <row r="24" spans="1:27" x14ac:dyDescent="0.3">
      <c r="E24" s="97" t="s">
        <v>50</v>
      </c>
      <c r="F24" s="97"/>
      <c r="G24" s="97"/>
      <c r="H24" s="30">
        <v>0.15</v>
      </c>
    </row>
    <row r="27" spans="1:27" x14ac:dyDescent="0.3">
      <c r="A27" s="8" t="s">
        <v>118</v>
      </c>
      <c r="E27" s="8" t="s">
        <v>128</v>
      </c>
    </row>
    <row r="28" spans="1:27" ht="18.600000000000001" thickBot="1" x14ac:dyDescent="0.35"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</row>
    <row r="29" spans="1:27" ht="16.2" customHeight="1" thickBot="1" x14ac:dyDescent="0.35">
      <c r="A29" s="9" t="s">
        <v>119</v>
      </c>
      <c r="B29" s="10" t="s">
        <v>120</v>
      </c>
      <c r="C29" s="11">
        <v>0.72819999999999996</v>
      </c>
      <c r="E29" s="71" t="s">
        <v>129</v>
      </c>
      <c r="F29" s="72">
        <v>0.41</v>
      </c>
      <c r="O29" s="44"/>
      <c r="P29" s="44"/>
      <c r="Q29" s="44"/>
      <c r="R29" s="44"/>
      <c r="S29" s="44"/>
      <c r="T29" s="44"/>
      <c r="U29" s="44"/>
    </row>
    <row r="30" spans="1:27" x14ac:dyDescent="0.3">
      <c r="A30" s="12" t="s">
        <v>121</v>
      </c>
      <c r="B30" s="2" t="s">
        <v>122</v>
      </c>
      <c r="C30" s="13">
        <f>80*4</f>
        <v>320</v>
      </c>
      <c r="O30" s="44"/>
      <c r="P30" s="44"/>
      <c r="Q30" s="44"/>
      <c r="R30" s="44"/>
      <c r="S30" s="44"/>
      <c r="T30" s="44"/>
      <c r="U30" s="44"/>
    </row>
    <row r="31" spans="1:27" x14ac:dyDescent="0.3">
      <c r="A31" s="12" t="s">
        <v>123</v>
      </c>
      <c r="B31" s="2" t="s">
        <v>124</v>
      </c>
      <c r="C31" s="13">
        <f>500*4</f>
        <v>2000</v>
      </c>
    </row>
    <row r="32" spans="1:27" x14ac:dyDescent="0.3">
      <c r="A32" s="12" t="s">
        <v>125</v>
      </c>
      <c r="B32" s="2" t="s">
        <v>126</v>
      </c>
      <c r="C32" s="13">
        <f>0.18*4</f>
        <v>0.72</v>
      </c>
    </row>
    <row r="33" spans="1:27" ht="15" thickBot="1" x14ac:dyDescent="0.35">
      <c r="A33" s="14" t="s">
        <v>127</v>
      </c>
      <c r="B33" s="15" t="s">
        <v>35</v>
      </c>
      <c r="C33" s="63">
        <v>0.12</v>
      </c>
    </row>
    <row r="37" spans="1:27" ht="18" x14ac:dyDescent="0.3">
      <c r="A37" s="4" t="s">
        <v>0</v>
      </c>
      <c r="B37" s="4">
        <v>0</v>
      </c>
      <c r="C37" s="4">
        <v>1</v>
      </c>
      <c r="D37" s="4">
        <v>2</v>
      </c>
      <c r="E37" s="4">
        <v>3</v>
      </c>
      <c r="F37" s="4">
        <v>4</v>
      </c>
      <c r="G37" s="4">
        <v>4</v>
      </c>
      <c r="H37" s="4">
        <v>5</v>
      </c>
      <c r="I37" s="4">
        <v>6</v>
      </c>
      <c r="J37" s="4">
        <v>7</v>
      </c>
      <c r="K37" s="4">
        <v>8</v>
      </c>
      <c r="L37" s="4">
        <v>9</v>
      </c>
      <c r="M37" s="4">
        <v>10</v>
      </c>
      <c r="N37" s="4">
        <v>11</v>
      </c>
      <c r="O37" s="4">
        <v>12</v>
      </c>
      <c r="P37" s="70">
        <v>13</v>
      </c>
      <c r="Q37" s="4">
        <v>14</v>
      </c>
    </row>
    <row r="38" spans="1:27" ht="43.2" x14ac:dyDescent="0.3">
      <c r="A38" s="1"/>
      <c r="B38" s="39" t="s">
        <v>83</v>
      </c>
      <c r="C38" s="39" t="s">
        <v>85</v>
      </c>
      <c r="D38" s="39" t="s">
        <v>89</v>
      </c>
      <c r="E38" s="39" t="s">
        <v>95</v>
      </c>
      <c r="F38" s="39" t="s">
        <v>108</v>
      </c>
      <c r="G38" s="3" t="s">
        <v>16</v>
      </c>
      <c r="H38" s="40" t="s">
        <v>87</v>
      </c>
      <c r="I38" s="40" t="s">
        <v>88</v>
      </c>
      <c r="J38" s="3" t="s">
        <v>98</v>
      </c>
      <c r="K38" s="40" t="s">
        <v>99</v>
      </c>
      <c r="L38" s="40" t="s">
        <v>100</v>
      </c>
      <c r="M38" s="40" t="s">
        <v>102</v>
      </c>
      <c r="N38" s="40" t="s">
        <v>109</v>
      </c>
      <c r="O38" s="40" t="s">
        <v>130</v>
      </c>
      <c r="P38" s="40" t="s">
        <v>139</v>
      </c>
      <c r="Q38" s="40" t="s">
        <v>140</v>
      </c>
    </row>
    <row r="39" spans="1:27" x14ac:dyDescent="0.3">
      <c r="A39" s="1"/>
      <c r="B39" s="37" t="s">
        <v>84</v>
      </c>
      <c r="C39" s="38" t="s">
        <v>1</v>
      </c>
      <c r="D39" s="37" t="s">
        <v>2</v>
      </c>
      <c r="E39" s="39" t="s">
        <v>3</v>
      </c>
      <c r="F39" s="39" t="s">
        <v>96</v>
      </c>
      <c r="G39" s="3" t="s">
        <v>86</v>
      </c>
      <c r="H39" s="3" t="s">
        <v>93</v>
      </c>
      <c r="I39" s="3" t="s">
        <v>94</v>
      </c>
      <c r="J39" s="3" t="s">
        <v>97</v>
      </c>
      <c r="K39" s="3" t="s">
        <v>91</v>
      </c>
      <c r="L39" s="3" t="s">
        <v>90</v>
      </c>
      <c r="M39" s="56" t="s">
        <v>103</v>
      </c>
      <c r="N39" s="59"/>
      <c r="O39" s="3" t="s">
        <v>131</v>
      </c>
      <c r="P39" s="3" t="s">
        <v>124</v>
      </c>
      <c r="Q39" s="3" t="s">
        <v>124</v>
      </c>
    </row>
    <row r="40" spans="1:27" x14ac:dyDescent="0.3">
      <c r="A40" s="1" t="s">
        <v>4</v>
      </c>
      <c r="B40" s="41">
        <v>31</v>
      </c>
      <c r="C40" s="42">
        <v>12.53</v>
      </c>
      <c r="D40" s="7">
        <v>7.8</v>
      </c>
      <c r="E40" s="39">
        <v>9</v>
      </c>
      <c r="F40" s="7">
        <v>8</v>
      </c>
      <c r="G40" s="36">
        <f t="shared" ref="G40:G51" si="0">4187*$D$11*B40*($D$8-C40)*10^-6</f>
        <v>4830.5874545599991</v>
      </c>
      <c r="H40" s="36">
        <f>+$P$20*$P$18*(100-E40)*3600*F40*B40*$H$17/(G40*10^6)</f>
        <v>1.756269699272168</v>
      </c>
      <c r="I40" s="36">
        <f>$P$16*$P$18*$P$17*D40*10^6*B40*$H$17/(G40*10^6)</f>
        <v>0.70933582247546878</v>
      </c>
      <c r="J40" s="52">
        <f t="shared" ref="J40:J51" si="1">1.029*I40-0.065*H40-0.245*I40^2+0.0018*H40^2+0.0215*I40^3</f>
        <v>0.50570107134832876</v>
      </c>
      <c r="K40" s="47">
        <f t="shared" ref="K40:K51" si="2">+J40*G40</f>
        <v>2442.833251012788</v>
      </c>
      <c r="L40" s="51">
        <f>+K40/(D40*$H$17*B40)</f>
        <v>0.44310094811805978</v>
      </c>
      <c r="M40" s="57">
        <f>+(G40-K40)*0.77*0.2777</f>
        <v>510.57109359029658</v>
      </c>
      <c r="N40" s="58">
        <f>+G40*0.277*$C$29-$C$33*(($C$30+$C$32*$L$18)*$H$17+$C$31)</f>
        <v>-215.00744171826602</v>
      </c>
      <c r="O40" s="2">
        <f>+(G40-K40)*$F$29</f>
        <v>978.97922345435654</v>
      </c>
      <c r="P40" s="2">
        <f>+(($C$30+$C$32*$L$18)*$H$17+$C$31)</f>
        <v>9911.5999999999985</v>
      </c>
      <c r="Q40" s="2">
        <f>+K40*J40*$C$29*0.277</f>
        <v>249.18284511384445</v>
      </c>
    </row>
    <row r="41" spans="1:27" x14ac:dyDescent="0.3">
      <c r="A41" s="1" t="s">
        <v>5</v>
      </c>
      <c r="B41" s="41">
        <v>28</v>
      </c>
      <c r="C41" s="42">
        <v>12.58</v>
      </c>
      <c r="D41" s="7">
        <v>10.8</v>
      </c>
      <c r="E41" s="7">
        <v>10</v>
      </c>
      <c r="F41" s="7">
        <v>7</v>
      </c>
      <c r="G41" s="36">
        <f t="shared" si="0"/>
        <v>4358.51559808</v>
      </c>
      <c r="H41" s="36">
        <f>+$P$20*$P$18*(100-E41)*3600*F41*B41*$H$17/(G41*10^6)</f>
        <v>1.5214513180499307</v>
      </c>
      <c r="I41" s="36">
        <f t="shared" ref="I41:I51" si="3">$P$16*$P$18*$P$17*D41*10^6*B41*$H$17/(G41*10^6)</f>
        <v>0.98319288659830195</v>
      </c>
      <c r="J41" s="52">
        <f t="shared" si="1"/>
        <v>0.7005781472474516</v>
      </c>
      <c r="K41" s="47">
        <f t="shared" si="2"/>
        <v>3053.4807824520049</v>
      </c>
      <c r="L41" s="51">
        <f t="shared" ref="L41:L51" si="4">+K41/(D41*$H$17*B41)</f>
        <v>0.44287234034913747</v>
      </c>
      <c r="M41" s="57">
        <f t="shared" ref="M41:M51" si="5">+(G41-K41)*0.77*0.2777</f>
        <v>279.05428959091859</v>
      </c>
      <c r="N41" s="58">
        <f t="shared" ref="N41:N51" si="6">+G41*0.277*$C$29-$C$33*(($C$30+$C$32*$L$18)*$H$17+$C$31)</f>
        <v>-310.22971678944577</v>
      </c>
      <c r="O41" s="2">
        <f t="shared" ref="O41:O51" si="7">+(G41-K41)*$F$29</f>
        <v>535.06427440747802</v>
      </c>
      <c r="P41" s="2">
        <f t="shared" ref="P41:P51" si="8">+(($C$30+$C$32*$L$18)*$H$17+$C$31)</f>
        <v>9911.5999999999985</v>
      </c>
      <c r="Q41" s="2">
        <f t="shared" ref="Q41:Q51" si="9">+K41*J41*$C$29*0.277</f>
        <v>431.50141199263408</v>
      </c>
    </row>
    <row r="42" spans="1:27" x14ac:dyDescent="0.3">
      <c r="A42" s="1" t="s">
        <v>6</v>
      </c>
      <c r="B42" s="41">
        <v>31</v>
      </c>
      <c r="C42" s="42">
        <v>12.55</v>
      </c>
      <c r="D42" s="7">
        <v>15.2</v>
      </c>
      <c r="E42" s="7">
        <v>13</v>
      </c>
      <c r="F42" s="7">
        <v>9</v>
      </c>
      <c r="G42" s="36">
        <f t="shared" si="0"/>
        <v>4828.5522375999999</v>
      </c>
      <c r="H42" s="36">
        <f>+$P$20*$P$18*(100-E42)*3600*F42*B42*$H$17/(G42*10^6)</f>
        <v>1.8897510975967824</v>
      </c>
      <c r="I42" s="36">
        <f t="shared" si="3"/>
        <v>1.3828780813602433</v>
      </c>
      <c r="J42" s="52">
        <f t="shared" si="1"/>
        <v>0.89490743440228904</v>
      </c>
      <c r="K42" s="47">
        <f t="shared" si="2"/>
        <v>4321.107294828048</v>
      </c>
      <c r="L42" s="51">
        <f t="shared" si="4"/>
        <v>0.40221190529108664</v>
      </c>
      <c r="M42" s="57">
        <f t="shared" si="5"/>
        <v>108.5064446679837</v>
      </c>
      <c r="N42" s="58">
        <f t="shared" si="6"/>
        <v>-215.41796818057117</v>
      </c>
      <c r="O42" s="2">
        <f t="shared" si="7"/>
        <v>208.05242653650026</v>
      </c>
      <c r="P42" s="2">
        <f t="shared" si="8"/>
        <v>9911.5999999999985</v>
      </c>
      <c r="Q42" s="2">
        <f t="shared" si="9"/>
        <v>780.01617706929255</v>
      </c>
    </row>
    <row r="43" spans="1:27" x14ac:dyDescent="0.3">
      <c r="A43" s="1" t="s">
        <v>7</v>
      </c>
      <c r="B43" s="41">
        <v>30</v>
      </c>
      <c r="C43" s="42">
        <v>12.35</v>
      </c>
      <c r="D43" s="7">
        <v>18.5</v>
      </c>
      <c r="E43" s="7">
        <v>16</v>
      </c>
      <c r="F43" s="7">
        <v>5</v>
      </c>
      <c r="G43" s="36">
        <f t="shared" si="0"/>
        <v>4692.4881359999999</v>
      </c>
      <c r="H43" s="36">
        <f>+$P$20*$P$18*(100-E43)*3600*F43*B43*$H$17/(G43*10^6)</f>
        <v>1.0094049877849278</v>
      </c>
      <c r="I43" s="36">
        <f>$P$16*$P$18*$P$17*D43*10^6*B43*$H$17/(G43*10^6)</f>
        <v>1.6760437286271272</v>
      </c>
      <c r="J43" s="52">
        <f t="shared" si="1"/>
        <v>1.0738632216554704</v>
      </c>
      <c r="K43" s="47">
        <f t="shared" si="2"/>
        <v>5039.0904273050328</v>
      </c>
      <c r="L43" s="51">
        <f>+K43/(D43*$H$17*B43)</f>
        <v>0.39822114962107108</v>
      </c>
      <c r="M43" s="57">
        <f t="shared" si="5"/>
        <v>-74.113621347463862</v>
      </c>
      <c r="N43" s="58">
        <f t="shared" si="6"/>
        <v>-242.86364860404933</v>
      </c>
      <c r="O43" s="2">
        <f t="shared" si="7"/>
        <v>-142.10693943506345</v>
      </c>
      <c r="P43" s="2">
        <f t="shared" si="8"/>
        <v>9911.5999999999985</v>
      </c>
      <c r="Q43" s="2">
        <f t="shared" si="9"/>
        <v>1091.5196644428565</v>
      </c>
      <c r="AA43" s="46"/>
    </row>
    <row r="44" spans="1:27" x14ac:dyDescent="0.3">
      <c r="A44" s="1" t="s">
        <v>8</v>
      </c>
      <c r="B44" s="41">
        <v>31</v>
      </c>
      <c r="C44" s="42">
        <v>11.37</v>
      </c>
      <c r="D44" s="7">
        <v>21.9</v>
      </c>
      <c r="E44" s="7">
        <v>18</v>
      </c>
      <c r="F44" s="7">
        <v>8</v>
      </c>
      <c r="G44" s="36">
        <f t="shared" si="0"/>
        <v>4948.6300382400004</v>
      </c>
      <c r="H44" s="36">
        <f t="shared" ref="H44:H51" si="10">+$P$20*$P$18*(100-E44)*3600*F44*B44*$H$17/(G44*10^6)</f>
        <v>1.5448226584695113</v>
      </c>
      <c r="I44" s="36">
        <f t="shared" si="3"/>
        <v>1.9440900037824596</v>
      </c>
      <c r="J44" s="52">
        <f t="shared" si="1"/>
        <v>1.1363514518651778</v>
      </c>
      <c r="K44" s="47">
        <f t="shared" si="2"/>
        <v>5623.3829286976552</v>
      </c>
      <c r="L44" s="51">
        <f t="shared" si="4"/>
        <v>0.36329297707447655</v>
      </c>
      <c r="M44" s="57">
        <f t="shared" si="5"/>
        <v>-144.28173581366985</v>
      </c>
      <c r="N44" s="58">
        <f>+G44*0.277*$C$29-$C$33*(($C$30+$C$32*$L$18)*$H$17+$C$31)</f>
        <v>-191.19690690455582</v>
      </c>
      <c r="O44" s="2">
        <f t="shared" si="7"/>
        <v>-276.64868508763846</v>
      </c>
      <c r="P44" s="2">
        <f t="shared" si="8"/>
        <v>9911.5999999999985</v>
      </c>
      <c r="Q44" s="2">
        <f t="shared" si="9"/>
        <v>1288.9639555767521</v>
      </c>
    </row>
    <row r="45" spans="1:27" x14ac:dyDescent="0.3">
      <c r="A45" s="1" t="s">
        <v>9</v>
      </c>
      <c r="B45" s="41">
        <v>30</v>
      </c>
      <c r="C45" s="42">
        <v>10.35</v>
      </c>
      <c r="D45" s="7">
        <v>24.8</v>
      </c>
      <c r="E45" s="7">
        <v>24</v>
      </c>
      <c r="F45" s="7">
        <v>7</v>
      </c>
      <c r="G45" s="36">
        <f t="shared" si="0"/>
        <v>4889.4446159999998</v>
      </c>
      <c r="H45" s="36">
        <f t="shared" si="10"/>
        <v>1.2270759391622481</v>
      </c>
      <c r="I45" s="36">
        <f t="shared" si="3"/>
        <v>2.15629884324678</v>
      </c>
      <c r="J45" s="52">
        <f t="shared" si="1"/>
        <v>1.2181823873146906</v>
      </c>
      <c r="K45" s="47">
        <f t="shared" si="2"/>
        <v>5956.2353149618402</v>
      </c>
      <c r="L45" s="51">
        <f t="shared" si="4"/>
        <v>0.35112686963319661</v>
      </c>
      <c r="M45" s="57">
        <f t="shared" si="5"/>
        <v>-228.1107883683114</v>
      </c>
      <c r="N45" s="58">
        <f>+G45*0.277*$C$29-$C$33*(($C$30+$C$32*$L$18)*$H$17+$C$31)</f>
        <v>-203.13528128417749</v>
      </c>
      <c r="O45" s="2">
        <f t="shared" si="7"/>
        <v>-437.38418657435454</v>
      </c>
      <c r="P45" s="2">
        <f t="shared" si="8"/>
        <v>9911.5999999999985</v>
      </c>
      <c r="Q45" s="2">
        <f t="shared" si="9"/>
        <v>1463.5737346047081</v>
      </c>
    </row>
    <row r="46" spans="1:27" x14ac:dyDescent="0.3">
      <c r="A46" s="1" t="s">
        <v>10</v>
      </c>
      <c r="B46" s="41">
        <v>31</v>
      </c>
      <c r="C46" s="42">
        <v>9.93</v>
      </c>
      <c r="D46" s="7">
        <v>26.7</v>
      </c>
      <c r="E46" s="7">
        <v>27</v>
      </c>
      <c r="F46" s="7">
        <v>8</v>
      </c>
      <c r="G46" s="36">
        <f t="shared" si="0"/>
        <v>5095.1656593599992</v>
      </c>
      <c r="H46" s="36">
        <f t="shared" si="10"/>
        <v>1.3357165795545218</v>
      </c>
      <c r="I46" s="36">
        <f t="shared" si="3"/>
        <v>2.3020258275867902</v>
      </c>
      <c r="J46" s="52">
        <f t="shared" si="1"/>
        <v>1.2491226670621487</v>
      </c>
      <c r="K46" s="47">
        <f t="shared" si="2"/>
        <v>6364.4869175432332</v>
      </c>
      <c r="L46" s="51">
        <f t="shared" si="4"/>
        <v>0.33725282475551749</v>
      </c>
      <c r="M46" s="57">
        <f t="shared" si="5"/>
        <v>-271.41769531606275</v>
      </c>
      <c r="N46" s="58">
        <f t="shared" si="6"/>
        <v>-161.63900161857123</v>
      </c>
      <c r="O46" s="2">
        <f t="shared" si="7"/>
        <v>-520.42171585512597</v>
      </c>
      <c r="P46" s="2">
        <f t="shared" si="8"/>
        <v>9911.5999999999985</v>
      </c>
      <c r="Q46" s="2">
        <f t="shared" si="9"/>
        <v>1603.6106471522733</v>
      </c>
      <c r="X46" s="8"/>
      <c r="Y46" s="8"/>
    </row>
    <row r="47" spans="1:27" x14ac:dyDescent="0.3">
      <c r="A47" s="1" t="s">
        <v>11</v>
      </c>
      <c r="B47" s="41">
        <v>31</v>
      </c>
      <c r="C47" s="42">
        <v>10.96</v>
      </c>
      <c r="D47" s="7">
        <v>23.6</v>
      </c>
      <c r="E47" s="7">
        <v>27</v>
      </c>
      <c r="F47" s="7">
        <v>9</v>
      </c>
      <c r="G47" s="36">
        <f t="shared" si="0"/>
        <v>4990.3519859199996</v>
      </c>
      <c r="H47" s="36">
        <f t="shared" si="10"/>
        <v>1.534242358902564</v>
      </c>
      <c r="I47" s="36">
        <f t="shared" si="3"/>
        <v>2.0774857971323457</v>
      </c>
      <c r="J47" s="52">
        <f t="shared" si="1"/>
        <v>1.1776129384564911</v>
      </c>
      <c r="K47" s="47">
        <f t="shared" si="2"/>
        <v>5876.7030660714363</v>
      </c>
      <c r="L47" s="51">
        <f t="shared" si="4"/>
        <v>0.35231018927941149</v>
      </c>
      <c r="M47" s="57">
        <f t="shared" si="5"/>
        <v>-189.52756511770158</v>
      </c>
      <c r="N47" s="58">
        <f t="shared" si="6"/>
        <v>-182.7811144272963</v>
      </c>
      <c r="O47" s="2">
        <f t="shared" si="7"/>
        <v>-363.40394286208902</v>
      </c>
      <c r="P47" s="2">
        <f t="shared" si="8"/>
        <v>9911.5999999999985</v>
      </c>
      <c r="Q47" s="2">
        <f t="shared" si="9"/>
        <v>1395.9400253667077</v>
      </c>
      <c r="X47" s="8"/>
      <c r="Y47" s="8"/>
    </row>
    <row r="48" spans="1:27" x14ac:dyDescent="0.3">
      <c r="A48" s="1" t="s">
        <v>12</v>
      </c>
      <c r="B48" s="41">
        <v>30</v>
      </c>
      <c r="C48" s="42">
        <v>12.09</v>
      </c>
      <c r="D48" s="7">
        <v>18.8</v>
      </c>
      <c r="E48" s="7">
        <v>24</v>
      </c>
      <c r="F48" s="7">
        <v>9</v>
      </c>
      <c r="G48" s="36">
        <f t="shared" si="0"/>
        <v>4718.092478399999</v>
      </c>
      <c r="H48" s="36">
        <f t="shared" si="10"/>
        <v>1.6349670018625722</v>
      </c>
      <c r="I48" s="36">
        <f t="shared" si="3"/>
        <v>1.6939796950123298</v>
      </c>
      <c r="J48" s="52">
        <f t="shared" si="1"/>
        <v>1.0431111505985731</v>
      </c>
      <c r="K48" s="47">
        <f t="shared" si="2"/>
        <v>4921.4948737742961</v>
      </c>
      <c r="L48" s="51">
        <f t="shared" si="4"/>
        <v>0.38272169915502491</v>
      </c>
      <c r="M48" s="57">
        <f t="shared" si="5"/>
        <v>-43.49333080049059</v>
      </c>
      <c r="N48" s="58">
        <f t="shared" si="6"/>
        <v>-237.69896085246626</v>
      </c>
      <c r="O48" s="2">
        <f t="shared" si="7"/>
        <v>-83.394982103461828</v>
      </c>
      <c r="P48" s="2">
        <f t="shared" si="8"/>
        <v>9911.5999999999985</v>
      </c>
      <c r="Q48" s="2">
        <f t="shared" si="9"/>
        <v>1035.5189923907553</v>
      </c>
      <c r="X48" s="8"/>
      <c r="Y48" s="8"/>
      <c r="Z48" s="48"/>
    </row>
    <row r="49" spans="1:26" x14ac:dyDescent="0.3">
      <c r="A49" s="1" t="s">
        <v>13</v>
      </c>
      <c r="B49" s="41">
        <v>31</v>
      </c>
      <c r="C49" s="42">
        <v>13.21</v>
      </c>
      <c r="D49" s="7">
        <v>12.9</v>
      </c>
      <c r="E49" s="7">
        <v>18</v>
      </c>
      <c r="F49" s="7">
        <v>10</v>
      </c>
      <c r="G49" s="36">
        <f t="shared" si="0"/>
        <v>4761.3900779200003</v>
      </c>
      <c r="H49" s="36">
        <f t="shared" si="10"/>
        <v>2.0069653206179834</v>
      </c>
      <c r="I49" s="36">
        <f t="shared" si="3"/>
        <v>1.1901814771361006</v>
      </c>
      <c r="J49" s="52">
        <f t="shared" si="1"/>
        <v>0.7906914012509898</v>
      </c>
      <c r="K49" s="47">
        <f t="shared" si="2"/>
        <v>3764.7901926131244</v>
      </c>
      <c r="L49" s="51">
        <f t="shared" si="4"/>
        <v>0.41290916946485806</v>
      </c>
      <c r="M49" s="57">
        <f t="shared" si="5"/>
        <v>213.10195687528397</v>
      </c>
      <c r="N49" s="58">
        <f t="shared" si="6"/>
        <v>-228.96534143664735</v>
      </c>
      <c r="O49" s="2">
        <f t="shared" si="7"/>
        <v>408.60595297581909</v>
      </c>
      <c r="P49" s="2">
        <f t="shared" si="8"/>
        <v>9911.5999999999985</v>
      </c>
      <c r="Q49" s="2">
        <f t="shared" si="9"/>
        <v>600.45192023288769</v>
      </c>
      <c r="X49" s="8"/>
      <c r="Y49" s="8"/>
      <c r="Z49" s="49"/>
    </row>
    <row r="50" spans="1:26" x14ac:dyDescent="0.3">
      <c r="A50" s="1" t="s">
        <v>14</v>
      </c>
      <c r="B50" s="41">
        <v>30</v>
      </c>
      <c r="C50" s="42">
        <v>13.27</v>
      </c>
      <c r="D50" s="7">
        <v>9.6</v>
      </c>
      <c r="E50" s="7">
        <v>13</v>
      </c>
      <c r="F50" s="7">
        <v>10</v>
      </c>
      <c r="G50" s="36">
        <f t="shared" si="0"/>
        <v>4601.8881552000003</v>
      </c>
      <c r="H50" s="36">
        <f t="shared" si="10"/>
        <v>2.1320752688248641</v>
      </c>
      <c r="I50" s="36">
        <f t="shared" si="3"/>
        <v>0.88685368300147815</v>
      </c>
      <c r="J50" s="52">
        <f t="shared" si="1"/>
        <v>0.6044717261093161</v>
      </c>
      <c r="K50" s="47">
        <f t="shared" si="2"/>
        <v>2781.7112765357606</v>
      </c>
      <c r="L50" s="51">
        <f t="shared" si="4"/>
        <v>0.42362805746463222</v>
      </c>
      <c r="M50" s="57">
        <f t="shared" si="5"/>
        <v>389.20660178789575</v>
      </c>
      <c r="N50" s="58">
        <f t="shared" si="6"/>
        <v>-261.13869757119051</v>
      </c>
      <c r="O50" s="2">
        <f t="shared" si="7"/>
        <v>746.27252025233827</v>
      </c>
      <c r="P50" s="2">
        <f t="shared" si="8"/>
        <v>9911.5999999999985</v>
      </c>
      <c r="Q50" s="2">
        <f t="shared" si="9"/>
        <v>339.17082397204734</v>
      </c>
    </row>
    <row r="51" spans="1:26" x14ac:dyDescent="0.3">
      <c r="A51" s="1" t="s">
        <v>15</v>
      </c>
      <c r="B51" s="41">
        <v>31</v>
      </c>
      <c r="C51" s="42">
        <v>13.24</v>
      </c>
      <c r="D51" s="7">
        <v>7.1</v>
      </c>
      <c r="E51" s="7">
        <v>9</v>
      </c>
      <c r="F51" s="7">
        <v>10</v>
      </c>
      <c r="G51" s="36">
        <f t="shared" si="0"/>
        <v>4758.3372524799997</v>
      </c>
      <c r="H51" s="36">
        <f t="shared" si="10"/>
        <v>2.2286709426980806</v>
      </c>
      <c r="I51" s="36">
        <f t="shared" si="3"/>
        <v>0.65548139325652155</v>
      </c>
      <c r="J51" s="52">
        <f t="shared" si="1"/>
        <v>0.43935668647488629</v>
      </c>
      <c r="K51" s="47">
        <f t="shared" si="2"/>
        <v>2090.6072883796269</v>
      </c>
      <c r="L51" s="51">
        <f t="shared" si="4"/>
        <v>0.41659837402050648</v>
      </c>
      <c r="M51" s="57">
        <f t="shared" si="5"/>
        <v>570.43803049361861</v>
      </c>
      <c r="N51" s="58">
        <f t="shared" si="6"/>
        <v>-229.58113113010552</v>
      </c>
      <c r="O51" s="2">
        <f t="shared" si="7"/>
        <v>1093.7692852811529</v>
      </c>
      <c r="P51" s="2">
        <f t="shared" si="8"/>
        <v>9911.5999999999985</v>
      </c>
      <c r="Q51" s="2">
        <f t="shared" si="9"/>
        <v>185.27641723726336</v>
      </c>
    </row>
    <row r="52" spans="1:26" x14ac:dyDescent="0.3">
      <c r="B52" s="34"/>
      <c r="C52" s="34"/>
      <c r="D52" s="34"/>
      <c r="E52" s="34"/>
      <c r="G52" s="43">
        <f>+SUM(G40:G51)</f>
        <v>57473.443689760003</v>
      </c>
      <c r="H52" s="34"/>
      <c r="J52" s="53">
        <f>+K52/G52</f>
        <v>0.90887060632981842</v>
      </c>
      <c r="K52" s="50">
        <f>+SUM(K40:K51)</f>
        <v>52235.923614174848</v>
      </c>
      <c r="L52" s="54">
        <f>+K52/(AVERAGE(D40:D51)*365*H17)</f>
        <v>0.38099225165958533</v>
      </c>
      <c r="M52" s="8">
        <f>+SUM(M40:M51)</f>
        <v>1119.9336802422972</v>
      </c>
      <c r="N52" s="5">
        <f>+SUM(N40:N51)</f>
        <v>-2679.6552105173428</v>
      </c>
      <c r="O52" s="31">
        <f>+SUM(O40:O51)</f>
        <v>2147.3832309899117</v>
      </c>
      <c r="P52" s="2"/>
      <c r="Q52" s="2">
        <f>+SUM(Q40:Q51)</f>
        <v>10464.726615152022</v>
      </c>
    </row>
  </sheetData>
  <mergeCells count="24">
    <mergeCell ref="E24:G24"/>
    <mergeCell ref="J18:K18"/>
    <mergeCell ref="J14:K14"/>
    <mergeCell ref="J16:K16"/>
    <mergeCell ref="J17:K17"/>
    <mergeCell ref="E23:G23"/>
    <mergeCell ref="A16:B16"/>
    <mergeCell ref="A17:B17"/>
    <mergeCell ref="A18:B18"/>
    <mergeCell ref="A19:B19"/>
    <mergeCell ref="F16:G16"/>
    <mergeCell ref="F17:G17"/>
    <mergeCell ref="A2:D2"/>
    <mergeCell ref="A3:D3"/>
    <mergeCell ref="G2:H2"/>
    <mergeCell ref="G3:H3"/>
    <mergeCell ref="B6:C6"/>
    <mergeCell ref="B8:C8"/>
    <mergeCell ref="B9:C9"/>
    <mergeCell ref="B10:C10"/>
    <mergeCell ref="B11:C11"/>
    <mergeCell ref="F6:G6"/>
    <mergeCell ref="F7:G7"/>
    <mergeCell ref="B7:C7"/>
  </mergeCells>
  <conditionalFormatting sqref="J52">
    <cfRule type="cellIs" dxfId="3" priority="3" operator="lessThan">
      <formula>0.6</formula>
    </cfRule>
    <cfRule type="cellIs" dxfId="2" priority="4" operator="greaterThanOrEqual">
      <formula>60%</formula>
    </cfRule>
  </conditionalFormatting>
  <conditionalFormatting sqref="L52">
    <cfRule type="cellIs" dxfId="1" priority="1" operator="lessThan">
      <formula>0.3</formula>
    </cfRule>
    <cfRule type="cellIs" dxfId="0" priority="2" operator="greaterThan">
      <formula>0.3</formula>
    </cfRule>
  </conditionalFormatting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9732E-8255-45B3-943E-5A3631F5C068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1E0EF-BC42-4315-A9AA-0E141C9F8D8F}">
  <dimension ref="A1:G14"/>
  <sheetViews>
    <sheetView zoomScale="130" zoomScaleNormal="130" workbookViewId="0">
      <selection activeCell="B7" sqref="B7:B8"/>
    </sheetView>
  </sheetViews>
  <sheetFormatPr baseColWidth="10" defaultRowHeight="14.4" x14ac:dyDescent="0.3"/>
  <cols>
    <col min="2" max="2" width="22.88671875" customWidth="1"/>
  </cols>
  <sheetData>
    <row r="1" spans="1:7" x14ac:dyDescent="0.3">
      <c r="B1" s="101"/>
      <c r="C1" s="102" t="s">
        <v>155</v>
      </c>
      <c r="D1" s="102"/>
      <c r="E1" s="102" t="s">
        <v>156</v>
      </c>
      <c r="F1" s="102"/>
      <c r="G1" s="102"/>
    </row>
    <row r="2" spans="1:7" x14ac:dyDescent="0.3">
      <c r="B2" s="101"/>
      <c r="C2" s="79" t="s">
        <v>153</v>
      </c>
      <c r="D2" s="79" t="s">
        <v>154</v>
      </c>
      <c r="E2" s="103" t="s">
        <v>161</v>
      </c>
      <c r="F2" s="103"/>
      <c r="G2" s="79" t="s">
        <v>154</v>
      </c>
    </row>
    <row r="3" spans="1:7" x14ac:dyDescent="0.3">
      <c r="A3" s="99">
        <v>1</v>
      </c>
      <c r="B3" s="100" t="s">
        <v>157</v>
      </c>
      <c r="C3" s="101">
        <v>7.38</v>
      </c>
      <c r="D3" s="101">
        <v>4.46</v>
      </c>
      <c r="E3" s="2">
        <v>785</v>
      </c>
      <c r="F3" s="2">
        <v>1872.23</v>
      </c>
      <c r="G3" s="101">
        <v>1589.45</v>
      </c>
    </row>
    <row r="4" spans="1:7" x14ac:dyDescent="0.3">
      <c r="A4" s="99"/>
      <c r="B4" s="100"/>
      <c r="C4" s="101"/>
      <c r="D4" s="101"/>
      <c r="E4" s="101">
        <v>2657.66</v>
      </c>
      <c r="F4" s="101"/>
      <c r="G4" s="101"/>
    </row>
    <row r="5" spans="1:7" x14ac:dyDescent="0.3">
      <c r="A5" s="99">
        <v>2</v>
      </c>
      <c r="B5" s="100" t="s">
        <v>158</v>
      </c>
      <c r="C5" s="101">
        <v>6.68</v>
      </c>
      <c r="D5" s="101">
        <v>0</v>
      </c>
      <c r="E5" s="2">
        <v>2477.54</v>
      </c>
      <c r="F5" s="2">
        <v>1872.23</v>
      </c>
      <c r="G5" s="101">
        <v>0</v>
      </c>
    </row>
    <row r="6" spans="1:7" x14ac:dyDescent="0.3">
      <c r="A6" s="99"/>
      <c r="B6" s="100"/>
      <c r="C6" s="101"/>
      <c r="D6" s="101"/>
      <c r="E6" s="101">
        <v>4349.78</v>
      </c>
      <c r="F6" s="101"/>
      <c r="G6" s="101"/>
    </row>
    <row r="7" spans="1:7" x14ac:dyDescent="0.3">
      <c r="A7" s="99">
        <v>3</v>
      </c>
      <c r="B7" s="100" t="s">
        <v>159</v>
      </c>
      <c r="C7" s="101">
        <v>21.56</v>
      </c>
      <c r="D7" s="101">
        <v>9.42</v>
      </c>
      <c r="E7" s="2">
        <v>21183.8</v>
      </c>
      <c r="F7" s="2">
        <v>1877.62</v>
      </c>
      <c r="G7" s="101">
        <v>8565.36</v>
      </c>
    </row>
    <row r="8" spans="1:7" x14ac:dyDescent="0.3">
      <c r="A8" s="99"/>
      <c r="B8" s="100"/>
      <c r="C8" s="101"/>
      <c r="D8" s="101"/>
      <c r="E8" s="101">
        <v>23061.599999999999</v>
      </c>
      <c r="F8" s="101"/>
      <c r="G8" s="101"/>
    </row>
    <row r="9" spans="1:7" x14ac:dyDescent="0.3">
      <c r="A9" s="99">
        <v>4</v>
      </c>
      <c r="B9" s="100" t="s">
        <v>160</v>
      </c>
      <c r="C9" s="101">
        <v>6.68</v>
      </c>
      <c r="D9" s="101">
        <v>0.8</v>
      </c>
      <c r="E9" s="2">
        <v>2058.61</v>
      </c>
      <c r="F9" s="2">
        <v>1872.33</v>
      </c>
      <c r="G9" s="101">
        <v>2.77</v>
      </c>
    </row>
    <row r="10" spans="1:7" x14ac:dyDescent="0.3">
      <c r="A10" s="99"/>
      <c r="B10" s="100"/>
      <c r="C10" s="101"/>
      <c r="D10" s="101"/>
      <c r="E10" s="101">
        <v>3930.88</v>
      </c>
      <c r="F10" s="101"/>
      <c r="G10" s="101"/>
    </row>
    <row r="11" spans="1:7" x14ac:dyDescent="0.3">
      <c r="A11" s="99">
        <v>5</v>
      </c>
      <c r="B11" s="100" t="s">
        <v>167</v>
      </c>
      <c r="C11" s="101">
        <v>6.68</v>
      </c>
      <c r="D11" s="101">
        <v>0</v>
      </c>
      <c r="E11" s="2">
        <v>2477.54</v>
      </c>
      <c r="F11" s="2">
        <v>1872.23</v>
      </c>
      <c r="G11" s="101">
        <v>0</v>
      </c>
    </row>
    <row r="12" spans="1:7" x14ac:dyDescent="0.3">
      <c r="A12" s="99"/>
      <c r="B12" s="100"/>
      <c r="C12" s="101"/>
      <c r="D12" s="101"/>
      <c r="E12" s="101">
        <v>4349.78</v>
      </c>
      <c r="F12" s="101"/>
      <c r="G12" s="101"/>
    </row>
    <row r="13" spans="1:7" x14ac:dyDescent="0.3">
      <c r="A13" s="99">
        <v>6</v>
      </c>
      <c r="B13" s="100" t="s">
        <v>168</v>
      </c>
      <c r="C13" s="101">
        <v>21.56</v>
      </c>
      <c r="D13" s="101">
        <v>9.42</v>
      </c>
      <c r="E13" s="2">
        <v>21183.8</v>
      </c>
      <c r="F13" s="2">
        <v>1877.62</v>
      </c>
      <c r="G13" s="101">
        <v>8565.36</v>
      </c>
    </row>
    <row r="14" spans="1:7" x14ac:dyDescent="0.3">
      <c r="A14" s="99"/>
      <c r="B14" s="100"/>
      <c r="C14" s="101"/>
      <c r="D14" s="101"/>
      <c r="E14" s="101">
        <v>23061.599999999999</v>
      </c>
      <c r="F14" s="101"/>
      <c r="G14" s="101"/>
    </row>
  </sheetData>
  <mergeCells count="40">
    <mergeCell ref="B1:B2"/>
    <mergeCell ref="B3:B4"/>
    <mergeCell ref="B5:B6"/>
    <mergeCell ref="B7:B8"/>
    <mergeCell ref="B9:B10"/>
    <mergeCell ref="G5:G6"/>
    <mergeCell ref="A9:A10"/>
    <mergeCell ref="C9:C10"/>
    <mergeCell ref="D9:D10"/>
    <mergeCell ref="G9:G10"/>
    <mergeCell ref="E10:F10"/>
    <mergeCell ref="A7:A8"/>
    <mergeCell ref="C7:C8"/>
    <mergeCell ref="D7:D8"/>
    <mergeCell ref="G7:G8"/>
    <mergeCell ref="E8:F8"/>
    <mergeCell ref="A3:A4"/>
    <mergeCell ref="A5:A6"/>
    <mergeCell ref="C5:C6"/>
    <mergeCell ref="D5:D6"/>
    <mergeCell ref="E6:F6"/>
    <mergeCell ref="C1:D1"/>
    <mergeCell ref="E2:F2"/>
    <mergeCell ref="E4:F4"/>
    <mergeCell ref="C3:C4"/>
    <mergeCell ref="D3:D4"/>
    <mergeCell ref="E1:G1"/>
    <mergeCell ref="G3:G4"/>
    <mergeCell ref="A11:A12"/>
    <mergeCell ref="B11:B12"/>
    <mergeCell ref="C11:C12"/>
    <mergeCell ref="D11:D12"/>
    <mergeCell ref="G11:G12"/>
    <mergeCell ref="E12:F12"/>
    <mergeCell ref="A13:A14"/>
    <mergeCell ref="B13:B14"/>
    <mergeCell ref="C13:C14"/>
    <mergeCell ref="D13:D14"/>
    <mergeCell ref="G13:G14"/>
    <mergeCell ref="E14:F14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E83B0-A4A9-44CA-9133-56EE86115956}">
  <dimension ref="A1:A20"/>
  <sheetViews>
    <sheetView tabSelected="1" workbookViewId="0">
      <selection activeCell="A5" sqref="A5"/>
    </sheetView>
  </sheetViews>
  <sheetFormatPr baseColWidth="10" defaultRowHeight="14.4" x14ac:dyDescent="0.3"/>
  <cols>
    <col min="1" max="1" width="86.6640625" customWidth="1"/>
  </cols>
  <sheetData>
    <row r="1" spans="1:1" x14ac:dyDescent="0.3">
      <c r="A1" s="112">
        <v>45000</v>
      </c>
    </row>
    <row r="3" spans="1:1" x14ac:dyDescent="0.3">
      <c r="A3" t="s">
        <v>162</v>
      </c>
    </row>
    <row r="5" spans="1:1" x14ac:dyDescent="0.3">
      <c r="A5" t="s">
        <v>163</v>
      </c>
    </row>
    <row r="7" spans="1:1" x14ac:dyDescent="0.3">
      <c r="A7" t="s">
        <v>164</v>
      </c>
    </row>
    <row r="9" spans="1:1" x14ac:dyDescent="0.3">
      <c r="A9" t="s">
        <v>165</v>
      </c>
    </row>
    <row r="11" spans="1:1" x14ac:dyDescent="0.3">
      <c r="A11" t="s">
        <v>166</v>
      </c>
    </row>
    <row r="16" spans="1:1" x14ac:dyDescent="0.3">
      <c r="A16" s="80">
        <v>45002</v>
      </c>
    </row>
    <row r="17" spans="1:1" x14ac:dyDescent="0.3">
      <c r="A17" t="s">
        <v>169</v>
      </c>
    </row>
    <row r="18" spans="1:1" x14ac:dyDescent="0.3">
      <c r="A18" t="s">
        <v>170</v>
      </c>
    </row>
    <row r="19" spans="1:1" x14ac:dyDescent="0.3">
      <c r="A19" t="s">
        <v>171</v>
      </c>
    </row>
    <row r="20" spans="1:1" x14ac:dyDescent="0.3">
      <c r="A20" t="s">
        <v>172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3C649-6E26-433C-A861-39C6A9362175}">
  <dimension ref="A1:M36"/>
  <sheetViews>
    <sheetView workbookViewId="0">
      <selection activeCell="G35" sqref="G35"/>
    </sheetView>
  </sheetViews>
  <sheetFormatPr baseColWidth="10" defaultRowHeight="14.4" x14ac:dyDescent="0.3"/>
  <cols>
    <col min="1" max="1" width="32.109375" customWidth="1"/>
    <col min="2" max="2" width="12.88671875" customWidth="1"/>
    <col min="3" max="3" width="12.5546875" customWidth="1"/>
    <col min="4" max="4" width="18.44140625" customWidth="1"/>
    <col min="7" max="7" width="16.109375" customWidth="1"/>
  </cols>
  <sheetData>
    <row r="1" spans="1:11" x14ac:dyDescent="0.3">
      <c r="A1" s="81" t="s">
        <v>27</v>
      </c>
      <c r="B1" s="82"/>
      <c r="C1" s="1">
        <v>-11.59</v>
      </c>
      <c r="D1" s="2" t="s">
        <v>32</v>
      </c>
    </row>
    <row r="2" spans="1:11" x14ac:dyDescent="0.3">
      <c r="A2" s="81" t="s">
        <v>28</v>
      </c>
      <c r="B2" s="82"/>
      <c r="C2" s="1">
        <v>60</v>
      </c>
      <c r="D2" s="2" t="s">
        <v>32</v>
      </c>
    </row>
    <row r="3" spans="1:11" x14ac:dyDescent="0.3">
      <c r="A3" s="81" t="s">
        <v>29</v>
      </c>
      <c r="B3" s="82"/>
      <c r="C3" s="1">
        <v>15</v>
      </c>
      <c r="D3" s="2" t="s">
        <v>54</v>
      </c>
    </row>
    <row r="4" spans="1:11" x14ac:dyDescent="0.3">
      <c r="A4" s="81" t="s">
        <v>30</v>
      </c>
      <c r="B4" s="82"/>
      <c r="C4" s="1">
        <v>40</v>
      </c>
      <c r="D4" s="2" t="s">
        <v>54</v>
      </c>
    </row>
    <row r="5" spans="1:11" ht="15" thickBot="1" x14ac:dyDescent="0.35">
      <c r="A5" s="83" t="s">
        <v>31</v>
      </c>
      <c r="B5" s="84"/>
      <c r="C5" s="18">
        <v>2800</v>
      </c>
      <c r="D5" s="15" t="s">
        <v>55</v>
      </c>
    </row>
    <row r="8" spans="1:11" x14ac:dyDescent="0.3">
      <c r="A8" s="2" t="s">
        <v>17</v>
      </c>
      <c r="B8" s="7" t="s">
        <v>60</v>
      </c>
      <c r="C8" s="7" t="s">
        <v>62</v>
      </c>
      <c r="D8" s="7" t="s">
        <v>64</v>
      </c>
      <c r="E8" s="7" t="s">
        <v>65</v>
      </c>
      <c r="F8" s="7" t="s">
        <v>66</v>
      </c>
      <c r="G8" s="7" t="s">
        <v>68</v>
      </c>
      <c r="H8" s="7" t="s">
        <v>69</v>
      </c>
      <c r="I8" s="7" t="s">
        <v>70</v>
      </c>
      <c r="J8" s="7" t="s">
        <v>71</v>
      </c>
      <c r="K8" s="7" t="s">
        <v>72</v>
      </c>
    </row>
    <row r="9" spans="1:11" x14ac:dyDescent="0.3">
      <c r="A9" s="2"/>
      <c r="B9" s="7" t="s">
        <v>61</v>
      </c>
      <c r="C9" s="7" t="s">
        <v>63</v>
      </c>
      <c r="D9" s="7" t="s">
        <v>63</v>
      </c>
      <c r="E9" s="7" t="s">
        <v>63</v>
      </c>
      <c r="F9" s="7" t="s">
        <v>67</v>
      </c>
      <c r="G9" s="7" t="s">
        <v>63</v>
      </c>
      <c r="H9" s="7" t="s">
        <v>63</v>
      </c>
      <c r="I9" s="2"/>
      <c r="J9" s="7" t="s">
        <v>63</v>
      </c>
      <c r="K9" s="2"/>
    </row>
    <row r="10" spans="1:11" x14ac:dyDescent="0.3">
      <c r="A10" s="2" t="s">
        <v>4</v>
      </c>
      <c r="B10" s="2"/>
      <c r="C10" s="2"/>
      <c r="D10" s="2"/>
      <c r="E10" s="2"/>
      <c r="F10" s="1"/>
      <c r="G10" s="2"/>
      <c r="H10" s="2"/>
      <c r="I10" s="2"/>
      <c r="J10" s="2"/>
      <c r="K10" s="2"/>
    </row>
    <row r="11" spans="1:11" x14ac:dyDescent="0.3">
      <c r="A11" s="2" t="s">
        <v>5</v>
      </c>
      <c r="B11" s="2"/>
      <c r="C11" s="2"/>
      <c r="D11" s="2"/>
      <c r="E11" s="2"/>
      <c r="F11" s="1"/>
      <c r="G11" s="2"/>
      <c r="H11" s="2"/>
      <c r="I11" s="2"/>
      <c r="J11" s="2"/>
      <c r="K11" s="2"/>
    </row>
    <row r="12" spans="1:11" x14ac:dyDescent="0.3">
      <c r="A12" s="2" t="s">
        <v>6</v>
      </c>
      <c r="B12" s="2"/>
      <c r="C12" s="2"/>
      <c r="D12" s="2"/>
      <c r="E12" s="2"/>
      <c r="F12" s="1"/>
      <c r="G12" s="2"/>
      <c r="H12" s="2"/>
      <c r="I12" s="2"/>
      <c r="J12" s="2"/>
      <c r="K12" s="2"/>
    </row>
    <row r="13" spans="1:11" x14ac:dyDescent="0.3">
      <c r="A13" s="2" t="s">
        <v>7</v>
      </c>
      <c r="B13" s="2"/>
      <c r="C13" s="2"/>
      <c r="D13" s="2"/>
      <c r="E13" s="2"/>
      <c r="F13" s="1"/>
      <c r="G13" s="2"/>
      <c r="H13" s="2"/>
      <c r="I13" s="2"/>
      <c r="J13" s="2"/>
      <c r="K13" s="2"/>
    </row>
    <row r="14" spans="1:11" x14ac:dyDescent="0.3">
      <c r="A14" s="2" t="s">
        <v>8</v>
      </c>
      <c r="B14" s="2"/>
      <c r="C14" s="2"/>
      <c r="D14" s="2"/>
      <c r="E14" s="2"/>
      <c r="F14" s="1"/>
      <c r="G14" s="2"/>
      <c r="H14" s="2"/>
      <c r="I14" s="2"/>
      <c r="J14" s="2"/>
      <c r="K14" s="2"/>
    </row>
    <row r="15" spans="1:11" x14ac:dyDescent="0.3">
      <c r="A15" s="2" t="s">
        <v>9</v>
      </c>
      <c r="B15" s="2"/>
      <c r="C15" s="2"/>
      <c r="D15" s="2"/>
      <c r="E15" s="2"/>
      <c r="F15" s="1"/>
      <c r="G15" s="2"/>
      <c r="H15" s="2"/>
      <c r="I15" s="2"/>
      <c r="J15" s="2"/>
      <c r="K15" s="2"/>
    </row>
    <row r="16" spans="1:11" x14ac:dyDescent="0.3">
      <c r="A16" s="2" t="s">
        <v>10</v>
      </c>
      <c r="B16" s="2"/>
      <c r="C16" s="2"/>
      <c r="D16" s="2"/>
      <c r="E16" s="2"/>
      <c r="F16" s="1"/>
      <c r="G16" s="2"/>
      <c r="H16" s="2"/>
      <c r="I16" s="2"/>
      <c r="J16" s="2"/>
      <c r="K16" s="2"/>
    </row>
    <row r="17" spans="1:13" x14ac:dyDescent="0.3">
      <c r="A17" s="2" t="s">
        <v>11</v>
      </c>
      <c r="B17" s="2"/>
      <c r="C17" s="2"/>
      <c r="D17" s="2"/>
      <c r="E17" s="2"/>
      <c r="F17" s="1"/>
      <c r="G17" s="2"/>
      <c r="H17" s="2"/>
      <c r="I17" s="2"/>
      <c r="J17" s="2"/>
      <c r="K17" s="2"/>
    </row>
    <row r="18" spans="1:13" x14ac:dyDescent="0.3">
      <c r="A18" s="2" t="s">
        <v>12</v>
      </c>
      <c r="B18" s="2"/>
      <c r="C18" s="2"/>
      <c r="D18" s="2"/>
      <c r="E18" s="2"/>
      <c r="F18" s="1"/>
      <c r="G18" s="2"/>
      <c r="H18" s="2"/>
      <c r="I18" s="2"/>
      <c r="J18" s="2"/>
      <c r="K18" s="2"/>
    </row>
    <row r="19" spans="1:13" x14ac:dyDescent="0.3">
      <c r="A19" s="2" t="s">
        <v>13</v>
      </c>
      <c r="B19" s="2"/>
      <c r="C19" s="2"/>
      <c r="D19" s="2"/>
      <c r="E19" s="2"/>
      <c r="F19" s="1"/>
      <c r="G19" s="2"/>
      <c r="H19" s="2"/>
      <c r="I19" s="2"/>
      <c r="J19" s="2"/>
      <c r="K19" s="2"/>
    </row>
    <row r="20" spans="1:13" x14ac:dyDescent="0.3">
      <c r="A20" s="2" t="s">
        <v>14</v>
      </c>
      <c r="B20" s="2"/>
      <c r="C20" s="2"/>
      <c r="D20" s="2"/>
      <c r="E20" s="2"/>
      <c r="F20" s="1"/>
      <c r="G20" s="2"/>
      <c r="H20" s="2"/>
      <c r="I20" s="2"/>
      <c r="J20" s="2"/>
      <c r="K20" s="2"/>
    </row>
    <row r="21" spans="1:13" x14ac:dyDescent="0.3">
      <c r="A21" s="2" t="s">
        <v>15</v>
      </c>
      <c r="B21" s="2"/>
      <c r="C21" s="2"/>
      <c r="D21" s="2"/>
      <c r="E21" s="2"/>
      <c r="F21" s="1"/>
      <c r="G21" s="2"/>
      <c r="H21" s="2"/>
      <c r="I21" s="2"/>
      <c r="J21" s="2"/>
      <c r="K21" s="2"/>
    </row>
    <row r="22" spans="1:13" x14ac:dyDescent="0.3">
      <c r="A22" s="31" t="s">
        <v>73</v>
      </c>
      <c r="B22" s="2"/>
      <c r="C22" s="2"/>
      <c r="D22" s="2"/>
      <c r="E22" s="2"/>
      <c r="F22" s="2"/>
      <c r="G22" s="2"/>
      <c r="H22" s="2"/>
      <c r="I22" s="35"/>
      <c r="J22" s="35"/>
      <c r="K22" s="35"/>
    </row>
    <row r="23" spans="1:13" x14ac:dyDescent="0.3">
      <c r="A23" s="31" t="s">
        <v>74</v>
      </c>
      <c r="B23" s="2"/>
      <c r="C23" s="2"/>
      <c r="D23" s="2"/>
      <c r="E23" s="2"/>
      <c r="F23" s="2"/>
      <c r="G23" s="2"/>
      <c r="H23" s="2"/>
      <c r="I23" s="2"/>
      <c r="J23" s="2"/>
      <c r="K23" s="2"/>
    </row>
    <row r="25" spans="1:13" ht="15" thickBot="1" x14ac:dyDescent="0.35"/>
    <row r="26" spans="1:13" ht="14.4" customHeight="1" x14ac:dyDescent="0.3">
      <c r="A26" s="105" t="s">
        <v>41</v>
      </c>
      <c r="B26" s="105"/>
      <c r="C26" s="106"/>
      <c r="D26" s="104" t="s">
        <v>46</v>
      </c>
      <c r="E26" s="105"/>
      <c r="F26" s="106"/>
      <c r="G26" s="107" t="s">
        <v>51</v>
      </c>
      <c r="H26" s="108"/>
      <c r="I26" s="109"/>
      <c r="K26" s="9"/>
      <c r="L26" s="24">
        <v>0.77</v>
      </c>
    </row>
    <row r="27" spans="1:13" x14ac:dyDescent="0.3">
      <c r="A27" s="105"/>
      <c r="B27" s="105"/>
      <c r="C27" s="106"/>
      <c r="D27" s="104"/>
      <c r="E27" s="105"/>
      <c r="F27" s="106"/>
      <c r="G27" s="107"/>
      <c r="H27" s="108"/>
      <c r="I27" s="109"/>
      <c r="K27" s="12"/>
      <c r="L27" s="26">
        <v>0.96</v>
      </c>
    </row>
    <row r="28" spans="1:13" x14ac:dyDescent="0.3">
      <c r="A28" t="s">
        <v>75</v>
      </c>
      <c r="B28">
        <v>1.9</v>
      </c>
      <c r="C28" s="32"/>
      <c r="D28" s="111" t="s">
        <v>77</v>
      </c>
      <c r="E28">
        <v>18</v>
      </c>
      <c r="F28" s="32"/>
      <c r="G28" s="111" t="s">
        <v>52</v>
      </c>
      <c r="H28" s="108">
        <v>2565</v>
      </c>
      <c r="I28" s="32"/>
      <c r="K28" s="12"/>
      <c r="L28" s="26">
        <v>0.95</v>
      </c>
    </row>
    <row r="29" spans="1:13" x14ac:dyDescent="0.3">
      <c r="A29" t="s">
        <v>76</v>
      </c>
      <c r="B29">
        <v>37.33</v>
      </c>
      <c r="C29" s="32"/>
      <c r="D29" s="111"/>
      <c r="F29" s="32"/>
      <c r="G29" s="111"/>
      <c r="H29" s="108"/>
      <c r="I29" s="32"/>
      <c r="K29" s="12"/>
      <c r="L29" s="13">
        <v>0.70223999999999998</v>
      </c>
    </row>
    <row r="30" spans="1:13" x14ac:dyDescent="0.3">
      <c r="A30" t="s">
        <v>44</v>
      </c>
      <c r="B30">
        <v>20</v>
      </c>
      <c r="C30" s="32"/>
      <c r="D30" s="111" t="s">
        <v>78</v>
      </c>
      <c r="E30">
        <v>34.200000000000003</v>
      </c>
      <c r="F30" s="32"/>
      <c r="G30" s="111" t="s">
        <v>53</v>
      </c>
      <c r="H30" s="108">
        <v>2565</v>
      </c>
      <c r="I30" s="32"/>
      <c r="K30" s="12"/>
      <c r="L30" s="13">
        <v>4.0860000000000003</v>
      </c>
      <c r="M30" t="s">
        <v>40</v>
      </c>
    </row>
    <row r="31" spans="1:13" x14ac:dyDescent="0.3">
      <c r="A31" t="s">
        <v>45</v>
      </c>
      <c r="B31">
        <v>38</v>
      </c>
      <c r="C31" s="32"/>
      <c r="D31" s="111"/>
      <c r="F31" s="32"/>
      <c r="G31" s="111"/>
      <c r="H31" s="108"/>
      <c r="I31" s="32"/>
      <c r="K31" s="12"/>
      <c r="L31" s="26">
        <v>0.95</v>
      </c>
    </row>
    <row r="32" spans="1:13" ht="15" thickBot="1" x14ac:dyDescent="0.35">
      <c r="C32" s="32"/>
      <c r="F32" s="32"/>
      <c r="G32" s="33" t="s">
        <v>79</v>
      </c>
      <c r="H32">
        <v>75</v>
      </c>
      <c r="I32" s="32"/>
      <c r="K32" s="14"/>
      <c r="L32" s="16">
        <v>3.8817000000000001E-3</v>
      </c>
      <c r="M32" t="s">
        <v>59</v>
      </c>
    </row>
    <row r="34" spans="2:7" x14ac:dyDescent="0.3">
      <c r="B34" s="110" t="s">
        <v>80</v>
      </c>
      <c r="C34" s="110"/>
      <c r="D34" s="110"/>
      <c r="E34" s="110"/>
      <c r="F34" s="110"/>
      <c r="G34" t="s">
        <v>82</v>
      </c>
    </row>
    <row r="36" spans="2:7" x14ac:dyDescent="0.3">
      <c r="B36" s="110" t="s">
        <v>81</v>
      </c>
      <c r="C36" s="110"/>
      <c r="D36" s="110"/>
      <c r="E36" s="110"/>
      <c r="F36" s="110"/>
      <c r="G36" t="s">
        <v>82</v>
      </c>
    </row>
  </sheetData>
  <mergeCells count="16">
    <mergeCell ref="B36:F36"/>
    <mergeCell ref="B34:F34"/>
    <mergeCell ref="G28:G29"/>
    <mergeCell ref="G30:G31"/>
    <mergeCell ref="H28:H29"/>
    <mergeCell ref="H30:H31"/>
    <mergeCell ref="D28:D29"/>
    <mergeCell ref="D30:D31"/>
    <mergeCell ref="D26:F27"/>
    <mergeCell ref="G26:I27"/>
    <mergeCell ref="A1:B1"/>
    <mergeCell ref="A2:B2"/>
    <mergeCell ref="A3:B3"/>
    <mergeCell ref="A4:B4"/>
    <mergeCell ref="A5:B5"/>
    <mergeCell ref="A26:C27"/>
  </mergeCells>
  <phoneticPr fontId="2" type="noConversion"/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AEE5E-86AC-4A54-B212-774DBF0D4CD5}">
  <dimension ref="A1:I22"/>
  <sheetViews>
    <sheetView zoomScale="70" zoomScaleNormal="70" workbookViewId="0">
      <selection activeCell="A10" activeCellId="1" sqref="I10:I22 A10:A22"/>
    </sheetView>
  </sheetViews>
  <sheetFormatPr baseColWidth="10" defaultRowHeight="14.4" x14ac:dyDescent="0.3"/>
  <cols>
    <col min="1" max="1" width="36" customWidth="1"/>
    <col min="3" max="3" width="21.33203125" customWidth="1"/>
    <col min="4" max="4" width="21.5546875" customWidth="1"/>
    <col min="5" max="5" width="22.44140625" customWidth="1"/>
    <col min="6" max="6" width="17.77734375" customWidth="1"/>
    <col min="7" max="7" width="20.21875" customWidth="1"/>
    <col min="8" max="8" width="18.109375" customWidth="1"/>
    <col min="9" max="9" width="16.33203125" customWidth="1"/>
  </cols>
  <sheetData>
    <row r="1" spans="1:9" x14ac:dyDescent="0.3">
      <c r="A1" t="s">
        <v>110</v>
      </c>
      <c r="B1">
        <v>57473.443689760003</v>
      </c>
    </row>
    <row r="2" spans="1:9" x14ac:dyDescent="0.3">
      <c r="A2" t="s">
        <v>111</v>
      </c>
      <c r="B2">
        <v>0.5</v>
      </c>
    </row>
    <row r="3" spans="1:9" x14ac:dyDescent="0.3">
      <c r="A3" t="s">
        <v>112</v>
      </c>
      <c r="B3">
        <v>0.1</v>
      </c>
    </row>
    <row r="4" spans="1:9" x14ac:dyDescent="0.3">
      <c r="A4" t="s">
        <v>113</v>
      </c>
      <c r="B4">
        <f>+(1+B2)/(1+B3)-1</f>
        <v>0.36363636363636354</v>
      </c>
    </row>
    <row r="5" spans="1:9" x14ac:dyDescent="0.3">
      <c r="A5" t="s">
        <v>114</v>
      </c>
      <c r="B5">
        <v>500</v>
      </c>
    </row>
    <row r="6" spans="1:9" x14ac:dyDescent="0.3">
      <c r="A6" t="s">
        <v>115</v>
      </c>
      <c r="B6">
        <v>5</v>
      </c>
    </row>
    <row r="7" spans="1:9" x14ac:dyDescent="0.3">
      <c r="A7" t="s">
        <v>116</v>
      </c>
      <c r="B7">
        <v>100000</v>
      </c>
    </row>
    <row r="10" spans="1:9" ht="28.8" x14ac:dyDescent="0.3">
      <c r="A10" s="60" t="s">
        <v>19</v>
      </c>
      <c r="B10" s="60" t="s">
        <v>20</v>
      </c>
      <c r="C10" s="60" t="s">
        <v>21</v>
      </c>
      <c r="D10" s="60" t="s">
        <v>101</v>
      </c>
      <c r="E10" s="60" t="s">
        <v>104</v>
      </c>
      <c r="F10" s="61" t="s">
        <v>117</v>
      </c>
      <c r="G10" s="61" t="s">
        <v>134</v>
      </c>
      <c r="H10" s="60" t="s">
        <v>133</v>
      </c>
      <c r="I10" s="61" t="s">
        <v>132</v>
      </c>
    </row>
    <row r="11" spans="1:9" x14ac:dyDescent="0.3">
      <c r="A11" s="7">
        <v>1</v>
      </c>
      <c r="B11" s="7">
        <f>1.9*A11</f>
        <v>1.9</v>
      </c>
      <c r="C11" s="7">
        <v>0.13</v>
      </c>
      <c r="D11" s="7">
        <v>0.66</v>
      </c>
      <c r="E11" s="7">
        <f t="shared" ref="E11:E22" si="0">+$B$1*(1-C11)*0.277*0.77</f>
        <v>10664.904399992354</v>
      </c>
      <c r="F11" s="7">
        <f>+B11*$B$5*($B$4)/(1-(1+$B$4)^(-$B$6))+$B$7+E11</f>
        <v>111103.3450198815</v>
      </c>
      <c r="G11" s="62">
        <f>+D11*$B$1/F11</f>
        <v>0.34141611873570271</v>
      </c>
      <c r="H11" s="7">
        <v>6951.0647894826561</v>
      </c>
      <c r="I11" s="7">
        <v>20871.983950524238</v>
      </c>
    </row>
    <row r="12" spans="1:9" x14ac:dyDescent="0.3">
      <c r="A12" s="7">
        <v>2</v>
      </c>
      <c r="B12" s="7">
        <f t="shared" ref="B12:B22" si="1">1.9*A12</f>
        <v>3.8</v>
      </c>
      <c r="C12" s="7">
        <v>0.25</v>
      </c>
      <c r="D12" s="7">
        <v>0.63</v>
      </c>
      <c r="E12" s="7">
        <f t="shared" si="0"/>
        <v>9193.8831034416853</v>
      </c>
      <c r="F12" s="7">
        <f t="shared" ref="F12:F22" si="2">+B12*$B$5*($B$4)/(1-(1+$B$4)^(-$B$6))+$B$7+E12</f>
        <v>110070.76434321994</v>
      </c>
      <c r="G12" s="62">
        <f t="shared" ref="G12:G22" si="3">+D12*$B$1/F12</f>
        <v>0.32895446616183266</v>
      </c>
      <c r="H12" s="7">
        <v>6075.5447894826557</v>
      </c>
      <c r="I12" s="7">
        <v>18372.234327739297</v>
      </c>
    </row>
    <row r="13" spans="1:9" x14ac:dyDescent="0.3">
      <c r="A13" s="7">
        <v>3</v>
      </c>
      <c r="B13" s="7">
        <f t="shared" si="1"/>
        <v>5.6999999999999993</v>
      </c>
      <c r="C13" s="7">
        <v>0.36</v>
      </c>
      <c r="D13" s="7">
        <v>0.61</v>
      </c>
      <c r="E13" s="7">
        <f t="shared" si="0"/>
        <v>7845.4469149369042</v>
      </c>
      <c r="F13" s="7">
        <f>+B13*$B$5*($B$4)/(1-(1+$B$4)^(-$B$6))+$B$7+E13</f>
        <v>109160.76877460431</v>
      </c>
      <c r="G13" s="62">
        <f t="shared" si="3"/>
        <v>0.32116667044680841</v>
      </c>
      <c r="H13" s="7">
        <v>5200.0247894826543</v>
      </c>
      <c r="I13" s="7">
        <v>16056.644119260503</v>
      </c>
    </row>
    <row r="14" spans="1:9" x14ac:dyDescent="0.3">
      <c r="A14" s="7">
        <v>4</v>
      </c>
      <c r="B14" s="7">
        <f t="shared" si="1"/>
        <v>7.6</v>
      </c>
      <c r="C14" s="7">
        <v>0.46</v>
      </c>
      <c r="D14" s="7">
        <v>0.57999999999999996</v>
      </c>
      <c r="E14" s="7">
        <f t="shared" si="0"/>
        <v>6619.5958344780138</v>
      </c>
      <c r="F14" s="7">
        <f>+B14*$B$5*($B$4)/(1-(1+$B$4)^(-$B$6))+$B$7+E14</f>
        <v>108373.35831403454</v>
      </c>
      <c r="G14" s="62">
        <f t="shared" si="3"/>
        <v>0.30759033270397329</v>
      </c>
      <c r="H14" s="7">
        <v>4324.5047894826548</v>
      </c>
      <c r="I14" s="7">
        <v>13916.994399901556</v>
      </c>
    </row>
    <row r="15" spans="1:9" x14ac:dyDescent="0.3">
      <c r="A15" s="7">
        <v>5</v>
      </c>
      <c r="B15" s="7">
        <f t="shared" si="1"/>
        <v>9.5</v>
      </c>
      <c r="C15" s="7">
        <v>0.56000000000000005</v>
      </c>
      <c r="D15" s="7">
        <v>0.56000000000000005</v>
      </c>
      <c r="E15" s="7">
        <f t="shared" si="0"/>
        <v>5393.7447540191215</v>
      </c>
      <c r="F15" s="7">
        <f t="shared" si="2"/>
        <v>107585.94785346478</v>
      </c>
      <c r="G15" s="62">
        <f t="shared" si="3"/>
        <v>0.29915736309822444</v>
      </c>
      <c r="H15" s="7">
        <v>3448.9847894826544</v>
      </c>
      <c r="I15" s="7">
        <v>11945.066244476171</v>
      </c>
    </row>
    <row r="16" spans="1:9" x14ac:dyDescent="0.3">
      <c r="A16" s="7">
        <v>6</v>
      </c>
      <c r="B16" s="7">
        <f t="shared" si="1"/>
        <v>11.399999999999999</v>
      </c>
      <c r="C16" s="7">
        <v>0.64</v>
      </c>
      <c r="D16" s="7">
        <v>0.54</v>
      </c>
      <c r="E16" s="7">
        <f t="shared" si="0"/>
        <v>4413.0638896520077</v>
      </c>
      <c r="F16" s="7">
        <f t="shared" si="2"/>
        <v>107043.70760898681</v>
      </c>
      <c r="G16" s="62">
        <f t="shared" si="3"/>
        <v>0.28993446028456532</v>
      </c>
      <c r="H16" s="7">
        <v>2573.4647894826599</v>
      </c>
      <c r="I16" s="7">
        <v>10132.64072779806</v>
      </c>
    </row>
    <row r="17" spans="1:9" x14ac:dyDescent="0.3">
      <c r="A17" s="7">
        <v>7</v>
      </c>
      <c r="B17" s="7">
        <f t="shared" si="1"/>
        <v>13.299999999999999</v>
      </c>
      <c r="C17" s="7">
        <v>0.72</v>
      </c>
      <c r="D17" s="7">
        <v>0.52</v>
      </c>
      <c r="E17" s="7">
        <f t="shared" si="0"/>
        <v>3432.3830252848957</v>
      </c>
      <c r="F17" s="7">
        <f t="shared" si="2"/>
        <v>106501.46736450883</v>
      </c>
      <c r="G17" s="62">
        <f t="shared" si="3"/>
        <v>0.28061764272587525</v>
      </c>
      <c r="H17" s="7">
        <v>1697.9447894826567</v>
      </c>
      <c r="I17" s="7">
        <v>8471.4989246809309</v>
      </c>
    </row>
    <row r="18" spans="1:9" x14ac:dyDescent="0.3">
      <c r="A18" s="7">
        <v>8</v>
      </c>
      <c r="B18" s="7">
        <f t="shared" si="1"/>
        <v>15.2</v>
      </c>
      <c r="C18" s="7">
        <v>0.79</v>
      </c>
      <c r="D18" s="7">
        <v>0.49</v>
      </c>
      <c r="E18" s="7">
        <f t="shared" si="0"/>
        <v>2574.2872689636711</v>
      </c>
      <c r="F18" s="7">
        <f t="shared" si="2"/>
        <v>106081.81222807673</v>
      </c>
      <c r="G18" s="62">
        <f t="shared" si="3"/>
        <v>0.26547422990317987</v>
      </c>
      <c r="H18" s="7">
        <v>822.42478948265625</v>
      </c>
      <c r="I18" s="7">
        <v>6953.4219099384945</v>
      </c>
    </row>
    <row r="19" spans="1:9" x14ac:dyDescent="0.3">
      <c r="A19" s="7">
        <v>9</v>
      </c>
      <c r="B19" s="7">
        <f t="shared" si="1"/>
        <v>17.099999999999998</v>
      </c>
      <c r="C19" s="7">
        <v>0.85</v>
      </c>
      <c r="D19" s="7">
        <v>0.47</v>
      </c>
      <c r="E19" s="7">
        <f t="shared" si="0"/>
        <v>1838.7766206883373</v>
      </c>
      <c r="F19" s="7">
        <f t="shared" si="2"/>
        <v>105784.74219969053</v>
      </c>
      <c r="G19" s="62">
        <f t="shared" si="3"/>
        <v>0.25535363581257775</v>
      </c>
      <c r="H19" s="7">
        <v>-53.095210517344185</v>
      </c>
      <c r="I19" s="7">
        <v>5570.190758384465</v>
      </c>
    </row>
    <row r="20" spans="1:9" x14ac:dyDescent="0.3">
      <c r="A20" s="7">
        <v>10</v>
      </c>
      <c r="B20" s="7">
        <f t="shared" si="1"/>
        <v>19</v>
      </c>
      <c r="C20" s="7">
        <v>0.9</v>
      </c>
      <c r="D20" s="7">
        <v>0.46</v>
      </c>
      <c r="E20" s="7">
        <f t="shared" si="0"/>
        <v>1225.8510804588909</v>
      </c>
      <c r="F20" s="7">
        <f t="shared" si="2"/>
        <v>105610.25727935022</v>
      </c>
      <c r="G20" s="62">
        <f t="shared" si="3"/>
        <v>0.25033348822698998</v>
      </c>
      <c r="H20" s="7">
        <v>-928.61521051734189</v>
      </c>
      <c r="I20" s="7">
        <v>4313.5865448325476</v>
      </c>
    </row>
    <row r="21" spans="1:9" x14ac:dyDescent="0.3">
      <c r="A21" s="7">
        <v>11</v>
      </c>
      <c r="B21" s="7">
        <f t="shared" si="1"/>
        <v>20.9</v>
      </c>
      <c r="C21" s="7">
        <v>0.95</v>
      </c>
      <c r="D21" s="7">
        <v>0.44</v>
      </c>
      <c r="E21" s="7">
        <f t="shared" si="0"/>
        <v>612.92554022944614</v>
      </c>
      <c r="F21" s="7">
        <f t="shared" si="2"/>
        <v>105435.7723590099</v>
      </c>
      <c r="G21" s="62">
        <f t="shared" si="3"/>
        <v>0.23984568669338738</v>
      </c>
      <c r="H21" s="7">
        <v>-1804.1352105173423</v>
      </c>
      <c r="I21" s="7">
        <v>3175.3903440964609</v>
      </c>
    </row>
    <row r="22" spans="1:9" x14ac:dyDescent="0.3">
      <c r="A22" s="7">
        <v>12</v>
      </c>
      <c r="B22" s="7">
        <f t="shared" si="1"/>
        <v>22.799999999999997</v>
      </c>
      <c r="C22" s="7">
        <v>1</v>
      </c>
      <c r="D22" s="7">
        <v>0.42</v>
      </c>
      <c r="E22" s="7">
        <f t="shared" si="0"/>
        <v>0</v>
      </c>
      <c r="F22" s="7">
        <f t="shared" si="2"/>
        <v>105261.28743866959</v>
      </c>
      <c r="G22" s="62">
        <f t="shared" si="3"/>
        <v>0.22932311524085891</v>
      </c>
      <c r="H22" s="7">
        <v>-2679.6552105173428</v>
      </c>
      <c r="I22" s="7">
        <v>2147.3832309899117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1B563-8FEB-4955-9C11-90ACDDE8E6C6}">
  <dimension ref="A1:K110"/>
  <sheetViews>
    <sheetView zoomScaleNormal="100" workbookViewId="0">
      <selection activeCell="T19" sqref="T19"/>
    </sheetView>
  </sheetViews>
  <sheetFormatPr baseColWidth="10" defaultRowHeight="14.4" x14ac:dyDescent="0.3"/>
  <cols>
    <col min="2" max="2" width="16.77734375" bestFit="1" customWidth="1"/>
    <col min="3" max="3" width="16.5546875" bestFit="1" customWidth="1"/>
    <col min="4" max="4" width="25.5546875" customWidth="1"/>
    <col min="5" max="5" width="13.21875" bestFit="1" customWidth="1"/>
    <col min="6" max="6" width="17.21875" customWidth="1"/>
    <col min="7" max="7" width="14.21875" customWidth="1"/>
    <col min="8" max="9" width="11.6640625" bestFit="1" customWidth="1"/>
    <col min="10" max="10" width="16.109375" customWidth="1"/>
    <col min="11" max="13" width="11.6640625" bestFit="1" customWidth="1"/>
  </cols>
  <sheetData>
    <row r="1" spans="1:11" x14ac:dyDescent="0.3">
      <c r="D1" s="76" t="s">
        <v>144</v>
      </c>
      <c r="E1" s="77" t="s">
        <v>145</v>
      </c>
    </row>
    <row r="2" spans="1:11" x14ac:dyDescent="0.3">
      <c r="D2" s="73" t="s">
        <v>146</v>
      </c>
      <c r="E2" s="20">
        <v>5</v>
      </c>
    </row>
    <row r="3" spans="1:11" x14ac:dyDescent="0.3">
      <c r="D3" s="73" t="s">
        <v>147</v>
      </c>
      <c r="E3" s="20" t="s">
        <v>149</v>
      </c>
    </row>
    <row r="4" spans="1:11" ht="15" thickBot="1" x14ac:dyDescent="0.35">
      <c r="D4" s="74" t="s">
        <v>148</v>
      </c>
      <c r="E4" s="75">
        <v>0.1</v>
      </c>
    </row>
    <row r="5" spans="1:11" ht="33" customHeight="1" x14ac:dyDescent="0.3"/>
    <row r="9" spans="1:11" ht="28.8" x14ac:dyDescent="0.3">
      <c r="A9" s="66" t="s">
        <v>135</v>
      </c>
      <c r="B9" s="66" t="s">
        <v>136</v>
      </c>
      <c r="C9" s="66" t="s">
        <v>137</v>
      </c>
      <c r="D9" s="66" t="s">
        <v>138</v>
      </c>
      <c r="E9" s="66" t="s">
        <v>150</v>
      </c>
      <c r="F9" s="66" t="s">
        <v>151</v>
      </c>
      <c r="J9" s="68" t="s">
        <v>143</v>
      </c>
      <c r="K9" s="66" t="s">
        <v>142</v>
      </c>
    </row>
    <row r="10" spans="1:11" x14ac:dyDescent="0.3">
      <c r="A10" s="65">
        <v>0</v>
      </c>
      <c r="B10" s="65">
        <v>0</v>
      </c>
      <c r="C10" s="65">
        <v>7000</v>
      </c>
      <c r="D10" s="65">
        <f>+B10-C10</f>
        <v>-7000</v>
      </c>
      <c r="E10" s="27"/>
      <c r="F10" s="27">
        <f>+D10</f>
        <v>-7000</v>
      </c>
      <c r="J10" s="67">
        <v>0</v>
      </c>
      <c r="K10" s="69">
        <f>+NPV(J10,$D$11:$D$15)+$D$10</f>
        <v>5500</v>
      </c>
    </row>
    <row r="11" spans="1:11" x14ac:dyDescent="0.3">
      <c r="A11" s="65">
        <v>1</v>
      </c>
      <c r="B11" s="65">
        <v>5310.6571516000549</v>
      </c>
      <c r="C11" s="65">
        <v>4425.7689285549814</v>
      </c>
      <c r="D11" s="65">
        <v>2500</v>
      </c>
      <c r="E11" s="27">
        <f t="shared" ref="E11:E15" si="0">+(1+$E$4)^A11</f>
        <v>1.1000000000000001</v>
      </c>
      <c r="F11" s="2">
        <f>+D11/E11</f>
        <v>2272.7272727272725</v>
      </c>
      <c r="J11" s="67">
        <v>0.01</v>
      </c>
      <c r="K11" s="69">
        <f t="shared" ref="K11:K41" si="1">+NPV(J11,$D$11:$D$15)+$D$10</f>
        <v>5133.5780983128006</v>
      </c>
    </row>
    <row r="12" spans="1:11" x14ac:dyDescent="0.3">
      <c r="A12" s="65">
        <v>2</v>
      </c>
      <c r="B12" s="65">
        <v>5310.6571516000549</v>
      </c>
      <c r="C12" s="65">
        <v>4425.7689285549814</v>
      </c>
      <c r="D12" s="65">
        <v>2500</v>
      </c>
      <c r="E12" s="27">
        <f t="shared" si="0"/>
        <v>1.2100000000000002</v>
      </c>
      <c r="F12" s="2">
        <f t="shared" ref="F12:F15" si="2">+F11/E12</f>
        <v>1878.2870022539439</v>
      </c>
      <c r="J12" s="67">
        <v>0.02</v>
      </c>
      <c r="K12" s="69">
        <f t="shared" si="1"/>
        <v>4783.648771260514</v>
      </c>
    </row>
    <row r="13" spans="1:11" x14ac:dyDescent="0.3">
      <c r="A13" s="65">
        <v>3</v>
      </c>
      <c r="B13" s="65">
        <v>5310.6571516000549</v>
      </c>
      <c r="C13" s="65">
        <v>4425.7689285549814</v>
      </c>
      <c r="D13" s="65">
        <v>2500</v>
      </c>
      <c r="E13" s="27">
        <f t="shared" si="0"/>
        <v>1.3310000000000004</v>
      </c>
      <c r="F13" s="2">
        <f t="shared" si="2"/>
        <v>1411.1848251344427</v>
      </c>
      <c r="J13" s="67">
        <v>0.03</v>
      </c>
      <c r="K13" s="69">
        <f t="shared" si="1"/>
        <v>4449.267967986334</v>
      </c>
    </row>
    <row r="14" spans="1:11" x14ac:dyDescent="0.3">
      <c r="A14" s="65">
        <v>4</v>
      </c>
      <c r="B14" s="65">
        <v>5310.6571516000549</v>
      </c>
      <c r="C14" s="65">
        <v>4425.7689285549814</v>
      </c>
      <c r="D14" s="65">
        <v>2500</v>
      </c>
      <c r="E14" s="27">
        <f t="shared" si="0"/>
        <v>1.4641000000000004</v>
      </c>
      <c r="F14" s="2">
        <f t="shared" si="2"/>
        <v>963.85822357382847</v>
      </c>
      <c r="J14" s="67">
        <v>0.04</v>
      </c>
      <c r="K14" s="69">
        <f t="shared" si="1"/>
        <v>4129.5558275405128</v>
      </c>
    </row>
    <row r="15" spans="1:11" x14ac:dyDescent="0.3">
      <c r="A15" s="65">
        <v>5</v>
      </c>
      <c r="B15" s="65">
        <v>5310.6571516000549</v>
      </c>
      <c r="C15" s="65">
        <v>4425.7689285549814</v>
      </c>
      <c r="D15" s="65">
        <v>2500</v>
      </c>
      <c r="E15" s="27">
        <f t="shared" si="0"/>
        <v>1.6105100000000006</v>
      </c>
      <c r="F15" s="2">
        <f t="shared" si="2"/>
        <v>598.48012342290838</v>
      </c>
      <c r="J15" s="67">
        <v>0.05</v>
      </c>
      <c r="K15" s="69">
        <f t="shared" si="1"/>
        <v>3823.6916765770457</v>
      </c>
    </row>
    <row r="16" spans="1:11" x14ac:dyDescent="0.3">
      <c r="E16" t="s">
        <v>18</v>
      </c>
      <c r="F16" s="49">
        <f>+SUM(F10:F15)</f>
        <v>124.53744711239528</v>
      </c>
      <c r="J16" s="67">
        <v>0.06</v>
      </c>
      <c r="K16" s="69">
        <f t="shared" si="1"/>
        <v>3530.9094639142822</v>
      </c>
    </row>
    <row r="17" spans="5:11" x14ac:dyDescent="0.3">
      <c r="J17" s="67">
        <v>7.0000000000000007E-2</v>
      </c>
      <c r="K17" s="69">
        <f t="shared" si="1"/>
        <v>3250.4935898689837</v>
      </c>
    </row>
    <row r="18" spans="5:11" x14ac:dyDescent="0.3">
      <c r="E18" s="5" t="s">
        <v>141</v>
      </c>
      <c r="F18" s="64">
        <f>+NPV(E4,D11:D15)+D10</f>
        <v>2476.9669235211186</v>
      </c>
      <c r="J18" s="67">
        <v>0.08</v>
      </c>
      <c r="K18" s="69">
        <f t="shared" si="1"/>
        <v>2981.775092695214</v>
      </c>
    </row>
    <row r="19" spans="5:11" x14ac:dyDescent="0.3">
      <c r="E19" s="5" t="s">
        <v>152</v>
      </c>
      <c r="F19" s="78">
        <f>+IRR(D10:D15)</f>
        <v>0.23058813685536839</v>
      </c>
      <c r="J19" s="67">
        <v>0.09</v>
      </c>
      <c r="K19" s="69">
        <f t="shared" si="1"/>
        <v>2724.1281583792897</v>
      </c>
    </row>
    <row r="20" spans="5:11" x14ac:dyDescent="0.3">
      <c r="J20" s="67">
        <v>0.1</v>
      </c>
      <c r="K20" s="69">
        <f t="shared" si="1"/>
        <v>2476.9669235211186</v>
      </c>
    </row>
    <row r="21" spans="5:11" x14ac:dyDescent="0.3">
      <c r="J21" s="67">
        <v>0.11</v>
      </c>
      <c r="K21" s="69">
        <f t="shared" si="1"/>
        <v>2239.742544123661</v>
      </c>
    </row>
    <row r="22" spans="5:11" x14ac:dyDescent="0.3">
      <c r="J22" s="67">
        <v>0.12</v>
      </c>
      <c r="K22" s="69">
        <f t="shared" si="1"/>
        <v>2011.9405058625107</v>
      </c>
    </row>
    <row r="23" spans="5:11" x14ac:dyDescent="0.3">
      <c r="J23" s="67">
        <v>0.13</v>
      </c>
      <c r="K23" s="69">
        <f t="shared" si="1"/>
        <v>1793.0781538567662</v>
      </c>
    </row>
    <row r="24" spans="5:11" x14ac:dyDescent="0.3">
      <c r="J24" s="67">
        <v>0.14000000000000001</v>
      </c>
      <c r="K24" s="69">
        <f t="shared" si="1"/>
        <v>1582.7024221461488</v>
      </c>
    </row>
    <row r="25" spans="5:11" x14ac:dyDescent="0.3">
      <c r="J25" s="67">
        <v>0.15</v>
      </c>
      <c r="K25" s="69">
        <f t="shared" si="1"/>
        <v>1380.3877450285054</v>
      </c>
    </row>
    <row r="26" spans="5:11" x14ac:dyDescent="0.3">
      <c r="J26" s="67">
        <v>0.16</v>
      </c>
      <c r="K26" s="69">
        <f t="shared" si="1"/>
        <v>1185.7341341530901</v>
      </c>
    </row>
    <row r="27" spans="5:11" x14ac:dyDescent="0.3">
      <c r="J27" s="67">
        <v>0.17</v>
      </c>
      <c r="K27" s="69">
        <f t="shared" si="1"/>
        <v>998.36540682303894</v>
      </c>
    </row>
    <row r="28" spans="5:11" x14ac:dyDescent="0.3">
      <c r="J28" s="67">
        <v>0.18</v>
      </c>
      <c r="K28" s="69">
        <f t="shared" si="1"/>
        <v>817.92755235474397</v>
      </c>
    </row>
    <row r="29" spans="5:11" x14ac:dyDescent="0.3">
      <c r="J29" s="67">
        <v>0.19</v>
      </c>
      <c r="K29" s="69">
        <f t="shared" si="1"/>
        <v>644.08722459201999</v>
      </c>
    </row>
    <row r="30" spans="5:11" x14ac:dyDescent="0.3">
      <c r="J30" s="67">
        <v>0.2</v>
      </c>
      <c r="K30" s="69">
        <f t="shared" si="1"/>
        <v>476.53034979423865</v>
      </c>
    </row>
    <row r="31" spans="5:11" x14ac:dyDescent="0.3">
      <c r="J31" s="67">
        <v>0.21</v>
      </c>
      <c r="K31" s="69">
        <f t="shared" si="1"/>
        <v>314.96084012462325</v>
      </c>
    </row>
    <row r="32" spans="5:11" x14ac:dyDescent="0.3">
      <c r="J32" s="67">
        <v>0.22</v>
      </c>
      <c r="K32" s="69">
        <f t="shared" si="1"/>
        <v>159.09940387011102</v>
      </c>
    </row>
    <row r="33" spans="10:11" x14ac:dyDescent="0.3">
      <c r="J33" s="67">
        <v>0.23</v>
      </c>
      <c r="K33" s="69">
        <f t="shared" si="1"/>
        <v>8.6824443385730774</v>
      </c>
    </row>
    <row r="34" spans="10:11" x14ac:dyDescent="0.3">
      <c r="J34" s="67">
        <v>0.24</v>
      </c>
      <c r="K34" s="69">
        <f t="shared" si="1"/>
        <v>-136.53895988742352</v>
      </c>
    </row>
    <row r="35" spans="10:11" x14ac:dyDescent="0.3">
      <c r="J35" s="67">
        <v>0.25</v>
      </c>
      <c r="K35" s="69">
        <f t="shared" si="1"/>
        <v>-276.80000000000018</v>
      </c>
    </row>
    <row r="36" spans="10:11" x14ac:dyDescent="0.3">
      <c r="J36" s="67">
        <v>0.26</v>
      </c>
      <c r="K36" s="69">
        <f t="shared" si="1"/>
        <v>-412.32301338182515</v>
      </c>
    </row>
    <row r="37" spans="10:11" x14ac:dyDescent="0.3">
      <c r="J37" s="67">
        <v>0.27</v>
      </c>
      <c r="K37" s="69">
        <f t="shared" si="1"/>
        <v>-543.31829691318853</v>
      </c>
    </row>
    <row r="38" spans="10:11" x14ac:dyDescent="0.3">
      <c r="J38" s="67">
        <v>0.28000000000000003</v>
      </c>
      <c r="K38" s="69">
        <f t="shared" si="1"/>
        <v>-669.98486220836639</v>
      </c>
    </row>
    <row r="39" spans="10:11" x14ac:dyDescent="0.3">
      <c r="J39" s="67">
        <v>0.28999999999999998</v>
      </c>
      <c r="K39" s="69">
        <f t="shared" si="1"/>
        <v>-792.51113737906417</v>
      </c>
    </row>
    <row r="40" spans="10:11" x14ac:dyDescent="0.3">
      <c r="J40" s="67">
        <v>0.3</v>
      </c>
      <c r="K40" s="69">
        <f t="shared" si="1"/>
        <v>-911.07561952420474</v>
      </c>
    </row>
    <row r="41" spans="10:11" x14ac:dyDescent="0.3">
      <c r="J41" s="67">
        <v>0.31</v>
      </c>
      <c r="K41" s="69">
        <f t="shared" si="1"/>
        <v>-1025.8474817842543</v>
      </c>
    </row>
    <row r="42" spans="10:11" x14ac:dyDescent="0.3">
      <c r="J42" s="67">
        <v>0.32</v>
      </c>
      <c r="K42" s="69">
        <f t="shared" ref="K42:K73" si="3">+NPV(J42,$D$11:$D$15)+$D$10</f>
        <v>-1136.9871384707958</v>
      </c>
    </row>
    <row r="43" spans="10:11" x14ac:dyDescent="0.3">
      <c r="J43" s="67">
        <v>0.33</v>
      </c>
      <c r="K43" s="69">
        <f t="shared" si="3"/>
        <v>-1244.6467714849723</v>
      </c>
    </row>
    <row r="44" spans="10:11" x14ac:dyDescent="0.3">
      <c r="J44" s="67">
        <v>0.34</v>
      </c>
      <c r="K44" s="69">
        <f t="shared" si="3"/>
        <v>-1348.9708209685195</v>
      </c>
    </row>
    <row r="45" spans="10:11" x14ac:dyDescent="0.3">
      <c r="J45" s="67">
        <v>0.35</v>
      </c>
      <c r="K45" s="69">
        <f t="shared" si="3"/>
        <v>-1450.0964428858597</v>
      </c>
    </row>
    <row r="46" spans="10:11" x14ac:dyDescent="0.3">
      <c r="J46" s="67">
        <v>0.36</v>
      </c>
      <c r="K46" s="69">
        <f t="shared" si="3"/>
        <v>-1548.1539360125698</v>
      </c>
    </row>
    <row r="47" spans="10:11" x14ac:dyDescent="0.3">
      <c r="J47" s="67">
        <v>0.37</v>
      </c>
      <c r="K47" s="69">
        <f t="shared" si="3"/>
        <v>-1643.2671406024974</v>
      </c>
    </row>
    <row r="48" spans="10:11" x14ac:dyDescent="0.3">
      <c r="J48" s="67">
        <v>0.38</v>
      </c>
      <c r="K48" s="69">
        <f t="shared" si="3"/>
        <v>-1735.5538108207047</v>
      </c>
    </row>
    <row r="49" spans="10:11" x14ac:dyDescent="0.3">
      <c r="J49" s="67">
        <v>0.39</v>
      </c>
      <c r="K49" s="69">
        <f t="shared" si="3"/>
        <v>-1825.1259628608614</v>
      </c>
    </row>
    <row r="50" spans="10:11" x14ac:dyDescent="0.3">
      <c r="J50" s="67">
        <v>0.4</v>
      </c>
      <c r="K50" s="69">
        <f t="shared" si="3"/>
        <v>-1912.0902005116914</v>
      </c>
    </row>
    <row r="51" spans="10:11" x14ac:dyDescent="0.3">
      <c r="J51" s="67">
        <v>0.41</v>
      </c>
      <c r="K51" s="69">
        <f t="shared" si="3"/>
        <v>-1996.5480197967927</v>
      </c>
    </row>
    <row r="52" spans="10:11" x14ac:dyDescent="0.3">
      <c r="J52" s="67">
        <v>0.42</v>
      </c>
      <c r="K52" s="69">
        <f t="shared" si="3"/>
        <v>-2078.5960941835929</v>
      </c>
    </row>
    <row r="53" spans="10:11" x14ac:dyDescent="0.3">
      <c r="J53" s="67">
        <v>0.43</v>
      </c>
      <c r="K53" s="69">
        <f t="shared" si="3"/>
        <v>-2158.3265417400789</v>
      </c>
    </row>
    <row r="54" spans="10:11" x14ac:dyDescent="0.3">
      <c r="J54" s="67">
        <v>0.44</v>
      </c>
      <c r="K54" s="69">
        <f t="shared" si="3"/>
        <v>-2235.8271755104861</v>
      </c>
    </row>
    <row r="55" spans="10:11" x14ac:dyDescent="0.3">
      <c r="J55" s="67">
        <v>0.45</v>
      </c>
      <c r="K55" s="69">
        <f t="shared" si="3"/>
        <v>-2311.1817382829204</v>
      </c>
    </row>
    <row r="56" spans="10:11" x14ac:dyDescent="0.3">
      <c r="J56" s="67">
        <v>0.46</v>
      </c>
      <c r="K56" s="69">
        <f t="shared" si="3"/>
        <v>-2384.4701228318836</v>
      </c>
    </row>
    <row r="57" spans="10:11" x14ac:dyDescent="0.3">
      <c r="J57" s="67">
        <v>0.47</v>
      </c>
      <c r="K57" s="69">
        <f t="shared" si="3"/>
        <v>-2455.7685786361608</v>
      </c>
    </row>
    <row r="58" spans="10:11" x14ac:dyDescent="0.3">
      <c r="J58" s="67">
        <v>0.48</v>
      </c>
      <c r="K58" s="69">
        <f t="shared" si="3"/>
        <v>-2525.1499059968555</v>
      </c>
    </row>
    <row r="59" spans="10:11" x14ac:dyDescent="0.3">
      <c r="J59" s="67">
        <v>0.49</v>
      </c>
      <c r="K59" s="69">
        <f t="shared" si="3"/>
        <v>-2592.6836384109283</v>
      </c>
    </row>
    <row r="60" spans="10:11" x14ac:dyDescent="0.3">
      <c r="J60" s="67">
        <v>0.5</v>
      </c>
      <c r="K60" s="69">
        <f t="shared" si="3"/>
        <v>-2658.4362139917694</v>
      </c>
    </row>
    <row r="61" spans="10:11" x14ac:dyDescent="0.3">
      <c r="J61" s="67">
        <v>0.51</v>
      </c>
      <c r="K61" s="69">
        <f t="shared" si="3"/>
        <v>-2722.4711366697675</v>
      </c>
    </row>
    <row r="62" spans="10:11" x14ac:dyDescent="0.3">
      <c r="J62" s="67">
        <v>0.52</v>
      </c>
      <c r="K62" s="69">
        <f t="shared" si="3"/>
        <v>-2784.8491278519159</v>
      </c>
    </row>
    <row r="63" spans="10:11" x14ac:dyDescent="0.3">
      <c r="J63" s="67">
        <v>0.53</v>
      </c>
      <c r="K63" s="69">
        <f t="shared" si="3"/>
        <v>-2845.6282691699143</v>
      </c>
    </row>
    <row r="64" spans="10:11" x14ac:dyDescent="0.3">
      <c r="J64" s="67">
        <v>0.54</v>
      </c>
      <c r="K64" s="69">
        <f t="shared" si="3"/>
        <v>-2904.8641369005913</v>
      </c>
    </row>
    <row r="65" spans="10:11" x14ac:dyDescent="0.3">
      <c r="J65" s="67">
        <v>0.55000000000000004</v>
      </c>
      <c r="K65" s="69">
        <f t="shared" si="3"/>
        <v>-2962.6099286003973</v>
      </c>
    </row>
    <row r="66" spans="10:11" x14ac:dyDescent="0.3">
      <c r="J66" s="67">
        <v>0.56000000000000005</v>
      </c>
      <c r="K66" s="69">
        <f t="shared" si="3"/>
        <v>-3018.9165824569973</v>
      </c>
    </row>
    <row r="67" spans="10:11" x14ac:dyDescent="0.3">
      <c r="J67" s="67">
        <v>0.56999999999999995</v>
      </c>
      <c r="K67" s="69">
        <f t="shared" si="3"/>
        <v>-3073.8328898252225</v>
      </c>
    </row>
    <row r="68" spans="10:11" x14ac:dyDescent="0.3">
      <c r="J68" s="67">
        <v>0.57999999999999996</v>
      </c>
      <c r="K68" s="69">
        <f t="shared" si="3"/>
        <v>-3127.4056013816994</v>
      </c>
    </row>
    <row r="69" spans="10:11" x14ac:dyDescent="0.3">
      <c r="J69" s="67">
        <v>0.59</v>
      </c>
      <c r="K69" s="69">
        <f t="shared" si="3"/>
        <v>-3179.6795273019779</v>
      </c>
    </row>
    <row r="70" spans="10:11" x14ac:dyDescent="0.3">
      <c r="J70" s="67">
        <v>0.6</v>
      </c>
      <c r="K70" s="69">
        <f t="shared" si="3"/>
        <v>-3230.6976318359375</v>
      </c>
    </row>
    <row r="71" spans="10:11" x14ac:dyDescent="0.3">
      <c r="J71" s="67">
        <v>0.61</v>
      </c>
      <c r="K71" s="69">
        <f t="shared" si="3"/>
        <v>-3280.5011226311713</v>
      </c>
    </row>
    <row r="72" spans="10:11" x14ac:dyDescent="0.3">
      <c r="J72" s="67">
        <v>0.62</v>
      </c>
      <c r="K72" s="69">
        <f t="shared" si="3"/>
        <v>-3329.1295351300969</v>
      </c>
    </row>
    <row r="73" spans="10:11" x14ac:dyDescent="0.3">
      <c r="J73" s="67">
        <v>0.63</v>
      </c>
      <c r="K73" s="69">
        <f t="shared" si="3"/>
        <v>-3376.6208123442293</v>
      </c>
    </row>
    <row r="74" spans="10:11" x14ac:dyDescent="0.3">
      <c r="J74" s="67">
        <v>0.64</v>
      </c>
      <c r="K74" s="69">
        <f t="shared" ref="K74" si="4">+NPV(J74,$D$11:$D$15)+$D$10</f>
        <v>-3423.0113802885708</v>
      </c>
    </row>
    <row r="75" spans="10:11" x14ac:dyDescent="0.3">
      <c r="J75" s="67">
        <v>0.65</v>
      </c>
      <c r="K75" s="69">
        <f t="shared" ref="K75:K110" si="5">+NPV(J75,$D$11:$D$15)+$D$10</f>
        <v>-3468.3362193398693</v>
      </c>
    </row>
    <row r="76" spans="10:11" x14ac:dyDescent="0.3">
      <c r="J76" s="67">
        <v>0.66</v>
      </c>
      <c r="K76" s="69">
        <f t="shared" si="5"/>
        <v>-3512.628931764998</v>
      </c>
    </row>
    <row r="77" spans="10:11" x14ac:dyDescent="0.3">
      <c r="J77" s="67">
        <v>0.67</v>
      </c>
      <c r="K77" s="69">
        <f t="shared" si="5"/>
        <v>-3555.9218056491736</v>
      </c>
    </row>
    <row r="78" spans="10:11" x14ac:dyDescent="0.3">
      <c r="J78" s="67">
        <v>0.68</v>
      </c>
      <c r="K78" s="69">
        <f t="shared" si="5"/>
        <v>-3598.2458754386835</v>
      </c>
    </row>
    <row r="79" spans="10:11" x14ac:dyDescent="0.3">
      <c r="J79" s="67">
        <v>0.69</v>
      </c>
      <c r="K79" s="69">
        <f t="shared" si="5"/>
        <v>-3639.6309792985717</v>
      </c>
    </row>
    <row r="80" spans="10:11" x14ac:dyDescent="0.3">
      <c r="J80" s="67">
        <v>0.7</v>
      </c>
      <c r="K80" s="69">
        <f t="shared" si="5"/>
        <v>-3680.105813472765</v>
      </c>
    </row>
    <row r="81" spans="10:11" x14ac:dyDescent="0.3">
      <c r="J81" s="67">
        <v>0.71</v>
      </c>
      <c r="K81" s="69">
        <f t="shared" si="5"/>
        <v>-3719.6979838218581</v>
      </c>
    </row>
    <row r="82" spans="10:11" x14ac:dyDescent="0.3">
      <c r="J82" s="67">
        <v>0.72</v>
      </c>
      <c r="K82" s="69">
        <f t="shared" si="5"/>
        <v>-3758.4340547025586</v>
      </c>
    </row>
    <row r="83" spans="10:11" x14ac:dyDescent="0.3">
      <c r="J83" s="67">
        <v>0.73</v>
      </c>
      <c r="K83" s="69">
        <f t="shared" si="5"/>
        <v>-3796.3395953422523</v>
      </c>
    </row>
    <row r="84" spans="10:11" x14ac:dyDescent="0.3">
      <c r="J84" s="67">
        <v>0.74</v>
      </c>
      <c r="K84" s="69">
        <f t="shared" si="5"/>
        <v>-3833.4392238523865</v>
      </c>
    </row>
    <row r="85" spans="10:11" x14ac:dyDescent="0.3">
      <c r="J85" s="67">
        <v>0.75</v>
      </c>
      <c r="K85" s="69">
        <f t="shared" si="5"/>
        <v>-3869.7566490152917</v>
      </c>
    </row>
    <row r="86" spans="10:11" x14ac:dyDescent="0.3">
      <c r="J86" s="67">
        <v>0.76</v>
      </c>
      <c r="K86" s="69">
        <f t="shared" si="5"/>
        <v>-3905.3147099705602</v>
      </c>
    </row>
    <row r="87" spans="10:11" x14ac:dyDescent="0.3">
      <c r="J87" s="67">
        <v>0.77</v>
      </c>
      <c r="K87" s="69">
        <f t="shared" si="5"/>
        <v>-3940.1354139192813</v>
      </c>
    </row>
    <row r="88" spans="10:11" x14ac:dyDescent="0.3">
      <c r="J88" s="67">
        <v>0.78</v>
      </c>
      <c r="K88" s="69">
        <f t="shared" si="5"/>
        <v>-3974.2399719570039</v>
      </c>
    </row>
    <row r="89" spans="10:11" x14ac:dyDescent="0.3">
      <c r="J89" s="67">
        <v>0.79</v>
      </c>
      <c r="K89" s="69">
        <f t="shared" si="5"/>
        <v>-4007.6488331395312</v>
      </c>
    </row>
    <row r="90" spans="10:11" x14ac:dyDescent="0.3">
      <c r="J90" s="67">
        <v>0.8</v>
      </c>
      <c r="K90" s="69">
        <f t="shared" si="5"/>
        <v>-4040.381716879202</v>
      </c>
    </row>
    <row r="91" spans="10:11" x14ac:dyDescent="0.3">
      <c r="J91" s="67">
        <v>0.81</v>
      </c>
      <c r="K91" s="69">
        <f t="shared" si="5"/>
        <v>-4072.4576437633873</v>
      </c>
    </row>
    <row r="92" spans="10:11" x14ac:dyDescent="0.3">
      <c r="J92" s="67">
        <v>0.82</v>
      </c>
      <c r="K92" s="69">
        <f t="shared" si="5"/>
        <v>-4103.8949648813523</v>
      </c>
    </row>
    <row r="93" spans="10:11" x14ac:dyDescent="0.3">
      <c r="J93" s="67">
        <v>0.83</v>
      </c>
      <c r="K93" s="69">
        <f t="shared" si="5"/>
        <v>-4134.7113897404652</v>
      </c>
    </row>
    <row r="94" spans="10:11" x14ac:dyDescent="0.3">
      <c r="J94" s="67">
        <v>0.84</v>
      </c>
      <c r="K94" s="69">
        <f t="shared" si="5"/>
        <v>-4164.9240128478232</v>
      </c>
    </row>
    <row r="95" spans="10:11" x14ac:dyDescent="0.3">
      <c r="J95" s="67">
        <v>0.85</v>
      </c>
      <c r="K95" s="69">
        <f t="shared" si="5"/>
        <v>-4194.549339028923</v>
      </c>
    </row>
    <row r="96" spans="10:11" x14ac:dyDescent="0.3">
      <c r="J96" s="67">
        <v>0.86</v>
      </c>
      <c r="K96" s="69">
        <f t="shared" si="5"/>
        <v>-4223.603307550653</v>
      </c>
    </row>
    <row r="97" spans="10:11" x14ac:dyDescent="0.3">
      <c r="J97" s="67">
        <v>0.87</v>
      </c>
      <c r="K97" s="69">
        <f t="shared" si="5"/>
        <v>-4252.1013151120305</v>
      </c>
    </row>
    <row r="98" spans="10:11" x14ac:dyDescent="0.3">
      <c r="J98" s="67">
        <v>0.88</v>
      </c>
      <c r="K98" s="69">
        <f t="shared" si="5"/>
        <v>-4280.0582377622895</v>
      </c>
    </row>
    <row r="99" spans="10:11" x14ac:dyDescent="0.3">
      <c r="J99" s="67">
        <v>0.89</v>
      </c>
      <c r="K99" s="69">
        <f t="shared" si="5"/>
        <v>-4307.4884518025465</v>
      </c>
    </row>
    <row r="100" spans="10:11" x14ac:dyDescent="0.3">
      <c r="J100" s="67">
        <v>0.9</v>
      </c>
      <c r="K100" s="69">
        <f t="shared" si="5"/>
        <v>-4334.4058537239416</v>
      </c>
    </row>
    <row r="101" spans="10:11" x14ac:dyDescent="0.3">
      <c r="J101" s="67">
        <v>0.91</v>
      </c>
      <c r="K101" s="69">
        <f t="shared" si="5"/>
        <v>-4360.8238792321663</v>
      </c>
    </row>
    <row r="102" spans="10:11" x14ac:dyDescent="0.3">
      <c r="J102" s="67">
        <v>0.92</v>
      </c>
      <c r="K102" s="69">
        <f t="shared" si="5"/>
        <v>-4386.7555214053809</v>
      </c>
    </row>
    <row r="103" spans="10:11" x14ac:dyDescent="0.3">
      <c r="J103" s="67">
        <v>0.93</v>
      </c>
      <c r="K103" s="69">
        <f t="shared" si="5"/>
        <v>-4412.2133480298999</v>
      </c>
    </row>
    <row r="104" spans="10:11" x14ac:dyDescent="0.3">
      <c r="J104" s="67">
        <v>0.94</v>
      </c>
      <c r="K104" s="69">
        <f t="shared" si="5"/>
        <v>-4437.209518155465</v>
      </c>
    </row>
    <row r="105" spans="10:11" x14ac:dyDescent="0.3">
      <c r="J105" s="67">
        <v>0.95</v>
      </c>
      <c r="K105" s="69">
        <f t="shared" si="5"/>
        <v>-4461.7557979096046</v>
      </c>
    </row>
    <row r="106" spans="10:11" x14ac:dyDescent="0.3">
      <c r="J106" s="67">
        <v>0.96</v>
      </c>
      <c r="K106" s="69">
        <f t="shared" si="5"/>
        <v>-4485.8635756083531</v>
      </c>
    </row>
    <row r="107" spans="10:11" x14ac:dyDescent="0.3">
      <c r="J107" s="67">
        <v>0.97</v>
      </c>
      <c r="K107" s="69">
        <f t="shared" si="5"/>
        <v>-4509.5438761985315</v>
      </c>
    </row>
    <row r="108" spans="10:11" x14ac:dyDescent="0.3">
      <c r="J108" s="67">
        <v>0.98</v>
      </c>
      <c r="K108" s="69">
        <f t="shared" si="5"/>
        <v>-4532.80737506484</v>
      </c>
    </row>
    <row r="109" spans="10:11" x14ac:dyDescent="0.3">
      <c r="J109" s="67">
        <v>0.99</v>
      </c>
      <c r="K109" s="69">
        <f t="shared" si="5"/>
        <v>-4555.664411233196</v>
      </c>
    </row>
    <row r="110" spans="10:11" x14ac:dyDescent="0.3">
      <c r="J110" s="67">
        <v>1</v>
      </c>
      <c r="K110" s="69">
        <f t="shared" si="5"/>
        <v>-4578.125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45236-A81B-408F-AF45-15A4013560D3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B5457-036E-4EE3-8A14-27942CD7724B}">
  <dimension ref="A1"/>
  <sheetViews>
    <sheetView workbookViewId="0">
      <selection activeCell="E27" sqref="E27"/>
    </sheetView>
  </sheetViews>
  <sheetFormatPr baseColWidth="10"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8DE6B-2A7F-4500-B0AA-609EDFEE9482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Entrada datos mensual</vt:lpstr>
      <vt:lpstr>Demanda Termica</vt:lpstr>
      <vt:lpstr>Reuniones</vt:lpstr>
      <vt:lpstr>Resumen</vt:lpstr>
      <vt:lpstr>Analisis comparativo</vt:lpstr>
      <vt:lpstr>VAN</vt:lpstr>
      <vt:lpstr>Temperatura ambiente media sol</vt:lpstr>
      <vt:lpstr>Irradiacion horizontal media</vt:lpstr>
      <vt:lpstr>Temperatura de agua de red</vt:lpstr>
      <vt:lpstr>Coeficiente de correccion 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Mayte Estrada Torvisco</dc:creator>
  <cp:lastModifiedBy>Luz Mayte Estrada Torvisco</cp:lastModifiedBy>
  <dcterms:created xsi:type="dcterms:W3CDTF">2023-03-01T15:32:43Z</dcterms:created>
  <dcterms:modified xsi:type="dcterms:W3CDTF">2023-03-17T14:49:51Z</dcterms:modified>
</cp:coreProperties>
</file>