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OneDrive\Documentos\Documentos\Proyectos digitales\Heating-Systems-Peru\Calculos\"/>
    </mc:Choice>
  </mc:AlternateContent>
  <xr:revisionPtr revIDLastSave="0" documentId="13_ncr:1_{CA5E69DB-D5D7-4667-94F6-F34EABB5A361}" xr6:coauthVersionLast="47" xr6:coauthVersionMax="47" xr10:uidLastSave="{00000000-0000-0000-0000-000000000000}"/>
  <bookViews>
    <workbookView xWindow="28680" yWindow="1530" windowWidth="21840" windowHeight="13020" xr2:uid="{871B7CCD-0AC1-4A84-B096-2B2F47B84CAF}"/>
  </bookViews>
  <sheets>
    <sheet name="Entrada datos mensual" sheetId="10" r:id="rId1"/>
    <sheet name="Demanda Termica" sheetId="12" r:id="rId2"/>
    <sheet name="Reuniones" sheetId="13" r:id="rId3"/>
    <sheet name="Resumen" sheetId="11" state="hidden" r:id="rId4"/>
    <sheet name="Analisis comparativo" sheetId="9" r:id="rId5"/>
    <sheet name="VAN" sheetId="3" r:id="rId6"/>
    <sheet name="Temperatura ambiente media sol" sheetId="6" r:id="rId7"/>
    <sheet name="Irradiacion horizontal media" sheetId="5" r:id="rId8"/>
    <sheet name="Temperatura de agua de red" sheetId="4" r:id="rId9"/>
    <sheet name="Coeficiente de correccion K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0" l="1"/>
  <c r="O41" i="10"/>
  <c r="O42" i="10"/>
  <c r="O43" i="10"/>
  <c r="O44" i="10"/>
  <c r="O45" i="10"/>
  <c r="O46" i="10"/>
  <c r="O47" i="10"/>
  <c r="O48" i="10"/>
  <c r="O49" i="10"/>
  <c r="O50" i="10"/>
  <c r="O51" i="10"/>
  <c r="F19" i="3"/>
  <c r="F18" i="3"/>
  <c r="L52" i="10"/>
  <c r="J52" i="10"/>
  <c r="N41" i="10"/>
  <c r="N43" i="10"/>
  <c r="M42" i="10"/>
  <c r="M44" i="10"/>
  <c r="L43" i="10"/>
  <c r="L40" i="10"/>
  <c r="K40" i="10"/>
  <c r="L44" i="10"/>
  <c r="K46" i="10"/>
  <c r="J40" i="10"/>
  <c r="I46" i="10"/>
  <c r="I40" i="10"/>
  <c r="P19" i="10"/>
  <c r="C17" i="10"/>
  <c r="F13" i="9"/>
  <c r="K10" i="3"/>
  <c r="P22" i="10"/>
  <c r="F11" i="3"/>
  <c r="F10" i="3"/>
  <c r="E11" i="3"/>
  <c r="E12" i="3"/>
  <c r="E13" i="3"/>
  <c r="E14" i="3"/>
  <c r="E15" i="3"/>
  <c r="D10" i="3"/>
  <c r="C32" i="10"/>
  <c r="C31" i="10"/>
  <c r="C30" i="10"/>
  <c r="F14" i="9"/>
  <c r="F11" i="9"/>
  <c r="F12" i="9"/>
  <c r="F15" i="9"/>
  <c r="F16" i="9"/>
  <c r="G16" i="9" s="1"/>
  <c r="F17" i="9"/>
  <c r="G17" i="9" s="1"/>
  <c r="F18" i="9"/>
  <c r="F19" i="9"/>
  <c r="G19" i="9" s="1"/>
  <c r="F20" i="9"/>
  <c r="G20" i="9" s="1"/>
  <c r="F21" i="9"/>
  <c r="G21" i="9" s="1"/>
  <c r="F22" i="9"/>
  <c r="G22" i="9" s="1"/>
  <c r="G12" i="9"/>
  <c r="G13" i="9"/>
  <c r="G14" i="9"/>
  <c r="G15" i="9"/>
  <c r="G18" i="9"/>
  <c r="G11" i="9"/>
  <c r="B4" i="9"/>
  <c r="P20" i="10"/>
  <c r="P16" i="10"/>
  <c r="E12" i="9"/>
  <c r="E13" i="9"/>
  <c r="E14" i="9"/>
  <c r="E15" i="9"/>
  <c r="E16" i="9"/>
  <c r="E17" i="9"/>
  <c r="E18" i="9"/>
  <c r="E19" i="9"/>
  <c r="E20" i="9"/>
  <c r="E21" i="9"/>
  <c r="E22" i="9"/>
  <c r="E11" i="9"/>
  <c r="B22" i="9"/>
  <c r="B21" i="9"/>
  <c r="B12" i="9"/>
  <c r="B13" i="9"/>
  <c r="B14" i="9"/>
  <c r="B15" i="9"/>
  <c r="B16" i="9"/>
  <c r="B17" i="9"/>
  <c r="B18" i="9"/>
  <c r="B19" i="9"/>
  <c r="B20" i="9"/>
  <c r="B11" i="9"/>
  <c r="D11" i="10"/>
  <c r="G41" i="10" s="1"/>
  <c r="C16" i="10"/>
  <c r="H17" i="10" s="1"/>
  <c r="H40" i="10" s="1"/>
  <c r="L16" i="10" l="1"/>
  <c r="F12" i="3"/>
  <c r="K85" i="3"/>
  <c r="K59" i="3"/>
  <c r="K40" i="3"/>
  <c r="K73" i="3"/>
  <c r="K50" i="3"/>
  <c r="K42" i="3"/>
  <c r="K13" i="3"/>
  <c r="K66" i="3"/>
  <c r="K38" i="3"/>
  <c r="K98" i="3"/>
  <c r="K84" i="3"/>
  <c r="K91" i="3"/>
  <c r="K88" i="3"/>
  <c r="K57" i="3"/>
  <c r="K26" i="3"/>
  <c r="K87" i="3"/>
  <c r="K43" i="3"/>
  <c r="K99" i="3"/>
  <c r="K56" i="3"/>
  <c r="K49" i="3"/>
  <c r="K51" i="3"/>
  <c r="K90" i="3"/>
  <c r="K39" i="3"/>
  <c r="K89" i="3"/>
  <c r="K41" i="3"/>
  <c r="K37" i="3"/>
  <c r="K106" i="3"/>
  <c r="K69" i="3"/>
  <c r="K35" i="3"/>
  <c r="K72" i="3"/>
  <c r="K71" i="3"/>
  <c r="K107" i="3"/>
  <c r="K11" i="3"/>
  <c r="K101" i="3"/>
  <c r="K68" i="3"/>
  <c r="K34" i="3"/>
  <c r="K79" i="3"/>
  <c r="K70" i="3"/>
  <c r="K100" i="3"/>
  <c r="K67" i="3"/>
  <c r="K32" i="3"/>
  <c r="K86" i="3"/>
  <c r="K58" i="3"/>
  <c r="K36" i="3"/>
  <c r="K83" i="3"/>
  <c r="K55" i="3"/>
  <c r="K54" i="3"/>
  <c r="K103" i="3"/>
  <c r="K75" i="3"/>
  <c r="K53" i="3"/>
  <c r="K25" i="3"/>
  <c r="K105" i="3"/>
  <c r="K27" i="3"/>
  <c r="K104" i="3"/>
  <c r="K82" i="3"/>
  <c r="K102" i="3"/>
  <c r="K74" i="3"/>
  <c r="K52" i="3"/>
  <c r="K23" i="3"/>
  <c r="K24" i="3"/>
  <c r="K22" i="3"/>
  <c r="K21" i="3"/>
  <c r="K20" i="3"/>
  <c r="K19" i="3"/>
  <c r="K18" i="3"/>
  <c r="K17" i="3"/>
  <c r="K16" i="3"/>
  <c r="K15" i="3"/>
  <c r="K81" i="3"/>
  <c r="K33" i="3"/>
  <c r="K48" i="3"/>
  <c r="K63" i="3"/>
  <c r="K47" i="3"/>
  <c r="K31" i="3"/>
  <c r="K110" i="3"/>
  <c r="K94" i="3"/>
  <c r="K78" i="3"/>
  <c r="K62" i="3"/>
  <c r="K46" i="3"/>
  <c r="K30" i="3"/>
  <c r="K14" i="3"/>
  <c r="K97" i="3"/>
  <c r="K65" i="3"/>
  <c r="K96" i="3"/>
  <c r="K80" i="3"/>
  <c r="K64" i="3"/>
  <c r="K95" i="3"/>
  <c r="K109" i="3"/>
  <c r="K93" i="3"/>
  <c r="K77" i="3"/>
  <c r="K61" i="3"/>
  <c r="K45" i="3"/>
  <c r="K29" i="3"/>
  <c r="K108" i="3"/>
  <c r="K92" i="3"/>
  <c r="K76" i="3"/>
  <c r="K60" i="3"/>
  <c r="K44" i="3"/>
  <c r="K28" i="3"/>
  <c r="K12" i="3"/>
  <c r="C18" i="10"/>
  <c r="C19" i="10" s="1"/>
  <c r="H41" i="10"/>
  <c r="I41" i="10"/>
  <c r="G51" i="10"/>
  <c r="I51" i="10" s="1"/>
  <c r="G40" i="10"/>
  <c r="G50" i="10"/>
  <c r="H50" i="10" s="1"/>
  <c r="G49" i="10"/>
  <c r="H49" i="10" s="1"/>
  <c r="G48" i="10"/>
  <c r="H48" i="10" s="1"/>
  <c r="G47" i="10"/>
  <c r="I47" i="10" s="1"/>
  <c r="G46" i="10"/>
  <c r="G45" i="10"/>
  <c r="H45" i="10" s="1"/>
  <c r="G44" i="10"/>
  <c r="H44" i="10" s="1"/>
  <c r="G43" i="10"/>
  <c r="H43" i="10" s="1"/>
  <c r="G42" i="10"/>
  <c r="H42" i="10" s="1"/>
  <c r="L18" i="10"/>
  <c r="N44" i="10" l="1"/>
  <c r="P47" i="10"/>
  <c r="P49" i="10"/>
  <c r="P40" i="10"/>
  <c r="P42" i="10"/>
  <c r="N45" i="10"/>
  <c r="P43" i="10"/>
  <c r="P44" i="10"/>
  <c r="P45" i="10"/>
  <c r="P46" i="10"/>
  <c r="P48" i="10"/>
  <c r="P50" i="10"/>
  <c r="P51" i="10"/>
  <c r="P41" i="10"/>
  <c r="F13" i="3"/>
  <c r="F14" i="3" s="1"/>
  <c r="F15" i="3" s="1"/>
  <c r="F16" i="3"/>
  <c r="N50" i="10"/>
  <c r="N49" i="10"/>
  <c r="N51" i="10"/>
  <c r="N40" i="10"/>
  <c r="N46" i="10"/>
  <c r="N48" i="10"/>
  <c r="N42" i="10"/>
  <c r="N47" i="10"/>
  <c r="I45" i="10"/>
  <c r="J45" i="10" s="1"/>
  <c r="K45" i="10" s="1"/>
  <c r="I50" i="10"/>
  <c r="J50" i="10" s="1"/>
  <c r="K50" i="10" s="1"/>
  <c r="I44" i="10"/>
  <c r="J44" i="10" s="1"/>
  <c r="K44" i="10" s="1"/>
  <c r="I48" i="10"/>
  <c r="J48" i="10" s="1"/>
  <c r="K48" i="10" s="1"/>
  <c r="H47" i="10"/>
  <c r="J47" i="10" s="1"/>
  <c r="K47" i="10" s="1"/>
  <c r="H46" i="10"/>
  <c r="J46" i="10" s="1"/>
  <c r="I49" i="10"/>
  <c r="J49" i="10" s="1"/>
  <c r="K49" i="10" s="1"/>
  <c r="H51" i="10"/>
  <c r="J51" i="10" s="1"/>
  <c r="K51" i="10" s="1"/>
  <c r="I43" i="10"/>
  <c r="J43" i="10" s="1"/>
  <c r="K43" i="10" s="1"/>
  <c r="I42" i="10"/>
  <c r="J42" i="10" s="1"/>
  <c r="K42" i="10" s="1"/>
  <c r="J41" i="10"/>
  <c r="K41" i="10" s="1"/>
  <c r="Q45" i="10" l="1"/>
  <c r="Q44" i="10"/>
  <c r="Q47" i="10"/>
  <c r="Q41" i="10"/>
  <c r="Q43" i="10"/>
  <c r="Q51" i="10"/>
  <c r="Q42" i="10"/>
  <c r="Q50" i="10"/>
  <c r="Q48" i="10"/>
  <c r="Q46" i="10"/>
  <c r="Q40" i="10"/>
  <c r="Q49" i="10"/>
  <c r="L46" i="10"/>
  <c r="M46" i="10"/>
  <c r="M40" i="10"/>
  <c r="L51" i="10"/>
  <c r="M51" i="10"/>
  <c r="L50" i="10"/>
  <c r="M50" i="10"/>
  <c r="L49" i="10"/>
  <c r="M49" i="10"/>
  <c r="L48" i="10"/>
  <c r="M48" i="10"/>
  <c r="L47" i="10"/>
  <c r="M47" i="10"/>
  <c r="M43" i="10"/>
  <c r="L45" i="10"/>
  <c r="M45" i="10"/>
  <c r="L42" i="10"/>
  <c r="L41" i="10"/>
  <c r="M41" i="10"/>
  <c r="K52" i="10"/>
  <c r="G52" i="10"/>
  <c r="O52" i="10" l="1"/>
  <c r="M52" i="10"/>
  <c r="Q52" i="10"/>
  <c r="N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tc={6409D16C-0268-4F2B-B07C-4E384E04AB54}</author>
    <author>tc={3D8196C1-F661-444A-A70D-C0CE5C619020}</author>
    <author>tc={F0EC5397-B68E-4740-BA83-D59098DE5B37}</author>
    <author>tc={1B56EC91-B3C6-4CBC-900A-0C066FE90517}</author>
    <author>tc={B0588406-EE8A-4F09-A8C9-736B243C991B}</author>
    <author>tc={F32BFCE7-C0BD-40BA-8F16-29342EAB9D3A}</author>
    <author>tc={B287F046-7D02-4F39-8C76-470255A8A209}</author>
    <author>tc={6814D13F-356E-42A5-B5A0-5C6879B66DE7}</author>
    <author>tc={510C51D5-5BB7-4361-A3A2-F319EEF34EA5}</author>
    <author>tc={242401AB-4F96-4597-856B-880B62D700A7}</author>
    <author>tc={387B9694-A301-4C67-9B6C-98D44CE79462}</author>
  </authors>
  <commentList>
    <comment ref="L16" authorId="0" shapeId="0" xr:uid="{6409D16C-0268-4F2B-B07C-4E384E04AB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Predimensionamiento del volumen de acumulación, que suele ser 75 veces el área de los captadores</t>
      </text>
    </comment>
    <comment ref="P16" authorId="1" shapeId="0" xr:uid="{3D8196C1-F661-444A-A70D-C0CE5C619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P17" authorId="2" shapeId="0" xr:uid="{F0EC5397-B68E-4740-BA83-D59098DE5B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18" authorId="3" shapeId="0" xr:uid="{1B56EC91-B3C6-4CBC-900A-0C066FE905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Relación entre el volumen de acumulación de ACS en litros y la superficie de los captadores en m2. Según CTE debe cumplirse que 50&lt;V/Sc&lt;180</t>
      </text>
    </comment>
    <comment ref="P18" authorId="4" shapeId="0" xr:uid="{B0588406-EE8A-4F09-A8C9-736B243C991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  <comment ref="B38" authorId="5" shapeId="0" xr:uid="{F32BFCE7-C0BD-40BA-8F16-29342EAB9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Números de días por mes</t>
      </text>
    </comment>
    <comment ref="D38" authorId="6" shapeId="0" xr:uid="{B287F046-7D02-4F39-8C76-470255A8A2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8" authorId="7" shapeId="0" xr:uid="{6814D13F-356E-42A5-B5A0-5C6879B66D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  <comment ref="C39" authorId="8" shapeId="0" xr:uid="{510C51D5-5BB7-4361-A3A2-F319EEF34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agua de red</t>
      </text>
    </comment>
    <comment ref="D39" authorId="9" shapeId="0" xr:uid="{242401AB-4F96-4597-856B-880B62D700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9" authorId="10" shapeId="0" xr:uid="{387B9694-A301-4C67-9B6C-98D44CE794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tc={4E7D3F8B-492A-4753-807D-4D7A4CD02DE1}</author>
    <author>tc={AE04F5D2-8B13-40EA-A896-6914D3B4CFDF}</author>
    <author>tc={BA2FB039-60A1-4767-9003-FA4045FAE4FA}</author>
  </authors>
  <commentList>
    <comment ref="L26" authorId="0" shapeId="0" xr:uid="{4E7D3F8B-492A-4753-807D-4D7A4CD02D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L27" authorId="1" shapeId="0" xr:uid="{AE04F5D2-8B13-40EA-A896-6914D3B4C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28" authorId="2" shapeId="0" xr:uid="{BA2FB039-60A1-4767-9003-FA4045FAE4F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</commentList>
</comments>
</file>

<file path=xl/sharedStrings.xml><?xml version="1.0" encoding="utf-8"?>
<sst xmlns="http://schemas.openxmlformats.org/spreadsheetml/2006/main" count="221" uniqueCount="173">
  <si>
    <t>MES</t>
  </si>
  <si>
    <t>tred[°C]</t>
  </si>
  <si>
    <t>H [MJ/m2]</t>
  </si>
  <si>
    <t>ta [°C]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</si>
  <si>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</si>
  <si>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</si>
  <si>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</si>
  <si>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</si>
  <si>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</si>
  <si>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</si>
  <si>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</si>
  <si>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</si>
  <si>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</si>
  <si>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</si>
  <si>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</si>
  <si>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</si>
  <si>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ACS</t>
  </si>
  <si>
    <t>Mes</t>
  </si>
  <si>
    <t>TOTAL</t>
  </si>
  <si>
    <t>N° Colectores</t>
  </si>
  <si>
    <t>Área</t>
  </si>
  <si>
    <t>Fracción Solar (%)</t>
  </si>
  <si>
    <t>Efecto débil irradiación primeras y últimas horas del día</t>
  </si>
  <si>
    <t>Atmósfera limpia o polucionada</t>
  </si>
  <si>
    <t>Influencia orientación</t>
  </si>
  <si>
    <t>Influencia suciedad</t>
  </si>
  <si>
    <t>Provincia</t>
  </si>
  <si>
    <t>Latitud de cálculo</t>
  </si>
  <si>
    <t>t_ac</t>
  </si>
  <si>
    <t>Acimut captador</t>
  </si>
  <si>
    <t>Inclinación captador</t>
  </si>
  <si>
    <t>Consumo/día a 60 °C</t>
  </si>
  <si>
    <t>°C</t>
  </si>
  <si>
    <t>Zona climática</t>
  </si>
  <si>
    <t>fs Cobertura solar mínim</t>
  </si>
  <si>
    <t>%</t>
  </si>
  <si>
    <t>Factor óptico</t>
  </si>
  <si>
    <t>Factor pérdidas</t>
  </si>
  <si>
    <t>Superficie Panel</t>
  </si>
  <si>
    <t>m2</t>
  </si>
  <si>
    <t>W/m2.K</t>
  </si>
  <si>
    <t>Predimensionado campo de captadores</t>
  </si>
  <si>
    <t>Area captador</t>
  </si>
  <si>
    <t>Area predimencionada</t>
  </si>
  <si>
    <t>N° de captadores predimensionados</t>
  </si>
  <si>
    <t>Área redondeada</t>
  </si>
  <si>
    <t>Datos del sistema de captación</t>
  </si>
  <si>
    <t>N° de captadores proyectados</t>
  </si>
  <si>
    <t>sc = área captadores proyectada</t>
  </si>
  <si>
    <t>(*) pérdidas de acumulación en apoyo</t>
  </si>
  <si>
    <t>(*) pérdidas de distribución/ circulación</t>
  </si>
  <si>
    <t>Sistema de acumulación</t>
  </si>
  <si>
    <t>Volumen predimensionado</t>
  </si>
  <si>
    <t>Volumen proyectado</t>
  </si>
  <si>
    <t>°</t>
  </si>
  <si>
    <t>l/dia</t>
  </si>
  <si>
    <t>no</t>
  </si>
  <si>
    <t>V/S_c</t>
  </si>
  <si>
    <t>Yauli</t>
  </si>
  <si>
    <t>KW/m2.K</t>
  </si>
  <si>
    <t>C_mes a 60°C</t>
  </si>
  <si>
    <t>litros</t>
  </si>
  <si>
    <t>Q_ACS-Climat</t>
  </si>
  <si>
    <t>kWh</t>
  </si>
  <si>
    <t>Q_perd</t>
  </si>
  <si>
    <t>Q_a-total</t>
  </si>
  <si>
    <t>H_dia</t>
  </si>
  <si>
    <t>MJ/m2.dia</t>
  </si>
  <si>
    <t>EI</t>
  </si>
  <si>
    <t>E_a</t>
  </si>
  <si>
    <t>f</t>
  </si>
  <si>
    <t>Q_u</t>
  </si>
  <si>
    <t>Rendi</t>
  </si>
  <si>
    <t>Total anual</t>
  </si>
  <si>
    <t>Media anual</t>
  </si>
  <si>
    <t>Área captador</t>
  </si>
  <si>
    <t>Área predimensionada</t>
  </si>
  <si>
    <t>N° captadores proyectados</t>
  </si>
  <si>
    <t>sc área captadores proyectados</t>
  </si>
  <si>
    <t>V/Sc</t>
  </si>
  <si>
    <t>Cumplimiento DB HE-4. COBERTURA SOLAR, FS &gt; 60%</t>
  </si>
  <si>
    <t>Cumplimiento DB HE-4: RENDIMIENTO. IST Medio Anual &gt; 20%; (PCT &gt; 30%)</t>
  </si>
  <si>
    <t>SI</t>
  </si>
  <si>
    <t>Número de días por mes</t>
  </si>
  <si>
    <t>[dias]</t>
  </si>
  <si>
    <t>Temperatura de agua de red</t>
  </si>
  <si>
    <t xml:space="preserve"> Q_a [MJ]</t>
  </si>
  <si>
    <t>Relación energía absorbida por la placa del captador y la carga calorífica total de calentamiento</t>
  </si>
  <si>
    <t>Relación entre las pérdidas de energía en el captador</t>
  </si>
  <si>
    <t>Radiación media diaria por unidad de superficie</t>
  </si>
  <si>
    <t>[%]</t>
  </si>
  <si>
    <t>Q_u [MJ]</t>
  </si>
  <si>
    <t>Eficiencia óptica del colector</t>
  </si>
  <si>
    <t>X</t>
  </si>
  <si>
    <t>Y</t>
  </si>
  <si>
    <t>Temperatura ambiental promedio</t>
  </si>
  <si>
    <t>[hrs]</t>
  </si>
  <si>
    <t>f [%]</t>
  </si>
  <si>
    <t>f value</t>
  </si>
  <si>
    <t>Aporte solar</t>
  </si>
  <si>
    <t>Rendimiento</t>
  </si>
  <si>
    <t>Rendimiento (%)</t>
  </si>
  <si>
    <t xml:space="preserve">Backup cost </t>
  </si>
  <si>
    <t>(S/.)</t>
  </si>
  <si>
    <t>Back up cost (S/.)</t>
  </si>
  <si>
    <t>Coeficiente global de pérdidas</t>
  </si>
  <si>
    <t>Modificador ángulo incidencia</t>
  </si>
  <si>
    <t>Factor de corrección del conjunto intercambiador</t>
  </si>
  <si>
    <t>Horas de sol</t>
  </si>
  <si>
    <t>Ahorro (S/.)</t>
  </si>
  <si>
    <t>Demanda de energía</t>
  </si>
  <si>
    <t>tasa de interés i</t>
  </si>
  <si>
    <t>inflación j</t>
  </si>
  <si>
    <t>tasa descuento d</t>
  </si>
  <si>
    <t>Costo por unidad de área (S/. m2)</t>
  </si>
  <si>
    <t>años funcionamiento w</t>
  </si>
  <si>
    <t>Costo mantenimiento OM</t>
  </si>
  <si>
    <t>Costo anualizado (S/)</t>
  </si>
  <si>
    <t>Análisis económico</t>
  </si>
  <si>
    <t>Costo electricidad</t>
  </si>
  <si>
    <t>S/. /kWh</t>
  </si>
  <si>
    <t>Costo de colectores solares instalados</t>
  </si>
  <si>
    <t>S/. /m2</t>
  </si>
  <si>
    <t>Costos adicionales (intercambiador de calor, bombas, piping)</t>
  </si>
  <si>
    <t>S/.</t>
  </si>
  <si>
    <t xml:space="preserve">Costo almacenamiento agua </t>
  </si>
  <si>
    <t>s/. /kg</t>
  </si>
  <si>
    <t>Fracción anual de inversión</t>
  </si>
  <si>
    <t>Impacto ambiental</t>
  </si>
  <si>
    <t>CO2 eq/ kWh</t>
  </si>
  <si>
    <t>Producción de CO2</t>
  </si>
  <si>
    <t>[kg]</t>
  </si>
  <si>
    <t>Produccion CO2 (kg)</t>
  </si>
  <si>
    <t>Ahorro (SOL)</t>
  </si>
  <si>
    <t>Energy per dollar (kJ/ SOL)</t>
  </si>
  <si>
    <t>Años</t>
  </si>
  <si>
    <t>Flujo beneficio (+)</t>
  </si>
  <si>
    <t>Flujo beneficio (-)</t>
  </si>
  <si>
    <t>Flujo beneficio neto S/.</t>
  </si>
  <si>
    <t>Inversión</t>
  </si>
  <si>
    <t>Flujo caja positivo</t>
  </si>
  <si>
    <t>VAN</t>
  </si>
  <si>
    <t>VAN caso 1</t>
  </si>
  <si>
    <t>Tasa de descuentos (TIR)</t>
  </si>
  <si>
    <t>Datos</t>
  </si>
  <si>
    <t>Valores</t>
  </si>
  <si>
    <t>Número de periodos</t>
  </si>
  <si>
    <t>Tipo de periodo</t>
  </si>
  <si>
    <t>Tasa de descuento (i)</t>
  </si>
  <si>
    <t>anual</t>
  </si>
  <si>
    <t>(1+i)^n</t>
  </si>
  <si>
    <t>FNE/(1+i)^n</t>
  </si>
  <si>
    <t>TIR</t>
  </si>
  <si>
    <t>Calefacción</t>
  </si>
  <si>
    <t>Enfriamiento</t>
  </si>
  <si>
    <t>Potencia (kW)</t>
  </si>
  <si>
    <t>Energía anual (kWh)</t>
  </si>
  <si>
    <t>Ventanas grandes + buen aislamiento + NS</t>
  </si>
  <si>
    <t>Ventanas pequeñas + buen aislamiento + NS</t>
  </si>
  <si>
    <t>Ventanas pequeñas + mal aislamiento + NS</t>
  </si>
  <si>
    <t>Ventanas pequeñas + buen aislamiento + EO</t>
  </si>
  <si>
    <t>Calefacción + ACS</t>
  </si>
  <si>
    <t>1. Crear caso 5 y 6 en base al caso 2 y 3 con cortinas los dos</t>
  </si>
  <si>
    <t>2. Revisar la radiacion, temperatura interna, temperatura externa, demanda térmica positiva, negativa</t>
  </si>
  <si>
    <t>3. Fórmulas de la potencia de diseño de calefacción y enfriamiento</t>
  </si>
  <si>
    <t>4. Detalle del cálculo de la energía anual</t>
  </si>
  <si>
    <t>5. Análisis de TIR y VAN</t>
  </si>
  <si>
    <t>sin ventanas + buen aislamiento + NS</t>
  </si>
  <si>
    <t>sin ventanas + mal aislamiento + NS</t>
  </si>
  <si>
    <t>1. Revisar la data</t>
  </si>
  <si>
    <t>2. ¿Hay algún caso en la que se pueda optimizar más que el caso 2, variando aislamiento y ventanas?</t>
  </si>
  <si>
    <t xml:space="preserve">Encontrar la relación entre el aislamiento, orientación, </t>
  </si>
  <si>
    <t>Menor demanda energética para calefacción y eliminar la demana refrigeración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</si>
</sst>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8" xfId="0" applyFill="1" applyBorder="1"/>
    <xf numFmtId="0" fontId="0" fillId="2" borderId="13" xfId="0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11" xfId="0" applyFill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3" xfId="0" applyNumberFormat="1" applyBorder="1"/>
    <xf numFmtId="9" fontId="0" fillId="2" borderId="1" xfId="1" applyFont="1" applyFill="1" applyBorder="1"/>
    <xf numFmtId="0" fontId="1" fillId="0" borderId="1" xfId="0" applyFont="1" applyBorder="1"/>
    <xf numFmtId="0" fontId="0" fillId="0" borderId="2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9" fontId="0" fillId="0" borderId="14" xfId="1" applyFon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3" fillId="3" borderId="3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0" fillId="0" borderId="1" xfId="0" applyNumberFormat="1" applyBorder="1"/>
    <xf numFmtId="0" fontId="0" fillId="6" borderId="1" xfId="0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Porcentaje" xfId="1" builtinId="5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'Entrada datos mensual'!$G$39</c:f>
              <c:strCache>
                <c:ptCount val="1"/>
                <c:pt idx="0">
                  <c:v> Q_a [MJ]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mensual'!$G$40:$G$51</c:f>
              <c:numCache>
                <c:formatCode>0.0000</c:formatCode>
                <c:ptCount val="12"/>
                <c:pt idx="0">
                  <c:v>4830.5874545599991</c:v>
                </c:pt>
                <c:pt idx="1">
                  <c:v>4358.51559808</c:v>
                </c:pt>
                <c:pt idx="2">
                  <c:v>4828.5522375999999</c:v>
                </c:pt>
                <c:pt idx="3">
                  <c:v>4692.4881359999999</c:v>
                </c:pt>
                <c:pt idx="4">
                  <c:v>4948.6300382400004</c:v>
                </c:pt>
                <c:pt idx="5">
                  <c:v>4889.4446159999998</c:v>
                </c:pt>
                <c:pt idx="6">
                  <c:v>5095.1656593599992</c:v>
                </c:pt>
                <c:pt idx="7">
                  <c:v>4990.3519859199996</c:v>
                </c:pt>
                <c:pt idx="8">
                  <c:v>4718.092478399999</c:v>
                </c:pt>
                <c:pt idx="9">
                  <c:v>4761.3900779200003</c:v>
                </c:pt>
                <c:pt idx="10">
                  <c:v>4601.8881552000003</c:v>
                </c:pt>
                <c:pt idx="11">
                  <c:v>4758.3372524799997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0B1-BEC9-F55DAF24C4B4}"/>
            </c:ext>
          </c:extLst>
        </c:ser>
        <c:ser>
          <c:idx val="1"/>
          <c:order val="1"/>
          <c:tx>
            <c:strRef>
              <c:f>'Entrada datos mensual'!$K$39</c:f>
              <c:strCache>
                <c:ptCount val="1"/>
                <c:pt idx="0">
                  <c:v>Q_u [MJ]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mensual'!$K$40:$K$51</c:f>
              <c:numCache>
                <c:formatCode>0.0000</c:formatCode>
                <c:ptCount val="12"/>
                <c:pt idx="0">
                  <c:v>1349.6822527338013</c:v>
                </c:pt>
                <c:pt idx="1">
                  <c:v>1746.8628279966576</c:v>
                </c:pt>
                <c:pt idx="2">
                  <c:v>2615.4170105352332</c:v>
                </c:pt>
                <c:pt idx="3">
                  <c:v>3146.6506993477828</c:v>
                </c:pt>
                <c:pt idx="4">
                  <c:v>3658.793420344256</c:v>
                </c:pt>
                <c:pt idx="5">
                  <c:v>3972.0316100145728</c:v>
                </c:pt>
                <c:pt idx="6">
                  <c:v>4330.8201153192531</c:v>
                </c:pt>
                <c:pt idx="7">
                  <c:v>3891.5165763427453</c:v>
                </c:pt>
                <c:pt idx="8">
                  <c:v>3099.4184809776175</c:v>
                </c:pt>
                <c:pt idx="9">
                  <c:v>2222.1546132829731</c:v>
                </c:pt>
                <c:pt idx="10">
                  <c:v>1577.2522349701121</c:v>
                </c:pt>
                <c:pt idx="11">
                  <c:v>1149.0859752167935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0B1-BEC9-F55DAF24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77663"/>
        <c:axId val="1563717775"/>
      </c:lineChart>
      <c:catAx>
        <c:axId val="15509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717775"/>
        <c:crosses val="autoZero"/>
        <c:auto val="1"/>
        <c:lblAlgn val="ctr"/>
        <c:lblOffset val="100"/>
        <c:noMultiLvlLbl val="0"/>
      </c:catAx>
      <c:valAx>
        <c:axId val="1563717775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09776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62594866792511E-2"/>
          <c:y val="4.801169670784363E-2"/>
          <c:w val="0.91457743725294049"/>
          <c:h val="0.89738019640375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'Entrada datos mensual'!$M$39</c:f>
              <c:strCache>
                <c:ptCount val="1"/>
                <c:pt idx="0">
                  <c:v>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'Entrada datos mensual'!$M$40:$M$51</c:f>
              <c:numCache>
                <c:formatCode>General</c:formatCode>
                <c:ptCount val="12"/>
                <c:pt idx="0">
                  <c:v>744.3184784012941</c:v>
                </c:pt>
                <c:pt idx="1">
                  <c:v>558.44710017415093</c:v>
                </c:pt>
                <c:pt idx="2">
                  <c:v>473.23249246803198</c:v>
                </c:pt>
                <c:pt idx="3">
                  <c:v>330.54487324190694</c:v>
                </c:pt>
                <c:pt idx="4">
                  <c:v>275.80447416802917</c:v>
                </c:pt>
                <c:pt idx="5">
                  <c:v>196.16950565685787</c:v>
                </c:pt>
                <c:pt idx="6">
                  <c:v>163.43924333668869</c:v>
                </c:pt>
                <c:pt idx="7">
                  <c:v>234.96287679449469</c:v>
                </c:pt>
                <c:pt idx="8">
                  <c:v>346.11944219483041</c:v>
                </c:pt>
                <c:pt idx="9">
                  <c:v>542.96218016787088</c:v>
                </c:pt>
                <c:pt idx="10">
                  <c:v>646.75487418683679</c:v>
                </c:pt>
                <c:pt idx="11">
                  <c:v>771.7625913659142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8FF-A424-42296C62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0223"/>
        <c:axId val="1051561151"/>
      </c:scatterChart>
      <c:valAx>
        <c:axId val="156273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1561151"/>
        <c:crosses val="autoZero"/>
        <c:crossBetween val="midCat"/>
      </c:valAx>
      <c:valAx>
        <c:axId val="10515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'Analisis comparativo'!$C$10</c:f>
              <c:strCache>
                <c:ptCount val="1"/>
                <c:pt idx="0">
                  <c:v>Fracción Solar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'Analisis comparativo'!$C$11:$C$22</c:f>
              <c:numCache>
                <c:formatCode>General</c:formatCode>
                <c:ptCount val="12"/>
                <c:pt idx="0">
                  <c:v>0.13</c:v>
                </c:pt>
                <c:pt idx="1">
                  <c:v>0.25</c:v>
                </c:pt>
                <c:pt idx="2">
                  <c:v>0.36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0.79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5-4FE7-91CE-4C0987C1F970}"/>
            </c:ext>
          </c:extLst>
        </c:ser>
        <c:ser>
          <c:idx val="1"/>
          <c:order val="1"/>
          <c:tx>
            <c:strRef>
              <c:f>'Analisis comparativo'!$D$10</c:f>
              <c:strCache>
                <c:ptCount val="1"/>
                <c:pt idx="0">
                  <c:v>Rendimiento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'Analisis comparativo'!$D$11:$D$22</c:f>
              <c:numCache>
                <c:formatCode>General</c:formatCode>
                <c:ptCount val="12"/>
                <c:pt idx="0">
                  <c:v>0.66</c:v>
                </c:pt>
                <c:pt idx="1">
                  <c:v>0.63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0.52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  <c:pt idx="10">
                  <c:v>0.44</c:v>
                </c:pt>
                <c:pt idx="1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5-4FE7-91CE-4C0987C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25903"/>
        <c:axId val="1631661151"/>
      </c:lineChart>
      <c:lineChart>
        <c:grouping val="standard"/>
        <c:varyColors val="0"/>
        <c:ser>
          <c:idx val="2"/>
          <c:order val="2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F-40A0-83BB-4BF561C9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1071"/>
        <c:axId val="1460108879"/>
      </c:lineChart>
      <c:catAx>
        <c:axId val="18072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1661151"/>
        <c:crosses val="autoZero"/>
        <c:auto val="1"/>
        <c:lblAlgn val="ctr"/>
        <c:lblOffset val="100"/>
        <c:noMultiLvlLbl val="0"/>
      </c:catAx>
      <c:valAx>
        <c:axId val="16316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7225903"/>
        <c:crosses val="autoZero"/>
        <c:crossBetween val="between"/>
      </c:valAx>
      <c:valAx>
        <c:axId val="1460108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341071"/>
        <c:crosses val="max"/>
        <c:crossBetween val="between"/>
      </c:valAx>
      <c:catAx>
        <c:axId val="328341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0108879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comparativo'!$E$10</c:f>
              <c:strCache>
                <c:ptCount val="1"/>
                <c:pt idx="0">
                  <c:v>Back up cost 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comparativo'!$E$11:$E$22</c:f>
              <c:numCache>
                <c:formatCode>General</c:formatCode>
                <c:ptCount val="12"/>
                <c:pt idx="0">
                  <c:v>10664.904399992354</c:v>
                </c:pt>
                <c:pt idx="1">
                  <c:v>9193.8831034416853</c:v>
                </c:pt>
                <c:pt idx="2">
                  <c:v>7845.4469149369042</c:v>
                </c:pt>
                <c:pt idx="3">
                  <c:v>6619.5958344780138</c:v>
                </c:pt>
                <c:pt idx="4">
                  <c:v>5393.7447540191215</c:v>
                </c:pt>
                <c:pt idx="5">
                  <c:v>4413.0638896520077</c:v>
                </c:pt>
                <c:pt idx="6">
                  <c:v>3432.3830252848957</c:v>
                </c:pt>
                <c:pt idx="7">
                  <c:v>2574.2872689636711</c:v>
                </c:pt>
                <c:pt idx="8">
                  <c:v>1838.7766206883373</c:v>
                </c:pt>
                <c:pt idx="9">
                  <c:v>1225.8510804588909</c:v>
                </c:pt>
                <c:pt idx="10">
                  <c:v>612.92554022944614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0A5-9E6A-CBDE2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95071"/>
        <c:axId val="1602608207"/>
      </c:scatterChart>
      <c:valAx>
        <c:axId val="15636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608207"/>
        <c:crosses val="autoZero"/>
        <c:crossBetween val="midCat"/>
      </c:valAx>
      <c:valAx>
        <c:axId val="16026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6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0427258028332"/>
          <c:y val="6.514581387524955E-2"/>
          <c:w val="0.85693085445071338"/>
          <c:h val="0.91317828686527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156-8316-C974D2B4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7855"/>
        <c:axId val="1694235631"/>
      </c:scatterChart>
      <c:valAx>
        <c:axId val="1655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235631"/>
        <c:crosses val="autoZero"/>
        <c:crossBetween val="midCat"/>
      </c:valAx>
      <c:valAx>
        <c:axId val="1694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Ahorro (S/.)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7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comparativo'!$A$10</c:f>
              <c:strCache>
                <c:ptCount val="1"/>
                <c:pt idx="0">
                  <c:v>N° Colectores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'Analisis comparativo'!$A$11:$A$22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0DD-A74E-12BBE5AA3AFC}"/>
            </c:ext>
          </c:extLst>
        </c:ser>
        <c:ser>
          <c:idx val="1"/>
          <c:order val="1"/>
          <c:tx>
            <c:strRef>
              <c:f>'Analisis comparativo'!$I$10</c:f>
              <c:strCache>
                <c:ptCount val="1"/>
                <c:pt idx="0">
                  <c:v>Produccion CO2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'Analisis comparativo'!$I$11:$I$22</c:f>
              <c:numCache>
                <c:formatCode>General</c:formatCode>
                <c:ptCount val="12"/>
                <c:pt idx="0">
                  <c:v>20871.983950524238</c:v>
                </c:pt>
                <c:pt idx="1">
                  <c:v>18372.234327739297</c:v>
                </c:pt>
                <c:pt idx="2">
                  <c:v>16056.644119260503</c:v>
                </c:pt>
                <c:pt idx="3">
                  <c:v>13916.994399901556</c:v>
                </c:pt>
                <c:pt idx="4">
                  <c:v>11945.066244476171</c:v>
                </c:pt>
                <c:pt idx="5">
                  <c:v>10132.64072779806</c:v>
                </c:pt>
                <c:pt idx="6">
                  <c:v>8471.4989246809309</c:v>
                </c:pt>
                <c:pt idx="7">
                  <c:v>6953.4219099384945</c:v>
                </c:pt>
                <c:pt idx="8">
                  <c:v>5570.190758384465</c:v>
                </c:pt>
                <c:pt idx="9">
                  <c:v>4313.5865448325476</c:v>
                </c:pt>
                <c:pt idx="10">
                  <c:v>3175.3903440964609</c:v>
                </c:pt>
                <c:pt idx="11">
                  <c:v>2147.3832309899117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DD-A74E-12BBE5A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81471"/>
        <c:axId val="1460110799"/>
      </c:barChart>
      <c:catAx>
        <c:axId val="18908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0110799"/>
        <c:crosses val="autoZero"/>
        <c:auto val="1"/>
        <c:lblAlgn val="ctr"/>
        <c:lblOffset val="100"/>
        <c:noMultiLvlLbl val="0"/>
      </c:catAx>
      <c:valAx>
        <c:axId val="14601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Ptoduccion</a:t>
                </a:r>
                <a:r>
                  <a:rPr lang="es-PE" baseline="0"/>
                  <a:t> CO2 (kg)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8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VAN!$K$9</c:f>
              <c:strCache>
                <c:ptCount val="1"/>
                <c:pt idx="0">
                  <c:v>VAN caso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VAN!$J$10:$J$110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VAN!$K$10:$K$110</c:f>
              <c:numCache>
                <c:formatCode>0.0</c:formatCode>
                <c:ptCount val="101"/>
                <c:pt idx="0">
                  <c:v>5500</c:v>
                </c:pt>
                <c:pt idx="1">
                  <c:v>5133.5780983128006</c:v>
                </c:pt>
                <c:pt idx="2">
                  <c:v>4783.648771260514</c:v>
                </c:pt>
                <c:pt idx="3">
                  <c:v>4449.267967986334</c:v>
                </c:pt>
                <c:pt idx="4">
                  <c:v>4129.5558275405128</c:v>
                </c:pt>
                <c:pt idx="5">
                  <c:v>3823.6916765770457</c:v>
                </c:pt>
                <c:pt idx="6">
                  <c:v>3530.9094639142822</c:v>
                </c:pt>
                <c:pt idx="7">
                  <c:v>3250.4935898689837</c:v>
                </c:pt>
                <c:pt idx="8">
                  <c:v>2981.775092695214</c:v>
                </c:pt>
                <c:pt idx="9">
                  <c:v>2724.1281583792897</c:v>
                </c:pt>
                <c:pt idx="10">
                  <c:v>2476.9669235211186</c:v>
                </c:pt>
                <c:pt idx="11">
                  <c:v>2239.742544123661</c:v>
                </c:pt>
                <c:pt idx="12">
                  <c:v>2011.9405058625107</c:v>
                </c:pt>
                <c:pt idx="13">
                  <c:v>1793.0781538567662</c:v>
                </c:pt>
                <c:pt idx="14">
                  <c:v>1582.7024221461488</c:v>
                </c:pt>
                <c:pt idx="15">
                  <c:v>1380.3877450285054</c:v>
                </c:pt>
                <c:pt idx="16">
                  <c:v>1185.7341341530901</c:v>
                </c:pt>
                <c:pt idx="17">
                  <c:v>998.36540682303894</c:v>
                </c:pt>
                <c:pt idx="18">
                  <c:v>817.92755235474397</c:v>
                </c:pt>
                <c:pt idx="19">
                  <c:v>644.08722459201999</c:v>
                </c:pt>
                <c:pt idx="20">
                  <c:v>476.53034979423865</c:v>
                </c:pt>
                <c:pt idx="21">
                  <c:v>314.96084012462325</c:v>
                </c:pt>
                <c:pt idx="22">
                  <c:v>159.09940387011102</c:v>
                </c:pt>
                <c:pt idx="23">
                  <c:v>8.6824443385730774</c:v>
                </c:pt>
                <c:pt idx="24">
                  <c:v>-136.53895988742352</c:v>
                </c:pt>
                <c:pt idx="25">
                  <c:v>-276.80000000000018</c:v>
                </c:pt>
                <c:pt idx="26">
                  <c:v>-412.32301338182515</c:v>
                </c:pt>
                <c:pt idx="27">
                  <c:v>-543.31829691318853</c:v>
                </c:pt>
                <c:pt idx="28">
                  <c:v>-669.98486220836639</c:v>
                </c:pt>
                <c:pt idx="29">
                  <c:v>-792.51113737906417</c:v>
                </c:pt>
                <c:pt idx="30">
                  <c:v>-911.07561952420474</c:v>
                </c:pt>
                <c:pt idx="31">
                  <c:v>-1025.8474817842543</c:v>
                </c:pt>
                <c:pt idx="32">
                  <c:v>-1136.9871384707958</c:v>
                </c:pt>
                <c:pt idx="33">
                  <c:v>-1244.6467714849723</c:v>
                </c:pt>
                <c:pt idx="34">
                  <c:v>-1348.9708209685195</c:v>
                </c:pt>
                <c:pt idx="35">
                  <c:v>-1450.0964428858597</c:v>
                </c:pt>
                <c:pt idx="36">
                  <c:v>-1548.1539360125698</c:v>
                </c:pt>
                <c:pt idx="37">
                  <c:v>-1643.2671406024974</c:v>
                </c:pt>
                <c:pt idx="38">
                  <c:v>-1735.5538108207047</c:v>
                </c:pt>
                <c:pt idx="39">
                  <c:v>-1825.1259628608614</c:v>
                </c:pt>
                <c:pt idx="40">
                  <c:v>-1912.0902005116914</c:v>
                </c:pt>
                <c:pt idx="41">
                  <c:v>-1996.5480197967927</c:v>
                </c:pt>
                <c:pt idx="42">
                  <c:v>-2078.5960941835929</c:v>
                </c:pt>
                <c:pt idx="43">
                  <c:v>-2158.3265417400789</c:v>
                </c:pt>
                <c:pt idx="44">
                  <c:v>-2235.8271755104861</c:v>
                </c:pt>
                <c:pt idx="45">
                  <c:v>-2311.1817382829204</c:v>
                </c:pt>
                <c:pt idx="46">
                  <c:v>-2384.4701228318836</c:v>
                </c:pt>
                <c:pt idx="47">
                  <c:v>-2455.7685786361608</c:v>
                </c:pt>
                <c:pt idx="48">
                  <c:v>-2525.1499059968555</c:v>
                </c:pt>
                <c:pt idx="49">
                  <c:v>-2592.6836384109283</c:v>
                </c:pt>
                <c:pt idx="50">
                  <c:v>-2658.4362139917694</c:v>
                </c:pt>
                <c:pt idx="51">
                  <c:v>-2722.4711366697675</c:v>
                </c:pt>
                <c:pt idx="52">
                  <c:v>-2784.8491278519159</c:v>
                </c:pt>
                <c:pt idx="53">
                  <c:v>-2845.6282691699143</c:v>
                </c:pt>
                <c:pt idx="54">
                  <c:v>-2904.8641369005913</c:v>
                </c:pt>
                <c:pt idx="55">
                  <c:v>-2962.6099286003973</c:v>
                </c:pt>
                <c:pt idx="56">
                  <c:v>-3018.9165824569973</c:v>
                </c:pt>
                <c:pt idx="57">
                  <c:v>-3073.8328898252225</c:v>
                </c:pt>
                <c:pt idx="58">
                  <c:v>-3127.4056013816994</c:v>
                </c:pt>
                <c:pt idx="59">
                  <c:v>-3179.6795273019779</c:v>
                </c:pt>
                <c:pt idx="60">
                  <c:v>-3230.6976318359375</c:v>
                </c:pt>
                <c:pt idx="61">
                  <c:v>-3280.5011226311713</c:v>
                </c:pt>
                <c:pt idx="62">
                  <c:v>-3329.1295351300969</c:v>
                </c:pt>
                <c:pt idx="63">
                  <c:v>-3376.6208123442293</c:v>
                </c:pt>
                <c:pt idx="64">
                  <c:v>-3423.0113802885708</c:v>
                </c:pt>
                <c:pt idx="65">
                  <c:v>-3468.3362193398693</c:v>
                </c:pt>
                <c:pt idx="66">
                  <c:v>-3512.628931764998</c:v>
                </c:pt>
                <c:pt idx="67">
                  <c:v>-3555.9218056491736</c:v>
                </c:pt>
                <c:pt idx="68">
                  <c:v>-3598.2458754386835</c:v>
                </c:pt>
                <c:pt idx="69">
                  <c:v>-3639.6309792985717</c:v>
                </c:pt>
                <c:pt idx="70">
                  <c:v>-3680.105813472765</c:v>
                </c:pt>
                <c:pt idx="71">
                  <c:v>-3719.6979838218581</c:v>
                </c:pt>
                <c:pt idx="72">
                  <c:v>-3758.4340547025586</c:v>
                </c:pt>
                <c:pt idx="73">
                  <c:v>-3796.3395953422523</c:v>
                </c:pt>
                <c:pt idx="74">
                  <c:v>-3833.4392238523865</c:v>
                </c:pt>
                <c:pt idx="75">
                  <c:v>-3869.7566490152917</c:v>
                </c:pt>
                <c:pt idx="76">
                  <c:v>-3905.3147099705602</c:v>
                </c:pt>
                <c:pt idx="77">
                  <c:v>-3940.1354139192813</c:v>
                </c:pt>
                <c:pt idx="78">
                  <c:v>-3974.2399719570039</c:v>
                </c:pt>
                <c:pt idx="79">
                  <c:v>-4007.6488331395312</c:v>
                </c:pt>
                <c:pt idx="80">
                  <c:v>-4040.381716879202</c:v>
                </c:pt>
                <c:pt idx="81">
                  <c:v>-4072.4576437633873</c:v>
                </c:pt>
                <c:pt idx="82">
                  <c:v>-4103.8949648813523</c:v>
                </c:pt>
                <c:pt idx="83">
                  <c:v>-4134.7113897404652</c:v>
                </c:pt>
                <c:pt idx="84">
                  <c:v>-4164.9240128478232</c:v>
                </c:pt>
                <c:pt idx="85">
                  <c:v>-4194.549339028923</c:v>
                </c:pt>
                <c:pt idx="86">
                  <c:v>-4223.603307550653</c:v>
                </c:pt>
                <c:pt idx="87">
                  <c:v>-4252.1013151120305</c:v>
                </c:pt>
                <c:pt idx="88">
                  <c:v>-4280.0582377622895</c:v>
                </c:pt>
                <c:pt idx="89">
                  <c:v>-4307.4884518025465</c:v>
                </c:pt>
                <c:pt idx="90">
                  <c:v>-4334.4058537239416</c:v>
                </c:pt>
                <c:pt idx="91">
                  <c:v>-4360.8238792321663</c:v>
                </c:pt>
                <c:pt idx="92">
                  <c:v>-4386.7555214053809</c:v>
                </c:pt>
                <c:pt idx="93">
                  <c:v>-4412.2133480298999</c:v>
                </c:pt>
                <c:pt idx="94">
                  <c:v>-4437.209518155465</c:v>
                </c:pt>
                <c:pt idx="95">
                  <c:v>-4461.7557979096046</c:v>
                </c:pt>
                <c:pt idx="96">
                  <c:v>-4485.8635756083531</c:v>
                </c:pt>
                <c:pt idx="97">
                  <c:v>-4509.5438761985315</c:v>
                </c:pt>
                <c:pt idx="98">
                  <c:v>-4532.80737506484</c:v>
                </c:pt>
                <c:pt idx="99">
                  <c:v>-4555.664411233196</c:v>
                </c:pt>
                <c:pt idx="100">
                  <c:v>-4578.125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C-43D8-9AE5-E1BBA1F8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8031"/>
        <c:axId val="91257663"/>
      </c:lineChart>
      <c:catAx>
        <c:axId val="159598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257663"/>
        <c:crosses val="autoZero"/>
        <c:auto val="1"/>
        <c:lblAlgn val="ctr"/>
        <c:lblOffset val="100"/>
        <c:noMultiLvlLbl val="0"/>
      </c:catAx>
      <c:valAx>
        <c:axId val="9125766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59803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</xdr:colOff>
      <xdr:row>23</xdr:row>
      <xdr:rowOff>7620</xdr:rowOff>
    </xdr:from>
    <xdr:ext cx="318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𝐴𝐶𝑆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𝑄_𝐴𝐶𝑆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118441</xdr:colOff>
      <xdr:row>15</xdr:row>
      <xdr:rowOff>1242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22463</xdr:colOff>
      <xdr:row>16</xdr:row>
      <xdr:rowOff>16378</xdr:rowOff>
    </xdr:from>
    <xdr:ext cx="8155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〖/(𝜏𝛼)〗_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17</xdr:row>
      <xdr:rowOff>16628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142181</xdr:colOff>
      <xdr:row>18</xdr:row>
      <xdr:rowOff>18734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19</xdr:row>
      <xdr:rowOff>7602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20</xdr:row>
      <xdr:rowOff>8345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21</xdr:row>
      <xdr:rowOff>10418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10</xdr:col>
      <xdr:colOff>676402</xdr:colOff>
      <xdr:row>46</xdr:row>
      <xdr:rowOff>107944</xdr:rowOff>
    </xdr:from>
    <xdr:to>
      <xdr:col>10</xdr:col>
      <xdr:colOff>676042</xdr:colOff>
      <xdr:row>46</xdr:row>
      <xdr:rowOff>107584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8C6D94-86CD-4DB4-B4A5-2D537DB94E1E}"/>
                </a:ext>
              </a:extLst>
            </xdr14:cNvPr>
            <xdr14:cNvContentPartPr/>
          </xdr14:nvContentPartPr>
          <xdr14:nvPr macro=""/>
          <xdr14:xfrm>
            <a:off x="6999865" y="2701019"/>
            <a:ext cx="360" cy="3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29E70967-2E67-1542-5D5B-3D9F94E929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91225" y="26923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799794</xdr:colOff>
      <xdr:row>63</xdr:row>
      <xdr:rowOff>42616</xdr:rowOff>
    </xdr:from>
    <xdr:to>
      <xdr:col>7</xdr:col>
      <xdr:colOff>2312798</xdr:colOff>
      <xdr:row>89</xdr:row>
      <xdr:rowOff>42616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0E7F08-FEE8-C1F5-2846-5D6F2FEB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159683</xdr:colOff>
      <xdr:row>65</xdr:row>
      <xdr:rowOff>129684</xdr:rowOff>
    </xdr:from>
    <xdr:to>
      <xdr:col>14</xdr:col>
      <xdr:colOff>730590</xdr:colOff>
      <xdr:row>89</xdr:row>
      <xdr:rowOff>58927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E919F6-4150-6984-2F8A-37317828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784860</xdr:colOff>
      <xdr:row>25</xdr:row>
      <xdr:rowOff>7620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790841</xdr:colOff>
      <xdr:row>26</xdr:row>
      <xdr:rowOff>16378</xdr:rowOff>
    </xdr:from>
    <xdr:ext cx="746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(𝜏𝛼)_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27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790129</xdr:colOff>
      <xdr:row>28</xdr:row>
      <xdr:rowOff>8546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29</xdr:row>
      <xdr:rowOff>5697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30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31</xdr:row>
      <xdr:rowOff>2135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502008</xdr:colOff>
      <xdr:row>0</xdr:row>
      <xdr:rowOff>36444</xdr:rowOff>
    </xdr:from>
    <xdr:to>
      <xdr:col>17</xdr:col>
      <xdr:colOff>143868</xdr:colOff>
      <xdr:row>19</xdr:row>
      <xdr:rowOff>134592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A54254-B840-3F2F-7C6C-3624C61A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471777</xdr:colOff>
      <xdr:row>21</xdr:row>
      <xdr:rowOff>90115</xdr:rowOff>
    </xdr:from>
    <xdr:to>
      <xdr:col>17</xdr:col>
      <xdr:colOff>177909</xdr:colOff>
      <xdr:row>38</xdr:row>
      <xdr:rowOff>60215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5F3AC-3B4C-8E08-638C-BD44D8D7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149679</xdr:rowOff>
    </xdr:from>
    <xdr:to>
      <xdr:col>4</xdr:col>
      <xdr:colOff>1463180</xdr:colOff>
      <xdr:row>75</xdr:row>
      <xdr:rowOff>21656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CCD30-C823-C9D3-DAA7-CCE9DCBB8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54143"/>
          <a:ext cx="7660417" cy="4836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54429</xdr:rowOff>
    </xdr:from>
    <xdr:to>
      <xdr:col>4</xdr:col>
      <xdr:colOff>1314577</xdr:colOff>
      <xdr:row>91</xdr:row>
      <xdr:rowOff>17820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4B59AF-EE4A-DF52-0A78-38B70AD0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88786"/>
          <a:ext cx="7504194" cy="2612974"/>
        </a:xfrm>
        <a:prstGeom prst="rect">
          <a:avLst/>
        </a:prstGeom>
      </xdr:spPr>
    </xdr:pic>
    <xdr:clientData/>
  </xdr:twoCellAnchor>
  <xdr:twoCellAnchor>
    <xdr:from>
      <xdr:col>8</xdr:col>
      <xdr:colOff>934812</xdr:colOff>
      <xdr:row>40</xdr:row>
      <xdr:rowOff>144782</xdr:rowOff>
    </xdr:from>
    <xdr:to>
      <xdr:col>15</xdr:col>
      <xdr:colOff>571500</xdr:colOff>
      <xdr:row>59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453398-0E09-13CB-5FD9-05262B1E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268332</xdr:colOff>
      <xdr:row>24</xdr:row>
      <xdr:rowOff>121375</xdr:rowOff>
    </xdr:from>
    <xdr:to>
      <xdr:col>6</xdr:col>
      <xdr:colOff>600619</xdr:colOff>
      <xdr:row>40</xdr:row>
      <xdr:rowOff>36195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3E8ED1-906A-B665-3A73-2AB7FE85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67421</xdr:colOff>
      <xdr:row>4</xdr:row>
      <xdr:rowOff>57790</xdr:rowOff>
    </xdr:from>
    <xdr:to>
      <xdr:col>19</xdr:col>
      <xdr:colOff>1439</xdr:colOff>
      <xdr:row>19</xdr:row>
      <xdr:rowOff>108185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9733FC-6766-F665-A3DB-DD84F5A3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07T22:57:15.0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Luz Estrada" id="{F78FE8DA-8966-4F17-A74F-C755544A6C3E}" userId="S::LuzEstrada@LIGHT986.onmicrosoft.com::7f45ae73-9d02-4638-b497-4307d1b915d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" dT="2023-03-07T22:37:00.32" personId="{F78FE8DA-8966-4F17-A74F-C755544A6C3E}" id="{6409D16C-0268-4F2B-B07C-4E384E04AB54}">
    <text>Predimensionamiento del volumen de acumulación, que suele ser 75 veces el área de los captadores</text>
  </threadedComment>
  <threadedComment ref="P16" dT="2023-03-07T22:25:18.33" personId="{F78FE8DA-8966-4F17-A74F-C755544A6C3E}" id="{3D8196C1-F661-444A-A70D-C0CE5C619020}">
    <text>Factor de eficiencia óptica del captador, ordenada en origen de la curva característica del captador. Dato proporcionado por el fabricante</text>
  </threadedComment>
  <threadedComment ref="P17" dT="2023-03-07T22:28:41.66" personId="{F78FE8DA-8966-4F17-A74F-C755544A6C3E}" id="{F0EC5397-B68E-4740-BA83-D59098DE5B37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18" dT="2023-03-07T22:38:26.57" personId="{F78FE8DA-8966-4F17-A74F-C755544A6C3E}" id="{1B56EC91-B3C6-4CBC-900A-0C066FE90517}">
    <text>Relación entre el volumen de acumulación de ACS en litros y la superficie de los captadores en m2. Según CTE debe cumplirse que 50&lt;V/Sc&lt;180</text>
  </threadedComment>
  <threadedComment ref="P18" dT="2023-03-07T22:30:02.90" personId="{F78FE8DA-8966-4F17-A74F-C755544A6C3E}" id="{B0588406-EE8A-4F09-A8C9-736B243C991B}">
    <text xml:space="preserve">Factor de corrección del conjunto captador intercambiador. Valor usual 0.95
</text>
  </threadedComment>
  <threadedComment ref="B38" dT="2023-03-01T15:42:18.25" personId="{F78FE8DA-8966-4F17-A74F-C755544A6C3E}" id="{F32BFCE7-C0BD-40BA-8F16-29342EAB9D3A}">
    <text>Números de días por mes</text>
  </threadedComment>
  <threadedComment ref="D38" dT="2023-03-01T16:06:04.84" personId="{F78FE8DA-8966-4F17-A74F-C755544A6C3E}" id="{B287F046-7D02-4F39-8C76-470255A8A209}">
    <text>Radiacion solar diaria promedio</text>
  </threadedComment>
  <threadedComment ref="E38" dT="2023-03-01T16:30:03.52" personId="{F78FE8DA-8966-4F17-A74F-C755544A6C3E}" id="{6814D13F-356E-42A5-B5A0-5C6879B66DE7}">
    <text>Temperatura de ambiente</text>
  </threadedComment>
  <threadedComment ref="C39" dT="2023-03-01T15:44:02.90" personId="{F78FE8DA-8966-4F17-A74F-C755544A6C3E}" id="{510C51D5-5BB7-4361-A3A2-F319EEF34EA5}">
    <text>Temperatura de agua de red</text>
  </threadedComment>
  <threadedComment ref="D39" dT="2023-03-01T16:06:04.84" personId="{F78FE8DA-8966-4F17-A74F-C755544A6C3E}" id="{242401AB-4F96-4597-856B-880B62D700A7}">
    <text>Radiacion solar diaria promedio</text>
  </threadedComment>
  <threadedComment ref="E39" dT="2023-03-01T16:30:03.52" personId="{F78FE8DA-8966-4F17-A74F-C755544A6C3E}" id="{387B9694-A301-4C67-9B6C-98D44CE79462}">
    <text>Temperatura de ambiente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6" dT="2023-03-07T22:25:18.33" personId="{F78FE8DA-8966-4F17-A74F-C755544A6C3E}" id="{4E7D3F8B-492A-4753-807D-4D7A4CD02DE1}">
    <text>Factor de eficiencia óptica del captador, ordenada en origen de la curva característica del captador. Dato proporcionado por el fabricante</text>
  </threadedComment>
  <threadedComment ref="L27" dT="2023-03-07T22:28:41.66" personId="{F78FE8DA-8966-4F17-A74F-C755544A6C3E}" id="{AE04F5D2-8B13-40EA-A896-6914D3B4CFDF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28" dT="2023-03-07T22:30:02.90" personId="{F78FE8DA-8966-4F17-A74F-C755544A6C3E}" id="{BA2FB039-60A1-4767-9003-FA4045FAE4FA}">
    <text xml:space="preserve">Factor de corrección del conjunto captador intercambiador. Valor usual 0.95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7FBD-505A-47A8-B255-BE98960373ED}">
  <dimension ref="A1:AA53"/>
  <sheetViews>
    <sheetView tabSelected="1" topLeftCell="G27" zoomScale="85" zoomScaleNormal="85" workbookViewId="0">
      <selection activeCell="O40" sqref="O40"/>
    </sheetView>
  </sheetViews>
  <sheetFormatPr baseColWidth="10" defaultRowHeight="14.4" x14ac:dyDescent="0.3"/>
  <cols>
    <col min="1" max="1" width="46.88671875" customWidth="1"/>
    <col min="2" max="2" width="20.109375" customWidth="1"/>
    <col min="3" max="3" width="16.109375" customWidth="1"/>
    <col min="4" max="4" width="21.109375" customWidth="1"/>
    <col min="5" max="5" width="16.5546875" customWidth="1"/>
    <col min="6" max="6" width="16.77734375" customWidth="1"/>
    <col min="7" max="7" width="29.77734375" customWidth="1"/>
    <col min="8" max="8" width="34.77734375" customWidth="1"/>
    <col min="9" max="9" width="41" customWidth="1"/>
    <col min="10" max="10" width="19.21875" customWidth="1"/>
    <col min="11" max="11" width="21.77734375" customWidth="1"/>
    <col min="12" max="12" width="15.77734375" customWidth="1"/>
    <col min="13" max="13" width="17.33203125" customWidth="1"/>
    <col min="14" max="14" width="22.109375" customWidth="1"/>
    <col min="17" max="17" width="14" customWidth="1"/>
  </cols>
  <sheetData>
    <row r="1" spans="1:16" ht="15" thickBot="1" x14ac:dyDescent="0.35"/>
    <row r="2" spans="1:16" x14ac:dyDescent="0.3">
      <c r="A2" s="90" t="s">
        <v>22</v>
      </c>
      <c r="B2" s="91"/>
      <c r="C2" s="91"/>
      <c r="D2" s="91"/>
      <c r="E2" s="22">
        <v>0.94</v>
      </c>
      <c r="G2" s="90" t="s">
        <v>24</v>
      </c>
      <c r="H2" s="91"/>
      <c r="I2" s="22">
        <v>0.99199999999999999</v>
      </c>
    </row>
    <row r="3" spans="1:16" ht="15" thickBot="1" x14ac:dyDescent="0.35">
      <c r="A3" s="92" t="s">
        <v>23</v>
      </c>
      <c r="B3" s="93"/>
      <c r="C3" s="93"/>
      <c r="D3" s="93"/>
      <c r="E3" s="23">
        <v>1</v>
      </c>
      <c r="G3" s="92" t="s">
        <v>25</v>
      </c>
      <c r="H3" s="93"/>
      <c r="I3" s="23">
        <v>0.96</v>
      </c>
    </row>
    <row r="5" spans="1:16" ht="15" thickBot="1" x14ac:dyDescent="0.35"/>
    <row r="6" spans="1:16" x14ac:dyDescent="0.3">
      <c r="B6" s="94" t="s">
        <v>26</v>
      </c>
      <c r="C6" s="88"/>
      <c r="D6" s="17" t="s">
        <v>58</v>
      </c>
      <c r="E6" s="10"/>
      <c r="F6" s="87" t="s">
        <v>33</v>
      </c>
      <c r="G6" s="88"/>
      <c r="H6" s="21"/>
      <c r="I6" s="19"/>
      <c r="K6" s="9" t="s">
        <v>36</v>
      </c>
      <c r="L6" s="10">
        <v>0.69599999999999995</v>
      </c>
      <c r="M6" s="11"/>
    </row>
    <row r="7" spans="1:16" x14ac:dyDescent="0.3">
      <c r="B7" s="83" t="s">
        <v>27</v>
      </c>
      <c r="C7" s="84"/>
      <c r="D7" s="1">
        <v>-11.59</v>
      </c>
      <c r="E7" s="2" t="s">
        <v>32</v>
      </c>
      <c r="F7" s="89" t="s">
        <v>34</v>
      </c>
      <c r="G7" s="84"/>
      <c r="H7" s="6">
        <v>60</v>
      </c>
      <c r="I7" s="20" t="s">
        <v>35</v>
      </c>
      <c r="K7" s="12" t="s">
        <v>37</v>
      </c>
      <c r="L7" s="2">
        <v>4.8209999999999997</v>
      </c>
      <c r="M7" s="13" t="s">
        <v>40</v>
      </c>
    </row>
    <row r="8" spans="1:16" ht="15" thickBot="1" x14ac:dyDescent="0.35">
      <c r="B8" s="83" t="s">
        <v>28</v>
      </c>
      <c r="C8" s="84"/>
      <c r="D8" s="1">
        <v>60</v>
      </c>
      <c r="E8" s="2" t="s">
        <v>32</v>
      </c>
      <c r="F8" s="2"/>
      <c r="G8" s="2"/>
      <c r="H8" s="2"/>
      <c r="I8" s="13"/>
      <c r="K8" s="14" t="s">
        <v>38</v>
      </c>
      <c r="L8" s="15">
        <v>1.9</v>
      </c>
      <c r="M8" s="16" t="s">
        <v>39</v>
      </c>
    </row>
    <row r="9" spans="1:16" x14ac:dyDescent="0.3">
      <c r="B9" s="83" t="s">
        <v>29</v>
      </c>
      <c r="C9" s="84"/>
      <c r="D9" s="1">
        <v>15</v>
      </c>
      <c r="E9" s="2" t="s">
        <v>54</v>
      </c>
      <c r="F9" s="2"/>
      <c r="G9" s="2"/>
      <c r="H9" s="2"/>
      <c r="I9" s="13"/>
    </row>
    <row r="10" spans="1:16" x14ac:dyDescent="0.3">
      <c r="B10" s="83" t="s">
        <v>30</v>
      </c>
      <c r="C10" s="84"/>
      <c r="D10" s="1">
        <v>40</v>
      </c>
      <c r="E10" s="2" t="s">
        <v>54</v>
      </c>
      <c r="F10" s="2"/>
      <c r="G10" s="2"/>
      <c r="H10" s="2"/>
      <c r="I10" s="13"/>
    </row>
    <row r="11" spans="1:16" ht="15" thickBot="1" x14ac:dyDescent="0.35">
      <c r="B11" s="85" t="s">
        <v>31</v>
      </c>
      <c r="C11" s="86"/>
      <c r="D11" s="18">
        <f>28*28</f>
        <v>784</v>
      </c>
      <c r="E11" s="15" t="s">
        <v>55</v>
      </c>
      <c r="F11" s="15"/>
      <c r="G11" s="15"/>
      <c r="H11" s="15"/>
      <c r="I11" s="16"/>
    </row>
    <row r="14" spans="1:16" x14ac:dyDescent="0.3">
      <c r="A14" s="8" t="s">
        <v>41</v>
      </c>
      <c r="F14" s="8" t="s">
        <v>46</v>
      </c>
      <c r="J14" s="100" t="s">
        <v>51</v>
      </c>
      <c r="K14" s="100"/>
    </row>
    <row r="15" spans="1:16" ht="15" thickBot="1" x14ac:dyDescent="0.35"/>
    <row r="16" spans="1:16" x14ac:dyDescent="0.3">
      <c r="A16" s="90" t="s">
        <v>42</v>
      </c>
      <c r="B16" s="91"/>
      <c r="C16" s="10">
        <f>+L8</f>
        <v>1.9</v>
      </c>
      <c r="D16" s="11" t="s">
        <v>39</v>
      </c>
      <c r="F16" s="97" t="s">
        <v>47</v>
      </c>
      <c r="G16" s="98"/>
      <c r="H16" s="24">
        <v>6</v>
      </c>
      <c r="J16" s="90" t="s">
        <v>52</v>
      </c>
      <c r="K16" s="91"/>
      <c r="L16" s="24">
        <f>75*H17</f>
        <v>854.99999999999989</v>
      </c>
      <c r="N16" t="s">
        <v>92</v>
      </c>
      <c r="O16" s="9"/>
      <c r="P16" s="24">
        <f>+L6</f>
        <v>0.69599999999999995</v>
      </c>
    </row>
    <row r="17" spans="1:27" ht="15" thickBot="1" x14ac:dyDescent="0.35">
      <c r="A17" s="95" t="s">
        <v>43</v>
      </c>
      <c r="B17" s="96"/>
      <c r="C17" s="27">
        <f>+D11/75</f>
        <v>10.453333333333333</v>
      </c>
      <c r="D17" s="13" t="s">
        <v>39</v>
      </c>
      <c r="F17" s="92" t="s">
        <v>48</v>
      </c>
      <c r="G17" s="93"/>
      <c r="H17" s="25">
        <f>+H16*C16</f>
        <v>11.399999999999999</v>
      </c>
      <c r="I17" t="s">
        <v>39</v>
      </c>
      <c r="J17" s="95" t="s">
        <v>53</v>
      </c>
      <c r="K17" s="96"/>
      <c r="L17" s="26">
        <v>855</v>
      </c>
      <c r="N17" t="s">
        <v>106</v>
      </c>
      <c r="O17" s="12"/>
      <c r="P17" s="26">
        <v>0.94</v>
      </c>
    </row>
    <row r="18" spans="1:27" ht="29.4" thickBot="1" x14ac:dyDescent="0.35">
      <c r="A18" s="95" t="s">
        <v>44</v>
      </c>
      <c r="B18" s="96"/>
      <c r="C18" s="28">
        <f>+C17/C16</f>
        <v>5.5017543859649125</v>
      </c>
      <c r="D18" s="13"/>
      <c r="J18" s="92" t="s">
        <v>57</v>
      </c>
      <c r="K18" s="93"/>
      <c r="L18" s="25">
        <f>+L17/H17</f>
        <v>75.000000000000014</v>
      </c>
      <c r="N18" s="55" t="s">
        <v>107</v>
      </c>
      <c r="O18" s="12"/>
      <c r="P18" s="26">
        <v>0.95</v>
      </c>
    </row>
    <row r="19" spans="1:27" ht="15" thickBot="1" x14ac:dyDescent="0.35">
      <c r="A19" s="92" t="s">
        <v>45</v>
      </c>
      <c r="B19" s="93"/>
      <c r="C19" s="29">
        <f>ROUNDUP(C18*C16,0)</f>
        <v>11</v>
      </c>
      <c r="D19" s="16" t="s">
        <v>39</v>
      </c>
      <c r="O19" s="12"/>
      <c r="P19" s="13">
        <f>+P16*P17*P18</f>
        <v>0.62152799999999986</v>
      </c>
    </row>
    <row r="20" spans="1:27" x14ac:dyDescent="0.3">
      <c r="N20" t="s">
        <v>105</v>
      </c>
      <c r="O20" s="12"/>
      <c r="P20" s="13">
        <f>+L7</f>
        <v>4.8209999999999997</v>
      </c>
      <c r="Q20" t="s">
        <v>40</v>
      </c>
    </row>
    <row r="21" spans="1:27" x14ac:dyDescent="0.3">
      <c r="O21" s="12"/>
      <c r="P21" s="26">
        <v>0.95</v>
      </c>
    </row>
    <row r="22" spans="1:27" ht="15" thickBot="1" x14ac:dyDescent="0.35">
      <c r="O22" s="14"/>
      <c r="P22" s="16">
        <f>+P21*P20*10^-3</f>
        <v>4.5799499999999993E-3</v>
      </c>
      <c r="Q22" t="s">
        <v>59</v>
      </c>
    </row>
    <row r="23" spans="1:27" x14ac:dyDescent="0.3">
      <c r="E23" s="99" t="s">
        <v>49</v>
      </c>
      <c r="F23" s="99"/>
      <c r="G23" s="99"/>
      <c r="H23" s="6" t="s">
        <v>56</v>
      </c>
    </row>
    <row r="24" spans="1:27" x14ac:dyDescent="0.3">
      <c r="E24" s="99" t="s">
        <v>50</v>
      </c>
      <c r="F24" s="99"/>
      <c r="G24" s="99"/>
      <c r="H24" s="30">
        <v>0.15</v>
      </c>
    </row>
    <row r="27" spans="1:27" x14ac:dyDescent="0.3">
      <c r="A27" s="8" t="s">
        <v>118</v>
      </c>
      <c r="E27" s="8" t="s">
        <v>128</v>
      </c>
    </row>
    <row r="28" spans="1:27" ht="18.600000000000001" thickBot="1" x14ac:dyDescent="0.35"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2" customHeight="1" thickBot="1" x14ac:dyDescent="0.35">
      <c r="A29" s="9" t="s">
        <v>119</v>
      </c>
      <c r="B29" s="10" t="s">
        <v>120</v>
      </c>
      <c r="C29" s="11">
        <v>0.72819999999999996</v>
      </c>
      <c r="E29" s="71" t="s">
        <v>129</v>
      </c>
      <c r="F29" s="72">
        <v>0.41</v>
      </c>
      <c r="O29" s="44"/>
      <c r="P29" s="44"/>
      <c r="Q29" s="44"/>
      <c r="R29" s="44"/>
      <c r="S29" s="44"/>
      <c r="T29" s="44"/>
      <c r="U29" s="44"/>
    </row>
    <row r="30" spans="1:27" x14ac:dyDescent="0.3">
      <c r="A30" s="12" t="s">
        <v>121</v>
      </c>
      <c r="B30" s="2" t="s">
        <v>122</v>
      </c>
      <c r="C30" s="13">
        <f>80*4</f>
        <v>320</v>
      </c>
      <c r="O30" s="44"/>
      <c r="P30" s="44"/>
      <c r="Q30" s="44"/>
      <c r="R30" s="44"/>
      <c r="S30" s="44"/>
      <c r="T30" s="44"/>
      <c r="U30" s="44"/>
    </row>
    <row r="31" spans="1:27" x14ac:dyDescent="0.3">
      <c r="A31" s="12" t="s">
        <v>123</v>
      </c>
      <c r="B31" s="2" t="s">
        <v>124</v>
      </c>
      <c r="C31" s="13">
        <f>500*4</f>
        <v>2000</v>
      </c>
    </row>
    <row r="32" spans="1:27" x14ac:dyDescent="0.3">
      <c r="A32" s="12" t="s">
        <v>125</v>
      </c>
      <c r="B32" s="2" t="s">
        <v>126</v>
      </c>
      <c r="C32" s="13">
        <f>0.18*4</f>
        <v>0.72</v>
      </c>
    </row>
    <row r="33" spans="1:27" ht="15" thickBot="1" x14ac:dyDescent="0.35">
      <c r="A33" s="14" t="s">
        <v>127</v>
      </c>
      <c r="B33" s="15" t="s">
        <v>35</v>
      </c>
      <c r="C33" s="63">
        <v>0.12</v>
      </c>
    </row>
    <row r="37" spans="1:27" ht="18" x14ac:dyDescent="0.3">
      <c r="A37" s="4" t="s">
        <v>0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70">
        <v>13</v>
      </c>
      <c r="Q37" s="4">
        <v>14</v>
      </c>
    </row>
    <row r="38" spans="1:27" ht="43.2" x14ac:dyDescent="0.3">
      <c r="A38" s="1"/>
      <c r="B38" s="39" t="s">
        <v>83</v>
      </c>
      <c r="C38" s="39" t="s">
        <v>85</v>
      </c>
      <c r="D38" s="39" t="s">
        <v>89</v>
      </c>
      <c r="E38" s="39" t="s">
        <v>95</v>
      </c>
      <c r="F38" s="39" t="s">
        <v>108</v>
      </c>
      <c r="G38" s="3" t="s">
        <v>16</v>
      </c>
      <c r="H38" s="40" t="s">
        <v>87</v>
      </c>
      <c r="I38" s="40" t="s">
        <v>88</v>
      </c>
      <c r="J38" s="3" t="s">
        <v>98</v>
      </c>
      <c r="K38" s="40" t="s">
        <v>99</v>
      </c>
      <c r="L38" s="40" t="s">
        <v>100</v>
      </c>
      <c r="M38" s="40" t="s">
        <v>102</v>
      </c>
      <c r="N38" s="40" t="s">
        <v>109</v>
      </c>
      <c r="O38" s="40" t="s">
        <v>130</v>
      </c>
      <c r="P38" s="40" t="s">
        <v>139</v>
      </c>
      <c r="Q38" s="40" t="s">
        <v>140</v>
      </c>
    </row>
    <row r="39" spans="1:27" x14ac:dyDescent="0.3">
      <c r="A39" s="1"/>
      <c r="B39" s="37" t="s">
        <v>84</v>
      </c>
      <c r="C39" s="38" t="s">
        <v>1</v>
      </c>
      <c r="D39" s="37" t="s">
        <v>2</v>
      </c>
      <c r="E39" s="39" t="s">
        <v>3</v>
      </c>
      <c r="F39" s="39" t="s">
        <v>96</v>
      </c>
      <c r="G39" s="3" t="s">
        <v>86</v>
      </c>
      <c r="H39" s="3" t="s">
        <v>93</v>
      </c>
      <c r="I39" s="3" t="s">
        <v>94</v>
      </c>
      <c r="J39" s="3" t="s">
        <v>97</v>
      </c>
      <c r="K39" s="3" t="s">
        <v>91</v>
      </c>
      <c r="L39" s="3" t="s">
        <v>90</v>
      </c>
      <c r="M39" s="56" t="s">
        <v>103</v>
      </c>
      <c r="N39" s="59"/>
      <c r="O39" s="3" t="s">
        <v>131</v>
      </c>
      <c r="P39" s="3" t="s">
        <v>124</v>
      </c>
      <c r="Q39" s="3" t="s">
        <v>124</v>
      </c>
    </row>
    <row r="40" spans="1:27" x14ac:dyDescent="0.3">
      <c r="A40" s="1" t="s">
        <v>4</v>
      </c>
      <c r="B40" s="41">
        <v>31</v>
      </c>
      <c r="C40" s="42">
        <v>12.53</v>
      </c>
      <c r="D40" s="7">
        <v>7.8</v>
      </c>
      <c r="E40" s="39">
        <v>9</v>
      </c>
      <c r="F40" s="7">
        <v>8</v>
      </c>
      <c r="G40" s="36">
        <f t="shared" ref="G40:G51" si="0">4187*$D$11*B40*($D$8-C40)*10^-6</f>
        <v>4830.5874545599991</v>
      </c>
      <c r="H40" s="36">
        <f>+$P$20*$P$18*(100-E40)*3600*F40*B40*$H$17/(G40*10^6)</f>
        <v>0.87813484963608401</v>
      </c>
      <c r="I40" s="36">
        <f>$P$16*$P$18*$P$17*D40*10^6*B40*$H$17/(G40*10^6)</f>
        <v>0.35466791123773439</v>
      </c>
      <c r="J40" s="52">
        <f>1.029*I40-0.065*H40-0.245*I40^2+0.0018*H40^2+0.0215*I40^3</f>
        <v>0.27940333663967148</v>
      </c>
      <c r="K40" s="47">
        <f>+J40*G40</f>
        <v>1349.6822527338013</v>
      </c>
      <c r="L40" s="51">
        <f>+K40/(D40*$H$17*B40)</f>
        <v>0.48963267189565157</v>
      </c>
      <c r="M40" s="57">
        <f>+(G40-K40)*0.77*0.2777</f>
        <v>744.3184784012941</v>
      </c>
      <c r="N40" s="58">
        <f>+G40*0.277*$C$29-$C$33*(($C$30+$C$32*$L$18)*$H$17+$C$31)</f>
        <v>222.75255828173385</v>
      </c>
      <c r="O40" s="2">
        <f>+(G40-K40)*$F$29</f>
        <v>1427.171132748741</v>
      </c>
      <c r="P40" s="2">
        <f>+(($C$30+$C$32*$L$18)*$H$17+$C$31)</f>
        <v>6263.5999999999995</v>
      </c>
      <c r="Q40" s="2">
        <f>+K40*J40*$C$29*0.277</f>
        <v>76.066523700886606</v>
      </c>
    </row>
    <row r="41" spans="1:27" x14ac:dyDescent="0.3">
      <c r="A41" s="1" t="s">
        <v>5</v>
      </c>
      <c r="B41" s="41">
        <v>28</v>
      </c>
      <c r="C41" s="42">
        <v>12.58</v>
      </c>
      <c r="D41" s="7">
        <v>10.8</v>
      </c>
      <c r="E41" s="7">
        <v>10</v>
      </c>
      <c r="F41" s="7">
        <v>7</v>
      </c>
      <c r="G41" s="36">
        <f t="shared" si="0"/>
        <v>4358.51559808</v>
      </c>
      <c r="H41" s="36">
        <f>+$P$20*$P$18*(100-E41)*3600*F41*B41*$H$17/(G41*10^6)</f>
        <v>0.76072565902496536</v>
      </c>
      <c r="I41" s="36">
        <f t="shared" ref="I41:I51" si="1">$P$16*$P$18*$P$17*D41*10^6*B41*$H$17/(G41*10^6)</f>
        <v>0.49159644329915098</v>
      </c>
      <c r="J41" s="52">
        <f t="shared" ref="J41:J51" si="2">1.029*I41-0.065*H41-0.245*I41^2+0.0018*H41^2+0.0215*I41^3</f>
        <v>0.40079306559466721</v>
      </c>
      <c r="K41" s="47">
        <f t="shared" ref="K41:K51" si="3">+J41*G41</f>
        <v>1746.8628279966576</v>
      </c>
      <c r="L41" s="51">
        <f t="shared" ref="L41:L51" si="4">+K41/(D41*$H$17*B41)</f>
        <v>0.50672480622756477</v>
      </c>
      <c r="M41" s="57">
        <f t="shared" ref="M41:M51" si="5">+(G41-K41)*0.77*0.2777</f>
        <v>558.44710017415093</v>
      </c>
      <c r="N41" s="58">
        <f>+G41*0.277*$C$29-$C$33*(($C$30+$C$32*$L$18)*$H$17+$C$31)</f>
        <v>127.5302832105541</v>
      </c>
      <c r="O41" s="2">
        <f>+(G41-K41)*$F$29</f>
        <v>1070.7776357341702</v>
      </c>
      <c r="P41" s="2">
        <f t="shared" ref="P41:P51" si="6">+(($C$30+$C$32*$L$18)*$H$17+$C$31)</f>
        <v>6263.5999999999995</v>
      </c>
      <c r="Q41" s="2">
        <f t="shared" ref="Q41:Q51" si="7">+K41*J41*$C$29*0.277</f>
        <v>141.2243049526318</v>
      </c>
    </row>
    <row r="42" spans="1:27" x14ac:dyDescent="0.3">
      <c r="A42" s="1" t="s">
        <v>6</v>
      </c>
      <c r="B42" s="41">
        <v>31</v>
      </c>
      <c r="C42" s="42">
        <v>12.55</v>
      </c>
      <c r="D42" s="7">
        <v>15.2</v>
      </c>
      <c r="E42" s="7">
        <v>13</v>
      </c>
      <c r="F42" s="7">
        <v>9</v>
      </c>
      <c r="G42" s="36">
        <f t="shared" si="0"/>
        <v>4828.5522375999999</v>
      </c>
      <c r="H42" s="36">
        <f>+$P$20*$P$18*(100-E42)*3600*F42*B42*$H$17/(G42*10^6)</f>
        <v>0.9448755487983912</v>
      </c>
      <c r="I42" s="36">
        <f t="shared" si="1"/>
        <v>0.69143904068012163</v>
      </c>
      <c r="J42" s="52">
        <f t="shared" si="2"/>
        <v>0.54165656325905442</v>
      </c>
      <c r="K42" s="47">
        <f t="shared" si="3"/>
        <v>2615.4170105352332</v>
      </c>
      <c r="L42" s="51">
        <f t="shared" si="4"/>
        <v>0.48688995072961039</v>
      </c>
      <c r="M42" s="57">
        <f>+(G42-K42)*0.77*0.2777</f>
        <v>473.23249246803198</v>
      </c>
      <c r="N42" s="58">
        <f t="shared" ref="N42:N51" si="8">+G42*0.277*$C$29-$C$33*(($C$30+$C$32*$L$18)*$H$17+$C$31)</f>
        <v>222.34203181942871</v>
      </c>
      <c r="O42" s="2">
        <f t="shared" ref="O42:O51" si="9">+(G42-K42)*$F$29</f>
        <v>907.38544309655424</v>
      </c>
      <c r="P42" s="2">
        <f t="shared" si="6"/>
        <v>6263.5999999999995</v>
      </c>
      <c r="Q42" s="2">
        <f t="shared" si="7"/>
        <v>285.7560260239631</v>
      </c>
    </row>
    <row r="43" spans="1:27" x14ac:dyDescent="0.3">
      <c r="A43" s="1" t="s">
        <v>7</v>
      </c>
      <c r="B43" s="41">
        <v>30</v>
      </c>
      <c r="C43" s="42">
        <v>12.35</v>
      </c>
      <c r="D43" s="7">
        <v>18.5</v>
      </c>
      <c r="E43" s="7">
        <v>16</v>
      </c>
      <c r="F43" s="7">
        <v>5</v>
      </c>
      <c r="G43" s="36">
        <f t="shared" si="0"/>
        <v>4692.4881359999999</v>
      </c>
      <c r="H43" s="36">
        <f>+$P$20*$P$18*(100-E43)*3600*F43*B43*$H$17/(G43*10^6)</f>
        <v>0.50470249389246391</v>
      </c>
      <c r="I43" s="36">
        <f>$P$16*$P$18*$P$17*D43*10^6*B43*$H$17/(G43*10^6)</f>
        <v>0.83802186431356362</v>
      </c>
      <c r="J43" s="52">
        <f t="shared" si="2"/>
        <v>0.67057190303949721</v>
      </c>
      <c r="K43" s="47">
        <f t="shared" si="3"/>
        <v>3146.6506993477828</v>
      </c>
      <c r="L43" s="51">
        <f>+K43/(D43*$H$17*B43)</f>
        <v>0.4973369210285733</v>
      </c>
      <c r="M43" s="57">
        <f t="shared" si="5"/>
        <v>330.54487324190694</v>
      </c>
      <c r="N43" s="58">
        <f>+G43*0.277*$C$29-$C$33*(($C$30+$C$32*$L$18)*$H$17+$C$31)</f>
        <v>194.89635139595055</v>
      </c>
      <c r="O43" s="2">
        <f t="shared" si="9"/>
        <v>633.79334902740902</v>
      </c>
      <c r="P43" s="2">
        <f t="shared" si="6"/>
        <v>6263.5999999999995</v>
      </c>
      <c r="Q43" s="2">
        <f t="shared" si="7"/>
        <v>425.62225859671065</v>
      </c>
      <c r="AA43" s="46"/>
    </row>
    <row r="44" spans="1:27" x14ac:dyDescent="0.3">
      <c r="A44" s="1" t="s">
        <v>8</v>
      </c>
      <c r="B44" s="41">
        <v>31</v>
      </c>
      <c r="C44" s="42">
        <v>11.37</v>
      </c>
      <c r="D44" s="7">
        <v>21.9</v>
      </c>
      <c r="E44" s="7">
        <v>18</v>
      </c>
      <c r="F44" s="7">
        <v>8</v>
      </c>
      <c r="G44" s="36">
        <f t="shared" si="0"/>
        <v>4948.6300382400004</v>
      </c>
      <c r="H44" s="36">
        <f t="shared" ref="H44:H51" si="10">+$P$20*$P$18*(100-E44)*3600*F44*B44*$H$17/(G44*10^6)</f>
        <v>0.77241132923475564</v>
      </c>
      <c r="I44" s="36">
        <f t="shared" si="1"/>
        <v>0.97204500189122978</v>
      </c>
      <c r="J44" s="52">
        <f t="shared" si="2"/>
        <v>0.73935480972942569</v>
      </c>
      <c r="K44" s="47">
        <f t="shared" si="3"/>
        <v>3658.793420344256</v>
      </c>
      <c r="L44" s="51">
        <f>+K44/(D44*$H$17*B44)</f>
        <v>0.4727453104408133</v>
      </c>
      <c r="M44" s="57">
        <f>+(G44-K44)*0.77*0.2777</f>
        <v>275.80447416802917</v>
      </c>
      <c r="N44" s="58">
        <f>+G44*0.277*$C$29-$C$33*(($C$30+$C$32*$L$18)*$H$17+$C$31)</f>
        <v>246.56309309544406</v>
      </c>
      <c r="O44" s="2">
        <f t="shared" si="9"/>
        <v>528.83301333725524</v>
      </c>
      <c r="P44" s="2">
        <f t="shared" si="6"/>
        <v>6263.5999999999995</v>
      </c>
      <c r="Q44" s="2">
        <f t="shared" si="7"/>
        <v>545.65889037016461</v>
      </c>
    </row>
    <row r="45" spans="1:27" x14ac:dyDescent="0.3">
      <c r="A45" s="1" t="s">
        <v>9</v>
      </c>
      <c r="B45" s="41">
        <v>30</v>
      </c>
      <c r="C45" s="42">
        <v>10.35</v>
      </c>
      <c r="D45" s="7">
        <v>24.8</v>
      </c>
      <c r="E45" s="7">
        <v>24</v>
      </c>
      <c r="F45" s="7">
        <v>7</v>
      </c>
      <c r="G45" s="36">
        <f t="shared" si="0"/>
        <v>4889.4446159999998</v>
      </c>
      <c r="H45" s="36">
        <f t="shared" si="10"/>
        <v>0.61353796958112405</v>
      </c>
      <c r="I45" s="36">
        <f t="shared" si="1"/>
        <v>1.07814942162339</v>
      </c>
      <c r="J45" s="52">
        <f t="shared" si="2"/>
        <v>0.81236866801122454</v>
      </c>
      <c r="K45" s="47">
        <f t="shared" si="3"/>
        <v>3972.0316100145728</v>
      </c>
      <c r="L45" s="51">
        <f t="shared" si="4"/>
        <v>0.46831159333316513</v>
      </c>
      <c r="M45" s="57">
        <f t="shared" si="5"/>
        <v>196.16950565685787</v>
      </c>
      <c r="N45" s="58">
        <f>+G45*0.277*$C$29-$C$33*(($C$30+$C$32*$L$18)*$H$17+$C$31)</f>
        <v>234.62471871582238</v>
      </c>
      <c r="O45" s="2">
        <f t="shared" si="9"/>
        <v>376.13933245402501</v>
      </c>
      <c r="P45" s="2">
        <f t="shared" si="6"/>
        <v>6263.5999999999995</v>
      </c>
      <c r="Q45" s="2">
        <f t="shared" si="7"/>
        <v>650.87307250928086</v>
      </c>
    </row>
    <row r="46" spans="1:27" x14ac:dyDescent="0.3">
      <c r="A46" s="1" t="s">
        <v>10</v>
      </c>
      <c r="B46" s="41">
        <v>31</v>
      </c>
      <c r="C46" s="42">
        <v>9.93</v>
      </c>
      <c r="D46" s="7">
        <v>26.7</v>
      </c>
      <c r="E46" s="7">
        <v>27</v>
      </c>
      <c r="F46" s="7">
        <v>8</v>
      </c>
      <c r="G46" s="36">
        <f t="shared" si="0"/>
        <v>5095.1656593599992</v>
      </c>
      <c r="H46" s="36">
        <f t="shared" si="10"/>
        <v>0.66785828977726092</v>
      </c>
      <c r="I46" s="36">
        <f>$P$16*$P$18*$P$17*D46*10^6*B46*$H$17/(G46*10^6)</f>
        <v>1.1510129137933951</v>
      </c>
      <c r="J46" s="52">
        <f t="shared" si="2"/>
        <v>0.84998612505628424</v>
      </c>
      <c r="K46" s="47">
        <f>+J46*G46</f>
        <v>4330.8201153192531</v>
      </c>
      <c r="L46" s="51">
        <f t="shared" si="4"/>
        <v>0.45897849624718395</v>
      </c>
      <c r="M46" s="57">
        <f t="shared" si="5"/>
        <v>163.43924333668869</v>
      </c>
      <c r="N46" s="58">
        <f t="shared" si="8"/>
        <v>276.12099838142865</v>
      </c>
      <c r="O46" s="2">
        <f t="shared" si="9"/>
        <v>313.38167305670589</v>
      </c>
      <c r="P46" s="2">
        <f t="shared" si="6"/>
        <v>6263.5999999999995</v>
      </c>
      <c r="Q46" s="2">
        <f t="shared" si="7"/>
        <v>742.52729950292849</v>
      </c>
      <c r="X46" s="8"/>
      <c r="Y46" s="8"/>
    </row>
    <row r="47" spans="1:27" x14ac:dyDescent="0.3">
      <c r="A47" s="1" t="s">
        <v>11</v>
      </c>
      <c r="B47" s="41">
        <v>31</v>
      </c>
      <c r="C47" s="42">
        <v>10.96</v>
      </c>
      <c r="D47" s="7">
        <v>23.6</v>
      </c>
      <c r="E47" s="7">
        <v>27</v>
      </c>
      <c r="F47" s="7">
        <v>9</v>
      </c>
      <c r="G47" s="36">
        <f t="shared" si="0"/>
        <v>4990.3519859199996</v>
      </c>
      <c r="H47" s="36">
        <f t="shared" si="10"/>
        <v>0.767121179451282</v>
      </c>
      <c r="I47" s="36">
        <f t="shared" si="1"/>
        <v>1.0387428985661729</v>
      </c>
      <c r="J47" s="52">
        <f t="shared" si="2"/>
        <v>0.77980803504891893</v>
      </c>
      <c r="K47" s="47">
        <f t="shared" si="3"/>
        <v>3891.5165763427453</v>
      </c>
      <c r="L47" s="51">
        <f t="shared" si="4"/>
        <v>0.46659527499721187</v>
      </c>
      <c r="M47" s="57">
        <f t="shared" si="5"/>
        <v>234.96287679449469</v>
      </c>
      <c r="N47" s="58">
        <f t="shared" si="8"/>
        <v>254.97888557270358</v>
      </c>
      <c r="O47" s="2">
        <f t="shared" si="9"/>
        <v>450.5225179266742</v>
      </c>
      <c r="P47" s="2">
        <f t="shared" si="6"/>
        <v>6263.5999999999995</v>
      </c>
      <c r="Q47" s="2">
        <f t="shared" si="7"/>
        <v>612.12065482191554</v>
      </c>
      <c r="X47" s="8"/>
      <c r="Y47" s="8"/>
    </row>
    <row r="48" spans="1:27" x14ac:dyDescent="0.3">
      <c r="A48" s="1" t="s">
        <v>12</v>
      </c>
      <c r="B48" s="41">
        <v>30</v>
      </c>
      <c r="C48" s="42">
        <v>12.09</v>
      </c>
      <c r="D48" s="7">
        <v>18.8</v>
      </c>
      <c r="E48" s="7">
        <v>24</v>
      </c>
      <c r="F48" s="7">
        <v>9</v>
      </c>
      <c r="G48" s="36">
        <f t="shared" si="0"/>
        <v>4718.092478399999</v>
      </c>
      <c r="H48" s="36">
        <f t="shared" si="10"/>
        <v>0.81748350093128608</v>
      </c>
      <c r="I48" s="36">
        <f t="shared" si="1"/>
        <v>0.84698984750616491</v>
      </c>
      <c r="J48" s="52">
        <f t="shared" si="2"/>
        <v>0.65692194359630129</v>
      </c>
      <c r="K48" s="47">
        <f t="shared" si="3"/>
        <v>3099.4184809776175</v>
      </c>
      <c r="L48" s="51">
        <f t="shared" si="4"/>
        <v>0.48205463496603485</v>
      </c>
      <c r="M48" s="57">
        <f t="shared" si="5"/>
        <v>346.11944219483041</v>
      </c>
      <c r="N48" s="58">
        <f t="shared" si="8"/>
        <v>200.06103914753362</v>
      </c>
      <c r="O48" s="2">
        <f t="shared" si="9"/>
        <v>663.65633894317637</v>
      </c>
      <c r="P48" s="2">
        <f t="shared" si="6"/>
        <v>6263.5999999999995</v>
      </c>
      <c r="Q48" s="2">
        <f t="shared" si="7"/>
        <v>410.69974299628706</v>
      </c>
      <c r="X48" s="8"/>
      <c r="Y48" s="8"/>
      <c r="Z48" s="48"/>
    </row>
    <row r="49" spans="1:26" x14ac:dyDescent="0.3">
      <c r="A49" s="1" t="s">
        <v>13</v>
      </c>
      <c r="B49" s="41">
        <v>31</v>
      </c>
      <c r="C49" s="42">
        <v>13.21</v>
      </c>
      <c r="D49" s="7">
        <v>12.9</v>
      </c>
      <c r="E49" s="7">
        <v>18</v>
      </c>
      <c r="F49" s="7">
        <v>10</v>
      </c>
      <c r="G49" s="36">
        <f t="shared" si="0"/>
        <v>4761.3900779200003</v>
      </c>
      <c r="H49" s="36">
        <f t="shared" si="10"/>
        <v>1.0034826603089917</v>
      </c>
      <c r="I49" s="36">
        <f t="shared" si="1"/>
        <v>0.59509073856805028</v>
      </c>
      <c r="J49" s="52">
        <f t="shared" si="2"/>
        <v>0.46670291173743006</v>
      </c>
      <c r="K49" s="47">
        <f t="shared" si="3"/>
        <v>2222.1546132829731</v>
      </c>
      <c r="L49" s="51">
        <f t="shared" si="4"/>
        <v>0.48743646729291396</v>
      </c>
      <c r="M49" s="57">
        <f t="shared" si="5"/>
        <v>542.96218016787088</v>
      </c>
      <c r="N49" s="58">
        <f t="shared" si="8"/>
        <v>208.79465856335253</v>
      </c>
      <c r="O49" s="2">
        <f t="shared" si="9"/>
        <v>1041.0865405011812</v>
      </c>
      <c r="P49" s="2">
        <f t="shared" si="6"/>
        <v>6263.5999999999995</v>
      </c>
      <c r="Q49" s="2">
        <f t="shared" si="7"/>
        <v>209.19207469890335</v>
      </c>
      <c r="X49" s="8"/>
      <c r="Y49" s="8"/>
      <c r="Z49" s="49"/>
    </row>
    <row r="50" spans="1:26" x14ac:dyDescent="0.3">
      <c r="A50" s="1" t="s">
        <v>14</v>
      </c>
      <c r="B50" s="41">
        <v>30</v>
      </c>
      <c r="C50" s="42">
        <v>13.27</v>
      </c>
      <c r="D50" s="7">
        <v>9.6</v>
      </c>
      <c r="E50" s="7">
        <v>13</v>
      </c>
      <c r="F50" s="7">
        <v>10</v>
      </c>
      <c r="G50" s="36">
        <f t="shared" si="0"/>
        <v>4601.8881552000003</v>
      </c>
      <c r="H50" s="36">
        <f t="shared" si="10"/>
        <v>1.066037634412432</v>
      </c>
      <c r="I50" s="36">
        <f t="shared" si="1"/>
        <v>0.44342684150073908</v>
      </c>
      <c r="J50" s="52">
        <f t="shared" si="2"/>
        <v>0.34274023656743219</v>
      </c>
      <c r="K50" s="47">
        <f t="shared" si="3"/>
        <v>1577.2522349701121</v>
      </c>
      <c r="L50" s="51">
        <f t="shared" si="4"/>
        <v>0.48040090002744651</v>
      </c>
      <c r="M50" s="57">
        <f t="shared" si="5"/>
        <v>646.75487418683679</v>
      </c>
      <c r="N50" s="58">
        <f t="shared" si="8"/>
        <v>176.62130242880937</v>
      </c>
      <c r="O50" s="2">
        <f t="shared" si="9"/>
        <v>1240.1007272942541</v>
      </c>
      <c r="P50" s="2">
        <f t="shared" si="6"/>
        <v>6263.5999999999995</v>
      </c>
      <c r="Q50" s="2">
        <f t="shared" si="7"/>
        <v>109.04272279603896</v>
      </c>
    </row>
    <row r="51" spans="1:26" x14ac:dyDescent="0.3">
      <c r="A51" s="1" t="s">
        <v>15</v>
      </c>
      <c r="B51" s="41">
        <v>31</v>
      </c>
      <c r="C51" s="42">
        <v>13.24</v>
      </c>
      <c r="D51" s="7">
        <v>7.1</v>
      </c>
      <c r="E51" s="7">
        <v>9</v>
      </c>
      <c r="F51" s="7">
        <v>10</v>
      </c>
      <c r="G51" s="36">
        <f t="shared" si="0"/>
        <v>4758.3372524799997</v>
      </c>
      <c r="H51" s="36">
        <f t="shared" si="10"/>
        <v>1.1143354713490403</v>
      </c>
      <c r="I51" s="36">
        <f t="shared" si="1"/>
        <v>0.32774069662826077</v>
      </c>
      <c r="J51" s="52">
        <f t="shared" si="2"/>
        <v>0.24148897277466005</v>
      </c>
      <c r="K51" s="47">
        <f t="shared" si="3"/>
        <v>1149.0859752167935</v>
      </c>
      <c r="L51" s="51">
        <f t="shared" si="4"/>
        <v>0.45796008800497134</v>
      </c>
      <c r="M51" s="57">
        <f t="shared" si="5"/>
        <v>771.7625913659142</v>
      </c>
      <c r="N51" s="58">
        <f t="shared" si="8"/>
        <v>208.17886886989436</v>
      </c>
      <c r="O51" s="2">
        <f t="shared" si="9"/>
        <v>1479.7930236779146</v>
      </c>
      <c r="P51" s="2">
        <f t="shared" si="6"/>
        <v>6263.5999999999995</v>
      </c>
      <c r="Q51" s="2">
        <f t="shared" si="7"/>
        <v>55.973217467155024</v>
      </c>
    </row>
    <row r="52" spans="1:26" x14ac:dyDescent="0.3">
      <c r="B52" s="34"/>
      <c r="C52" s="34"/>
      <c r="D52" s="34"/>
      <c r="E52" s="34"/>
      <c r="G52" s="43">
        <f>+SUM(G40:G51)</f>
        <v>57473.443689760003</v>
      </c>
      <c r="H52" s="34"/>
      <c r="J52" s="53">
        <f>+K52/G52</f>
        <v>0.56999691881902259</v>
      </c>
      <c r="K52" s="50">
        <f>+SUM(K40:K51)</f>
        <v>32759.685817081798</v>
      </c>
      <c r="L52" s="54">
        <f>+K52/(AVERAGE(D40:D51)*365*H17)</f>
        <v>0.47787750649530608</v>
      </c>
      <c r="M52" s="8">
        <f>+SUM(M40:M51)</f>
        <v>5284.5181321569062</v>
      </c>
      <c r="N52" s="5">
        <f>+SUM(N40:N51)</f>
        <v>2573.4647894826562</v>
      </c>
      <c r="O52" s="31">
        <f>+SUM(O40:O51)</f>
        <v>10132.64072779806</v>
      </c>
      <c r="P52" s="2"/>
      <c r="Q52" s="2">
        <f>+SUM(Q40:Q51)</f>
        <v>4264.7567884368664</v>
      </c>
    </row>
    <row r="53" spans="1:26" x14ac:dyDescent="0.3">
      <c r="L53" s="82"/>
    </row>
  </sheetData>
  <mergeCells count="24">
    <mergeCell ref="E24:G24"/>
    <mergeCell ref="J18:K18"/>
    <mergeCell ref="J14:K14"/>
    <mergeCell ref="J16:K16"/>
    <mergeCell ref="J17:K17"/>
    <mergeCell ref="E23:G23"/>
    <mergeCell ref="A16:B16"/>
    <mergeCell ref="A17:B17"/>
    <mergeCell ref="A18:B18"/>
    <mergeCell ref="A19:B19"/>
    <mergeCell ref="F16:G16"/>
    <mergeCell ref="F17:G17"/>
    <mergeCell ref="A2:D2"/>
    <mergeCell ref="A3:D3"/>
    <mergeCell ref="G2:H2"/>
    <mergeCell ref="G3:H3"/>
    <mergeCell ref="B6:C6"/>
    <mergeCell ref="B8:C8"/>
    <mergeCell ref="B9:C9"/>
    <mergeCell ref="B10:C10"/>
    <mergeCell ref="B11:C11"/>
    <mergeCell ref="F6:G6"/>
    <mergeCell ref="F7:G7"/>
    <mergeCell ref="B7:C7"/>
  </mergeCells>
  <conditionalFormatting sqref="J52">
    <cfRule type="cellIs" dxfId="3" priority="3" operator="lessThan">
      <formula>0.6</formula>
    </cfRule>
    <cfRule type="cellIs" dxfId="2" priority="4" operator="greaterThanOrEqual">
      <formula>60%</formula>
    </cfRule>
  </conditionalFormatting>
  <conditionalFormatting sqref="L52">
    <cfRule type="cellIs" dxfId="1" priority="1" operator="lessThan">
      <formula>0.3</formula>
    </cfRule>
    <cfRule type="cellIs" dxfId="0" priority="2" operator="greaterThan">
      <formula>0.3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32E-8255-45B3-943E-5A3631F5C0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E0EF-BC42-4315-A9AA-0E141C9F8D8F}">
  <dimension ref="A1:G14"/>
  <sheetViews>
    <sheetView zoomScale="130" zoomScaleNormal="130" workbookViewId="0">
      <selection activeCell="B7" sqref="B7:B8"/>
    </sheetView>
  </sheetViews>
  <sheetFormatPr baseColWidth="10" defaultRowHeight="14.4" x14ac:dyDescent="0.3"/>
  <cols>
    <col min="2" max="2" width="22.88671875" customWidth="1"/>
  </cols>
  <sheetData>
    <row r="1" spans="1:7" x14ac:dyDescent="0.3">
      <c r="B1" s="103"/>
      <c r="C1" s="104" t="s">
        <v>155</v>
      </c>
      <c r="D1" s="104"/>
      <c r="E1" s="104" t="s">
        <v>156</v>
      </c>
      <c r="F1" s="104"/>
      <c r="G1" s="104"/>
    </row>
    <row r="2" spans="1:7" x14ac:dyDescent="0.3">
      <c r="B2" s="103"/>
      <c r="C2" s="79" t="s">
        <v>153</v>
      </c>
      <c r="D2" s="79" t="s">
        <v>154</v>
      </c>
      <c r="E2" s="105" t="s">
        <v>161</v>
      </c>
      <c r="F2" s="105"/>
      <c r="G2" s="79" t="s">
        <v>154</v>
      </c>
    </row>
    <row r="3" spans="1:7" x14ac:dyDescent="0.3">
      <c r="A3" s="101">
        <v>1</v>
      </c>
      <c r="B3" s="102" t="s">
        <v>157</v>
      </c>
      <c r="C3" s="103">
        <v>7.38</v>
      </c>
      <c r="D3" s="103">
        <v>4.46</v>
      </c>
      <c r="E3" s="2">
        <v>785</v>
      </c>
      <c r="F3" s="2">
        <v>1872.23</v>
      </c>
      <c r="G3" s="103">
        <v>1589.45</v>
      </c>
    </row>
    <row r="4" spans="1:7" x14ac:dyDescent="0.3">
      <c r="A4" s="101"/>
      <c r="B4" s="102"/>
      <c r="C4" s="103"/>
      <c r="D4" s="103"/>
      <c r="E4" s="103">
        <v>2657.66</v>
      </c>
      <c r="F4" s="103"/>
      <c r="G4" s="103"/>
    </row>
    <row r="5" spans="1:7" x14ac:dyDescent="0.3">
      <c r="A5" s="101">
        <v>2</v>
      </c>
      <c r="B5" s="102" t="s">
        <v>158</v>
      </c>
      <c r="C5" s="103">
        <v>6.68</v>
      </c>
      <c r="D5" s="103">
        <v>0</v>
      </c>
      <c r="E5" s="2">
        <v>2477.54</v>
      </c>
      <c r="F5" s="2">
        <v>1872.23</v>
      </c>
      <c r="G5" s="103">
        <v>0</v>
      </c>
    </row>
    <row r="6" spans="1:7" x14ac:dyDescent="0.3">
      <c r="A6" s="101"/>
      <c r="B6" s="102"/>
      <c r="C6" s="103"/>
      <c r="D6" s="103"/>
      <c r="E6" s="103">
        <v>4349.78</v>
      </c>
      <c r="F6" s="103"/>
      <c r="G6" s="103"/>
    </row>
    <row r="7" spans="1:7" x14ac:dyDescent="0.3">
      <c r="A7" s="101">
        <v>3</v>
      </c>
      <c r="B7" s="102" t="s">
        <v>159</v>
      </c>
      <c r="C7" s="103">
        <v>21.56</v>
      </c>
      <c r="D7" s="103">
        <v>9.42</v>
      </c>
      <c r="E7" s="2">
        <v>21183.8</v>
      </c>
      <c r="F7" s="2">
        <v>1877.62</v>
      </c>
      <c r="G7" s="103">
        <v>8565.36</v>
      </c>
    </row>
    <row r="8" spans="1:7" x14ac:dyDescent="0.3">
      <c r="A8" s="101"/>
      <c r="B8" s="102"/>
      <c r="C8" s="103"/>
      <c r="D8" s="103"/>
      <c r="E8" s="103">
        <v>23061.599999999999</v>
      </c>
      <c r="F8" s="103"/>
      <c r="G8" s="103"/>
    </row>
    <row r="9" spans="1:7" x14ac:dyDescent="0.3">
      <c r="A9" s="101">
        <v>4</v>
      </c>
      <c r="B9" s="102" t="s">
        <v>160</v>
      </c>
      <c r="C9" s="103">
        <v>6.68</v>
      </c>
      <c r="D9" s="103">
        <v>0.8</v>
      </c>
      <c r="E9" s="2">
        <v>2058.61</v>
      </c>
      <c r="F9" s="2">
        <v>1872.33</v>
      </c>
      <c r="G9" s="103">
        <v>2.77</v>
      </c>
    </row>
    <row r="10" spans="1:7" x14ac:dyDescent="0.3">
      <c r="A10" s="101"/>
      <c r="B10" s="102"/>
      <c r="C10" s="103"/>
      <c r="D10" s="103"/>
      <c r="E10" s="103">
        <v>3930.88</v>
      </c>
      <c r="F10" s="103"/>
      <c r="G10" s="103"/>
    </row>
    <row r="11" spans="1:7" x14ac:dyDescent="0.3">
      <c r="A11" s="101">
        <v>5</v>
      </c>
      <c r="B11" s="102" t="s">
        <v>167</v>
      </c>
      <c r="C11" s="103">
        <v>6.68</v>
      </c>
      <c r="D11" s="103">
        <v>0</v>
      </c>
      <c r="E11" s="2">
        <v>2477.54</v>
      </c>
      <c r="F11" s="2">
        <v>1872.23</v>
      </c>
      <c r="G11" s="103">
        <v>0</v>
      </c>
    </row>
    <row r="12" spans="1:7" x14ac:dyDescent="0.3">
      <c r="A12" s="101"/>
      <c r="B12" s="102"/>
      <c r="C12" s="103"/>
      <c r="D12" s="103"/>
      <c r="E12" s="103">
        <v>4349.78</v>
      </c>
      <c r="F12" s="103"/>
      <c r="G12" s="103"/>
    </row>
    <row r="13" spans="1:7" x14ac:dyDescent="0.3">
      <c r="A13" s="101">
        <v>6</v>
      </c>
      <c r="B13" s="102" t="s">
        <v>168</v>
      </c>
      <c r="C13" s="103">
        <v>21.56</v>
      </c>
      <c r="D13" s="103">
        <v>9.42</v>
      </c>
      <c r="E13" s="2">
        <v>21183.8</v>
      </c>
      <c r="F13" s="2">
        <v>1877.62</v>
      </c>
      <c r="G13" s="103">
        <v>8565.36</v>
      </c>
    </row>
    <row r="14" spans="1:7" x14ac:dyDescent="0.3">
      <c r="A14" s="101"/>
      <c r="B14" s="102"/>
      <c r="C14" s="103"/>
      <c r="D14" s="103"/>
      <c r="E14" s="103">
        <v>23061.599999999999</v>
      </c>
      <c r="F14" s="103"/>
      <c r="G14" s="103"/>
    </row>
  </sheetData>
  <mergeCells count="40">
    <mergeCell ref="B1:B2"/>
    <mergeCell ref="B3:B4"/>
    <mergeCell ref="B5:B6"/>
    <mergeCell ref="B7:B8"/>
    <mergeCell ref="B9:B10"/>
    <mergeCell ref="G5:G6"/>
    <mergeCell ref="A9:A10"/>
    <mergeCell ref="C9:C10"/>
    <mergeCell ref="D9:D10"/>
    <mergeCell ref="G9:G10"/>
    <mergeCell ref="E10:F10"/>
    <mergeCell ref="A7:A8"/>
    <mergeCell ref="C7:C8"/>
    <mergeCell ref="D7:D8"/>
    <mergeCell ref="G7:G8"/>
    <mergeCell ref="E8:F8"/>
    <mergeCell ref="A3:A4"/>
    <mergeCell ref="A5:A6"/>
    <mergeCell ref="C5:C6"/>
    <mergeCell ref="D5:D6"/>
    <mergeCell ref="E6:F6"/>
    <mergeCell ref="C1:D1"/>
    <mergeCell ref="E2:F2"/>
    <mergeCell ref="E4:F4"/>
    <mergeCell ref="C3:C4"/>
    <mergeCell ref="D3:D4"/>
    <mergeCell ref="E1:G1"/>
    <mergeCell ref="G3:G4"/>
    <mergeCell ref="A11:A12"/>
    <mergeCell ref="B11:B12"/>
    <mergeCell ref="C11:C12"/>
    <mergeCell ref="D11:D12"/>
    <mergeCell ref="G11:G12"/>
    <mergeCell ref="E12:F12"/>
    <mergeCell ref="A13:A14"/>
    <mergeCell ref="B13:B14"/>
    <mergeCell ref="C13:C14"/>
    <mergeCell ref="D13:D14"/>
    <mergeCell ref="G13:G14"/>
    <mergeCell ref="E14:F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83B0-A4A9-44CA-9133-56EE86115956}">
  <dimension ref="A1:A20"/>
  <sheetViews>
    <sheetView workbookViewId="0">
      <selection activeCell="A5" sqref="A5"/>
    </sheetView>
  </sheetViews>
  <sheetFormatPr baseColWidth="10" defaultRowHeight="14.4" x14ac:dyDescent="0.3"/>
  <cols>
    <col min="1" max="1" width="86.6640625" customWidth="1"/>
  </cols>
  <sheetData>
    <row r="1" spans="1:1" x14ac:dyDescent="0.3">
      <c r="A1" s="81">
        <v>45000</v>
      </c>
    </row>
    <row r="3" spans="1:1" x14ac:dyDescent="0.3">
      <c r="A3" t="s">
        <v>162</v>
      </c>
    </row>
    <row r="5" spans="1:1" x14ac:dyDescent="0.3">
      <c r="A5" t="s">
        <v>163</v>
      </c>
    </row>
    <row r="7" spans="1:1" x14ac:dyDescent="0.3">
      <c r="A7" t="s">
        <v>164</v>
      </c>
    </row>
    <row r="9" spans="1:1" x14ac:dyDescent="0.3">
      <c r="A9" t="s">
        <v>165</v>
      </c>
    </row>
    <row r="11" spans="1:1" x14ac:dyDescent="0.3">
      <c r="A11" t="s">
        <v>166</v>
      </c>
    </row>
    <row r="16" spans="1:1" x14ac:dyDescent="0.3">
      <c r="A16" s="80">
        <v>45002</v>
      </c>
    </row>
    <row r="17" spans="1:1" x14ac:dyDescent="0.3">
      <c r="A17" t="s">
        <v>169</v>
      </c>
    </row>
    <row r="18" spans="1:1" x14ac:dyDescent="0.3">
      <c r="A18" t="s">
        <v>170</v>
      </c>
    </row>
    <row r="19" spans="1:1" x14ac:dyDescent="0.3">
      <c r="A19" t="s">
        <v>171</v>
      </c>
    </row>
    <row r="20" spans="1:1" x14ac:dyDescent="0.3">
      <c r="A20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649-6E26-433C-A861-39C6A9362175}">
  <dimension ref="A1:M36"/>
  <sheetViews>
    <sheetView workbookViewId="0">
      <selection activeCell="G35" sqref="G35"/>
    </sheetView>
  </sheetViews>
  <sheetFormatPr baseColWidth="10" defaultRowHeight="14.4" x14ac:dyDescent="0.3"/>
  <cols>
    <col min="1" max="1" width="32.109375" customWidth="1"/>
    <col min="2" max="2" width="12.88671875" customWidth="1"/>
    <col min="3" max="3" width="12.5546875" customWidth="1"/>
    <col min="4" max="4" width="18.44140625" customWidth="1"/>
    <col min="7" max="7" width="16.109375" customWidth="1"/>
  </cols>
  <sheetData>
    <row r="1" spans="1:11" x14ac:dyDescent="0.3">
      <c r="A1" s="83" t="s">
        <v>27</v>
      </c>
      <c r="B1" s="84"/>
      <c r="C1" s="1">
        <v>-11.59</v>
      </c>
      <c r="D1" s="2" t="s">
        <v>32</v>
      </c>
    </row>
    <row r="2" spans="1:11" x14ac:dyDescent="0.3">
      <c r="A2" s="83" t="s">
        <v>28</v>
      </c>
      <c r="B2" s="84"/>
      <c r="C2" s="1">
        <v>60</v>
      </c>
      <c r="D2" s="2" t="s">
        <v>32</v>
      </c>
    </row>
    <row r="3" spans="1:11" x14ac:dyDescent="0.3">
      <c r="A3" s="83" t="s">
        <v>29</v>
      </c>
      <c r="B3" s="84"/>
      <c r="C3" s="1">
        <v>15</v>
      </c>
      <c r="D3" s="2" t="s">
        <v>54</v>
      </c>
    </row>
    <row r="4" spans="1:11" x14ac:dyDescent="0.3">
      <c r="A4" s="83" t="s">
        <v>30</v>
      </c>
      <c r="B4" s="84"/>
      <c r="C4" s="1">
        <v>40</v>
      </c>
      <c r="D4" s="2" t="s">
        <v>54</v>
      </c>
    </row>
    <row r="5" spans="1:11" ht="15" thickBot="1" x14ac:dyDescent="0.35">
      <c r="A5" s="85" t="s">
        <v>31</v>
      </c>
      <c r="B5" s="86"/>
      <c r="C5" s="18">
        <v>2800</v>
      </c>
      <c r="D5" s="15" t="s">
        <v>55</v>
      </c>
    </row>
    <row r="8" spans="1:11" x14ac:dyDescent="0.3">
      <c r="A8" s="2" t="s">
        <v>17</v>
      </c>
      <c r="B8" s="7" t="s">
        <v>60</v>
      </c>
      <c r="C8" s="7" t="s">
        <v>62</v>
      </c>
      <c r="D8" s="7" t="s">
        <v>64</v>
      </c>
      <c r="E8" s="7" t="s">
        <v>65</v>
      </c>
      <c r="F8" s="7" t="s">
        <v>66</v>
      </c>
      <c r="G8" s="7" t="s">
        <v>68</v>
      </c>
      <c r="H8" s="7" t="s">
        <v>69</v>
      </c>
      <c r="I8" s="7" t="s">
        <v>70</v>
      </c>
      <c r="J8" s="7" t="s">
        <v>71</v>
      </c>
      <c r="K8" s="7" t="s">
        <v>72</v>
      </c>
    </row>
    <row r="9" spans="1:11" x14ac:dyDescent="0.3">
      <c r="A9" s="2"/>
      <c r="B9" s="7" t="s">
        <v>61</v>
      </c>
      <c r="C9" s="7" t="s">
        <v>63</v>
      </c>
      <c r="D9" s="7" t="s">
        <v>63</v>
      </c>
      <c r="E9" s="7" t="s">
        <v>63</v>
      </c>
      <c r="F9" s="7" t="s">
        <v>67</v>
      </c>
      <c r="G9" s="7" t="s">
        <v>63</v>
      </c>
      <c r="H9" s="7" t="s">
        <v>63</v>
      </c>
      <c r="I9" s="2"/>
      <c r="J9" s="7" t="s">
        <v>63</v>
      </c>
      <c r="K9" s="2"/>
    </row>
    <row r="10" spans="1:11" x14ac:dyDescent="0.3">
      <c r="A10" s="2" t="s">
        <v>4</v>
      </c>
      <c r="B10" s="2"/>
      <c r="C10" s="2"/>
      <c r="D10" s="2"/>
      <c r="E10" s="2"/>
      <c r="F10" s="1"/>
      <c r="G10" s="2"/>
      <c r="H10" s="2"/>
      <c r="I10" s="2"/>
      <c r="J10" s="2"/>
      <c r="K10" s="2"/>
    </row>
    <row r="11" spans="1:11" x14ac:dyDescent="0.3">
      <c r="A11" s="2" t="s">
        <v>5</v>
      </c>
      <c r="B11" s="2"/>
      <c r="C11" s="2"/>
      <c r="D11" s="2"/>
      <c r="E11" s="2"/>
      <c r="F11" s="1"/>
      <c r="G11" s="2"/>
      <c r="H11" s="2"/>
      <c r="I11" s="2"/>
      <c r="J11" s="2"/>
      <c r="K11" s="2"/>
    </row>
    <row r="12" spans="1:11" x14ac:dyDescent="0.3">
      <c r="A12" s="2" t="s">
        <v>6</v>
      </c>
      <c r="B12" s="2"/>
      <c r="C12" s="2"/>
      <c r="D12" s="2"/>
      <c r="E12" s="2"/>
      <c r="F12" s="1"/>
      <c r="G12" s="2"/>
      <c r="H12" s="2"/>
      <c r="I12" s="2"/>
      <c r="J12" s="2"/>
      <c r="K12" s="2"/>
    </row>
    <row r="13" spans="1:11" x14ac:dyDescent="0.3">
      <c r="A13" s="2" t="s">
        <v>7</v>
      </c>
      <c r="B13" s="2"/>
      <c r="C13" s="2"/>
      <c r="D13" s="2"/>
      <c r="E13" s="2"/>
      <c r="F13" s="1"/>
      <c r="G13" s="2"/>
      <c r="H13" s="2"/>
      <c r="I13" s="2"/>
      <c r="J13" s="2"/>
      <c r="K13" s="2"/>
    </row>
    <row r="14" spans="1:11" x14ac:dyDescent="0.3">
      <c r="A14" s="2" t="s">
        <v>8</v>
      </c>
      <c r="B14" s="2"/>
      <c r="C14" s="2"/>
      <c r="D14" s="2"/>
      <c r="E14" s="2"/>
      <c r="F14" s="1"/>
      <c r="G14" s="2"/>
      <c r="H14" s="2"/>
      <c r="I14" s="2"/>
      <c r="J14" s="2"/>
      <c r="K14" s="2"/>
    </row>
    <row r="15" spans="1:11" x14ac:dyDescent="0.3">
      <c r="A15" s="2" t="s">
        <v>9</v>
      </c>
      <c r="B15" s="2"/>
      <c r="C15" s="2"/>
      <c r="D15" s="2"/>
      <c r="E15" s="2"/>
      <c r="F15" s="1"/>
      <c r="G15" s="2"/>
      <c r="H15" s="2"/>
      <c r="I15" s="2"/>
      <c r="J15" s="2"/>
      <c r="K15" s="2"/>
    </row>
    <row r="16" spans="1:11" x14ac:dyDescent="0.3">
      <c r="A16" s="2" t="s">
        <v>10</v>
      </c>
      <c r="B16" s="2"/>
      <c r="C16" s="2"/>
      <c r="D16" s="2"/>
      <c r="E16" s="2"/>
      <c r="F16" s="1"/>
      <c r="G16" s="2"/>
      <c r="H16" s="2"/>
      <c r="I16" s="2"/>
      <c r="J16" s="2"/>
      <c r="K16" s="2"/>
    </row>
    <row r="17" spans="1:13" x14ac:dyDescent="0.3">
      <c r="A17" s="2" t="s">
        <v>11</v>
      </c>
      <c r="B17" s="2"/>
      <c r="C17" s="2"/>
      <c r="D17" s="2"/>
      <c r="E17" s="2"/>
      <c r="F17" s="1"/>
      <c r="G17" s="2"/>
      <c r="H17" s="2"/>
      <c r="I17" s="2"/>
      <c r="J17" s="2"/>
      <c r="K17" s="2"/>
    </row>
    <row r="18" spans="1:13" x14ac:dyDescent="0.3">
      <c r="A18" s="2" t="s">
        <v>12</v>
      </c>
      <c r="B18" s="2"/>
      <c r="C18" s="2"/>
      <c r="D18" s="2"/>
      <c r="E18" s="2"/>
      <c r="F18" s="1"/>
      <c r="G18" s="2"/>
      <c r="H18" s="2"/>
      <c r="I18" s="2"/>
      <c r="J18" s="2"/>
      <c r="K18" s="2"/>
    </row>
    <row r="19" spans="1:13" x14ac:dyDescent="0.3">
      <c r="A19" s="2" t="s">
        <v>13</v>
      </c>
      <c r="B19" s="2"/>
      <c r="C19" s="2"/>
      <c r="D19" s="2"/>
      <c r="E19" s="2"/>
      <c r="F19" s="1"/>
      <c r="G19" s="2"/>
      <c r="H19" s="2"/>
      <c r="I19" s="2"/>
      <c r="J19" s="2"/>
      <c r="K19" s="2"/>
    </row>
    <row r="20" spans="1:13" x14ac:dyDescent="0.3">
      <c r="A20" s="2" t="s">
        <v>14</v>
      </c>
      <c r="B20" s="2"/>
      <c r="C20" s="2"/>
      <c r="D20" s="2"/>
      <c r="E20" s="2"/>
      <c r="F20" s="1"/>
      <c r="G20" s="2"/>
      <c r="H20" s="2"/>
      <c r="I20" s="2"/>
      <c r="J20" s="2"/>
      <c r="K20" s="2"/>
    </row>
    <row r="21" spans="1:13" x14ac:dyDescent="0.3">
      <c r="A21" s="2" t="s">
        <v>15</v>
      </c>
      <c r="B21" s="2"/>
      <c r="C21" s="2"/>
      <c r="D21" s="2"/>
      <c r="E21" s="2"/>
      <c r="F21" s="1"/>
      <c r="G21" s="2"/>
      <c r="H21" s="2"/>
      <c r="I21" s="2"/>
      <c r="J21" s="2"/>
      <c r="K21" s="2"/>
    </row>
    <row r="22" spans="1:13" x14ac:dyDescent="0.3">
      <c r="A22" s="31" t="s">
        <v>73</v>
      </c>
      <c r="B22" s="2"/>
      <c r="C22" s="2"/>
      <c r="D22" s="2"/>
      <c r="E22" s="2"/>
      <c r="F22" s="2"/>
      <c r="G22" s="2"/>
      <c r="H22" s="2"/>
      <c r="I22" s="35"/>
      <c r="J22" s="35"/>
      <c r="K22" s="35"/>
    </row>
    <row r="23" spans="1:13" x14ac:dyDescent="0.3">
      <c r="A23" s="31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5" spans="1:13" ht="15" thickBot="1" x14ac:dyDescent="0.35"/>
    <row r="26" spans="1:13" ht="14.4" customHeight="1" x14ac:dyDescent="0.3">
      <c r="A26" s="107" t="s">
        <v>41</v>
      </c>
      <c r="B26" s="107"/>
      <c r="C26" s="108"/>
      <c r="D26" s="106" t="s">
        <v>46</v>
      </c>
      <c r="E26" s="107"/>
      <c r="F26" s="108"/>
      <c r="G26" s="109" t="s">
        <v>51</v>
      </c>
      <c r="H26" s="110"/>
      <c r="I26" s="111"/>
      <c r="K26" s="9"/>
      <c r="L26" s="24">
        <v>0.77</v>
      </c>
    </row>
    <row r="27" spans="1:13" x14ac:dyDescent="0.3">
      <c r="A27" s="107"/>
      <c r="B27" s="107"/>
      <c r="C27" s="108"/>
      <c r="D27" s="106"/>
      <c r="E27" s="107"/>
      <c r="F27" s="108"/>
      <c r="G27" s="109"/>
      <c r="H27" s="110"/>
      <c r="I27" s="111"/>
      <c r="K27" s="12"/>
      <c r="L27" s="26">
        <v>0.96</v>
      </c>
    </row>
    <row r="28" spans="1:13" x14ac:dyDescent="0.3">
      <c r="A28" t="s">
        <v>75</v>
      </c>
      <c r="B28">
        <v>1.9</v>
      </c>
      <c r="C28" s="32"/>
      <c r="D28" s="113" t="s">
        <v>77</v>
      </c>
      <c r="E28">
        <v>18</v>
      </c>
      <c r="F28" s="32"/>
      <c r="G28" s="113" t="s">
        <v>52</v>
      </c>
      <c r="H28" s="110">
        <v>2565</v>
      </c>
      <c r="I28" s="32"/>
      <c r="K28" s="12"/>
      <c r="L28" s="26">
        <v>0.95</v>
      </c>
    </row>
    <row r="29" spans="1:13" x14ac:dyDescent="0.3">
      <c r="A29" t="s">
        <v>76</v>
      </c>
      <c r="B29">
        <v>37.33</v>
      </c>
      <c r="C29" s="32"/>
      <c r="D29" s="113"/>
      <c r="F29" s="32"/>
      <c r="G29" s="113"/>
      <c r="H29" s="110"/>
      <c r="I29" s="32"/>
      <c r="K29" s="12"/>
      <c r="L29" s="13">
        <v>0.70223999999999998</v>
      </c>
    </row>
    <row r="30" spans="1:13" x14ac:dyDescent="0.3">
      <c r="A30" t="s">
        <v>44</v>
      </c>
      <c r="B30">
        <v>20</v>
      </c>
      <c r="C30" s="32"/>
      <c r="D30" s="113" t="s">
        <v>78</v>
      </c>
      <c r="E30">
        <v>34.200000000000003</v>
      </c>
      <c r="F30" s="32"/>
      <c r="G30" s="113" t="s">
        <v>53</v>
      </c>
      <c r="H30" s="110">
        <v>2565</v>
      </c>
      <c r="I30" s="32"/>
      <c r="K30" s="12"/>
      <c r="L30" s="13">
        <v>4.0860000000000003</v>
      </c>
      <c r="M30" t="s">
        <v>40</v>
      </c>
    </row>
    <row r="31" spans="1:13" x14ac:dyDescent="0.3">
      <c r="A31" t="s">
        <v>45</v>
      </c>
      <c r="B31">
        <v>38</v>
      </c>
      <c r="C31" s="32"/>
      <c r="D31" s="113"/>
      <c r="F31" s="32"/>
      <c r="G31" s="113"/>
      <c r="H31" s="110"/>
      <c r="I31" s="32"/>
      <c r="K31" s="12"/>
      <c r="L31" s="26">
        <v>0.95</v>
      </c>
    </row>
    <row r="32" spans="1:13" ht="15" thickBot="1" x14ac:dyDescent="0.35">
      <c r="C32" s="32"/>
      <c r="F32" s="32"/>
      <c r="G32" s="33" t="s">
        <v>79</v>
      </c>
      <c r="H32">
        <v>75</v>
      </c>
      <c r="I32" s="32"/>
      <c r="K32" s="14"/>
      <c r="L32" s="16">
        <v>3.8817000000000001E-3</v>
      </c>
      <c r="M32" t="s">
        <v>59</v>
      </c>
    </row>
    <row r="34" spans="2:7" x14ac:dyDescent="0.3">
      <c r="B34" s="112" t="s">
        <v>80</v>
      </c>
      <c r="C34" s="112"/>
      <c r="D34" s="112"/>
      <c r="E34" s="112"/>
      <c r="F34" s="112"/>
      <c r="G34" t="s">
        <v>82</v>
      </c>
    </row>
    <row r="36" spans="2:7" x14ac:dyDescent="0.3">
      <c r="B36" s="112" t="s">
        <v>81</v>
      </c>
      <c r="C36" s="112"/>
      <c r="D36" s="112"/>
      <c r="E36" s="112"/>
      <c r="F36" s="112"/>
      <c r="G36" t="s">
        <v>82</v>
      </c>
    </row>
  </sheetData>
  <mergeCells count="16">
    <mergeCell ref="B36:F36"/>
    <mergeCell ref="B34:F34"/>
    <mergeCell ref="G28:G29"/>
    <mergeCell ref="G30:G31"/>
    <mergeCell ref="H28:H29"/>
    <mergeCell ref="H30:H31"/>
    <mergeCell ref="D28:D29"/>
    <mergeCell ref="D30:D31"/>
    <mergeCell ref="D26:F27"/>
    <mergeCell ref="G26:I27"/>
    <mergeCell ref="A1:B1"/>
    <mergeCell ref="A2:B2"/>
    <mergeCell ref="A3:B3"/>
    <mergeCell ref="A4:B4"/>
    <mergeCell ref="A5:B5"/>
    <mergeCell ref="A26:C27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EE5E-86AC-4A54-B212-774DBF0D4CD5}">
  <dimension ref="A1:I22"/>
  <sheetViews>
    <sheetView zoomScale="70" zoomScaleNormal="70" workbookViewId="0">
      <selection activeCell="F20" sqref="F20"/>
    </sheetView>
  </sheetViews>
  <sheetFormatPr baseColWidth="10" defaultRowHeight="14.4" x14ac:dyDescent="0.3"/>
  <cols>
    <col min="1" max="1" width="36" customWidth="1"/>
    <col min="3" max="3" width="21.33203125" customWidth="1"/>
    <col min="4" max="4" width="21.5546875" customWidth="1"/>
    <col min="5" max="5" width="22.44140625" customWidth="1"/>
    <col min="6" max="6" width="17.77734375" customWidth="1"/>
    <col min="7" max="7" width="20.21875" customWidth="1"/>
    <col min="8" max="8" width="18.109375" customWidth="1"/>
    <col min="9" max="9" width="16.33203125" customWidth="1"/>
  </cols>
  <sheetData>
    <row r="1" spans="1:9" x14ac:dyDescent="0.3">
      <c r="A1" t="s">
        <v>110</v>
      </c>
      <c r="B1">
        <v>57473.443689760003</v>
      </c>
    </row>
    <row r="2" spans="1:9" x14ac:dyDescent="0.3">
      <c r="A2" t="s">
        <v>111</v>
      </c>
      <c r="B2">
        <v>0.5</v>
      </c>
    </row>
    <row r="3" spans="1:9" x14ac:dyDescent="0.3">
      <c r="A3" t="s">
        <v>112</v>
      </c>
      <c r="B3">
        <v>0.1</v>
      </c>
    </row>
    <row r="4" spans="1:9" x14ac:dyDescent="0.3">
      <c r="A4" t="s">
        <v>113</v>
      </c>
      <c r="B4">
        <f>+(1+B2)/(1+B3)-1</f>
        <v>0.36363636363636354</v>
      </c>
    </row>
    <row r="5" spans="1:9" x14ac:dyDescent="0.3">
      <c r="A5" t="s">
        <v>114</v>
      </c>
      <c r="B5">
        <v>500</v>
      </c>
    </row>
    <row r="6" spans="1:9" x14ac:dyDescent="0.3">
      <c r="A6" t="s">
        <v>115</v>
      </c>
      <c r="B6">
        <v>5</v>
      </c>
    </row>
    <row r="7" spans="1:9" x14ac:dyDescent="0.3">
      <c r="A7" t="s">
        <v>116</v>
      </c>
      <c r="B7">
        <v>100000</v>
      </c>
    </row>
    <row r="10" spans="1:9" ht="28.8" x14ac:dyDescent="0.3">
      <c r="A10" s="60" t="s">
        <v>19</v>
      </c>
      <c r="B10" s="60" t="s">
        <v>20</v>
      </c>
      <c r="C10" s="60" t="s">
        <v>21</v>
      </c>
      <c r="D10" s="60" t="s">
        <v>101</v>
      </c>
      <c r="E10" s="60" t="s">
        <v>104</v>
      </c>
      <c r="F10" s="61" t="s">
        <v>117</v>
      </c>
      <c r="G10" s="61" t="s">
        <v>134</v>
      </c>
      <c r="H10" s="60" t="s">
        <v>133</v>
      </c>
      <c r="I10" s="61" t="s">
        <v>132</v>
      </c>
    </row>
    <row r="11" spans="1:9" x14ac:dyDescent="0.3">
      <c r="A11" s="7">
        <v>1</v>
      </c>
      <c r="B11" s="7">
        <f>1.9*A11</f>
        <v>1.9</v>
      </c>
      <c r="C11" s="7">
        <v>0.13</v>
      </c>
      <c r="D11" s="7">
        <v>0.66</v>
      </c>
      <c r="E11" s="7">
        <f t="shared" ref="E11:E22" si="0">+$B$1*(1-C11)*0.277*0.77</f>
        <v>10664.904399992354</v>
      </c>
      <c r="F11" s="7">
        <f>+B11*$B$5*($B$4)/(1-(1+$B$4)^(-$B$6))+$B$7+E11</f>
        <v>111103.3450198815</v>
      </c>
      <c r="G11" s="62">
        <f>+D11*$B$1/F11</f>
        <v>0.34141611873570271</v>
      </c>
      <c r="H11" s="7">
        <v>6951.0647894826561</v>
      </c>
      <c r="I11" s="7">
        <v>20871.983950524238</v>
      </c>
    </row>
    <row r="12" spans="1:9" x14ac:dyDescent="0.3">
      <c r="A12" s="7">
        <v>2</v>
      </c>
      <c r="B12" s="7">
        <f t="shared" ref="B12:B22" si="1">1.9*A12</f>
        <v>3.8</v>
      </c>
      <c r="C12" s="7">
        <v>0.25</v>
      </c>
      <c r="D12" s="7">
        <v>0.63</v>
      </c>
      <c r="E12" s="7">
        <f t="shared" si="0"/>
        <v>9193.8831034416853</v>
      </c>
      <c r="F12" s="7">
        <f t="shared" ref="F12:F22" si="2">+B12*$B$5*($B$4)/(1-(1+$B$4)^(-$B$6))+$B$7+E12</f>
        <v>110070.76434321994</v>
      </c>
      <c r="G12" s="62">
        <f t="shared" ref="G12:G22" si="3">+D12*$B$1/F12</f>
        <v>0.32895446616183266</v>
      </c>
      <c r="H12" s="7">
        <v>6075.5447894826557</v>
      </c>
      <c r="I12" s="7">
        <v>18372.234327739297</v>
      </c>
    </row>
    <row r="13" spans="1:9" x14ac:dyDescent="0.3">
      <c r="A13" s="7">
        <v>3</v>
      </c>
      <c r="B13" s="7">
        <f t="shared" si="1"/>
        <v>5.6999999999999993</v>
      </c>
      <c r="C13" s="7">
        <v>0.36</v>
      </c>
      <c r="D13" s="7">
        <v>0.61</v>
      </c>
      <c r="E13" s="7">
        <f t="shared" si="0"/>
        <v>7845.4469149369042</v>
      </c>
      <c r="F13" s="7">
        <f>+B13*$B$5*($B$4)/(1-(1+$B$4)^(-$B$6))+$B$7+E13</f>
        <v>109160.76877460431</v>
      </c>
      <c r="G13" s="62">
        <f t="shared" si="3"/>
        <v>0.32116667044680841</v>
      </c>
      <c r="H13" s="7">
        <v>5200.0247894826543</v>
      </c>
      <c r="I13" s="7">
        <v>16056.644119260503</v>
      </c>
    </row>
    <row r="14" spans="1:9" x14ac:dyDescent="0.3">
      <c r="A14" s="7">
        <v>4</v>
      </c>
      <c r="B14" s="7">
        <f t="shared" si="1"/>
        <v>7.6</v>
      </c>
      <c r="C14" s="7">
        <v>0.46</v>
      </c>
      <c r="D14" s="7">
        <v>0.57999999999999996</v>
      </c>
      <c r="E14" s="7">
        <f t="shared" si="0"/>
        <v>6619.5958344780138</v>
      </c>
      <c r="F14" s="7">
        <f>+B14*$B$5*($B$4)/(1-(1+$B$4)^(-$B$6))+$B$7+E14</f>
        <v>108373.35831403454</v>
      </c>
      <c r="G14" s="62">
        <f t="shared" si="3"/>
        <v>0.30759033270397329</v>
      </c>
      <c r="H14" s="7">
        <v>4324.5047894826548</v>
      </c>
      <c r="I14" s="7">
        <v>13916.994399901556</v>
      </c>
    </row>
    <row r="15" spans="1:9" x14ac:dyDescent="0.3">
      <c r="A15" s="7">
        <v>5</v>
      </c>
      <c r="B15" s="7">
        <f t="shared" si="1"/>
        <v>9.5</v>
      </c>
      <c r="C15" s="7">
        <v>0.56000000000000005</v>
      </c>
      <c r="D15" s="7">
        <v>0.56000000000000005</v>
      </c>
      <c r="E15" s="7">
        <f t="shared" si="0"/>
        <v>5393.7447540191215</v>
      </c>
      <c r="F15" s="7">
        <f t="shared" si="2"/>
        <v>107585.94785346478</v>
      </c>
      <c r="G15" s="62">
        <f t="shared" si="3"/>
        <v>0.29915736309822444</v>
      </c>
      <c r="H15" s="7">
        <v>3448.9847894826544</v>
      </c>
      <c r="I15" s="7">
        <v>11945.066244476171</v>
      </c>
    </row>
    <row r="16" spans="1:9" x14ac:dyDescent="0.3">
      <c r="A16" s="7">
        <v>6</v>
      </c>
      <c r="B16" s="7">
        <f t="shared" si="1"/>
        <v>11.399999999999999</v>
      </c>
      <c r="C16" s="7">
        <v>0.64</v>
      </c>
      <c r="D16" s="7">
        <v>0.54</v>
      </c>
      <c r="E16" s="7">
        <f t="shared" si="0"/>
        <v>4413.0638896520077</v>
      </c>
      <c r="F16" s="7">
        <f t="shared" si="2"/>
        <v>107043.70760898681</v>
      </c>
      <c r="G16" s="62">
        <f t="shared" si="3"/>
        <v>0.28993446028456532</v>
      </c>
      <c r="H16" s="7">
        <v>2573.4647894826599</v>
      </c>
      <c r="I16" s="7">
        <v>10132.64072779806</v>
      </c>
    </row>
    <row r="17" spans="1:9" x14ac:dyDescent="0.3">
      <c r="A17" s="7">
        <v>7</v>
      </c>
      <c r="B17" s="7">
        <f t="shared" si="1"/>
        <v>13.299999999999999</v>
      </c>
      <c r="C17" s="7">
        <v>0.72</v>
      </c>
      <c r="D17" s="7">
        <v>0.52</v>
      </c>
      <c r="E17" s="7">
        <f t="shared" si="0"/>
        <v>3432.3830252848957</v>
      </c>
      <c r="F17" s="7">
        <f t="shared" si="2"/>
        <v>106501.46736450883</v>
      </c>
      <c r="G17" s="62">
        <f t="shared" si="3"/>
        <v>0.28061764272587525</v>
      </c>
      <c r="H17" s="7">
        <v>1697.9447894826567</v>
      </c>
      <c r="I17" s="7">
        <v>8471.4989246809309</v>
      </c>
    </row>
    <row r="18" spans="1:9" x14ac:dyDescent="0.3">
      <c r="A18" s="7">
        <v>8</v>
      </c>
      <c r="B18" s="7">
        <f t="shared" si="1"/>
        <v>15.2</v>
      </c>
      <c r="C18" s="7">
        <v>0.79</v>
      </c>
      <c r="D18" s="7">
        <v>0.49</v>
      </c>
      <c r="E18" s="7">
        <f t="shared" si="0"/>
        <v>2574.2872689636711</v>
      </c>
      <c r="F18" s="7">
        <f t="shared" si="2"/>
        <v>106081.81222807673</v>
      </c>
      <c r="G18" s="62">
        <f t="shared" si="3"/>
        <v>0.26547422990317987</v>
      </c>
      <c r="H18" s="7">
        <v>822.42478948265625</v>
      </c>
      <c r="I18" s="7">
        <v>6953.4219099384945</v>
      </c>
    </row>
    <row r="19" spans="1:9" x14ac:dyDescent="0.3">
      <c r="A19" s="7">
        <v>9</v>
      </c>
      <c r="B19" s="7">
        <f t="shared" si="1"/>
        <v>17.099999999999998</v>
      </c>
      <c r="C19" s="7">
        <v>0.85</v>
      </c>
      <c r="D19" s="7">
        <v>0.47</v>
      </c>
      <c r="E19" s="7">
        <f t="shared" si="0"/>
        <v>1838.7766206883373</v>
      </c>
      <c r="F19" s="7">
        <f t="shared" si="2"/>
        <v>105784.74219969053</v>
      </c>
      <c r="G19" s="62">
        <f t="shared" si="3"/>
        <v>0.25535363581257775</v>
      </c>
      <c r="H19" s="7">
        <v>-53.095210517344185</v>
      </c>
      <c r="I19" s="7">
        <v>5570.190758384465</v>
      </c>
    </row>
    <row r="20" spans="1:9" x14ac:dyDescent="0.3">
      <c r="A20" s="7">
        <v>10</v>
      </c>
      <c r="B20" s="7">
        <f t="shared" si="1"/>
        <v>19</v>
      </c>
      <c r="C20" s="7">
        <v>0.9</v>
      </c>
      <c r="D20" s="7">
        <v>0.46</v>
      </c>
      <c r="E20" s="7">
        <f t="shared" si="0"/>
        <v>1225.8510804588909</v>
      </c>
      <c r="F20" s="7">
        <f t="shared" si="2"/>
        <v>105610.25727935022</v>
      </c>
      <c r="G20" s="62">
        <f t="shared" si="3"/>
        <v>0.25033348822698998</v>
      </c>
      <c r="H20" s="7">
        <v>-928.61521051734189</v>
      </c>
      <c r="I20" s="7">
        <v>4313.5865448325476</v>
      </c>
    </row>
    <row r="21" spans="1:9" x14ac:dyDescent="0.3">
      <c r="A21" s="7">
        <v>11</v>
      </c>
      <c r="B21" s="7">
        <f t="shared" si="1"/>
        <v>20.9</v>
      </c>
      <c r="C21" s="7">
        <v>0.95</v>
      </c>
      <c r="D21" s="7">
        <v>0.44</v>
      </c>
      <c r="E21" s="7">
        <f t="shared" si="0"/>
        <v>612.92554022944614</v>
      </c>
      <c r="F21" s="7">
        <f t="shared" si="2"/>
        <v>105435.7723590099</v>
      </c>
      <c r="G21" s="62">
        <f t="shared" si="3"/>
        <v>0.23984568669338738</v>
      </c>
      <c r="H21" s="7">
        <v>-1804.1352105173423</v>
      </c>
      <c r="I21" s="7">
        <v>3175.3903440964609</v>
      </c>
    </row>
    <row r="22" spans="1:9" x14ac:dyDescent="0.3">
      <c r="A22" s="7">
        <v>12</v>
      </c>
      <c r="B22" s="7">
        <f t="shared" si="1"/>
        <v>22.799999999999997</v>
      </c>
      <c r="C22" s="7">
        <v>1</v>
      </c>
      <c r="D22" s="7">
        <v>0.42</v>
      </c>
      <c r="E22" s="7">
        <f t="shared" si="0"/>
        <v>0</v>
      </c>
      <c r="F22" s="7">
        <f t="shared" si="2"/>
        <v>105261.28743866959</v>
      </c>
      <c r="G22" s="62">
        <f t="shared" si="3"/>
        <v>0.22932311524085891</v>
      </c>
      <c r="H22" s="7">
        <v>-2679.6552105173428</v>
      </c>
      <c r="I22" s="7">
        <v>2147.3832309899117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B563-8FEB-4955-9C11-90ACDDE8E6C6}">
  <dimension ref="A1:K110"/>
  <sheetViews>
    <sheetView zoomScaleNormal="100" workbookViewId="0">
      <selection activeCell="G13" sqref="G13"/>
    </sheetView>
  </sheetViews>
  <sheetFormatPr baseColWidth="10" defaultRowHeight="14.4" x14ac:dyDescent="0.3"/>
  <cols>
    <col min="2" max="2" width="16.77734375" bestFit="1" customWidth="1"/>
    <col min="3" max="3" width="16.5546875" bestFit="1" customWidth="1"/>
    <col min="4" max="4" width="25.5546875" customWidth="1"/>
    <col min="5" max="5" width="13.21875" bestFit="1" customWidth="1"/>
    <col min="6" max="6" width="17.21875" customWidth="1"/>
    <col min="7" max="7" width="14.21875" customWidth="1"/>
    <col min="8" max="9" width="11.6640625" bestFit="1" customWidth="1"/>
    <col min="10" max="10" width="16.109375" customWidth="1"/>
    <col min="11" max="13" width="11.6640625" bestFit="1" customWidth="1"/>
  </cols>
  <sheetData>
    <row r="1" spans="1:11" x14ac:dyDescent="0.3">
      <c r="D1" s="76" t="s">
        <v>144</v>
      </c>
      <c r="E1" s="77" t="s">
        <v>145</v>
      </c>
    </row>
    <row r="2" spans="1:11" x14ac:dyDescent="0.3">
      <c r="D2" s="73" t="s">
        <v>146</v>
      </c>
      <c r="E2" s="20">
        <v>5</v>
      </c>
    </row>
    <row r="3" spans="1:11" x14ac:dyDescent="0.3">
      <c r="D3" s="73" t="s">
        <v>147</v>
      </c>
      <c r="E3" s="20" t="s">
        <v>149</v>
      </c>
    </row>
    <row r="4" spans="1:11" ht="15" thickBot="1" x14ac:dyDescent="0.35">
      <c r="D4" s="74" t="s">
        <v>148</v>
      </c>
      <c r="E4" s="75">
        <v>0.1</v>
      </c>
    </row>
    <row r="5" spans="1:11" ht="33" customHeight="1" x14ac:dyDescent="0.3"/>
    <row r="9" spans="1:11" ht="28.8" x14ac:dyDescent="0.3">
      <c r="A9" s="66" t="s">
        <v>135</v>
      </c>
      <c r="B9" s="66" t="s">
        <v>136</v>
      </c>
      <c r="C9" s="66" t="s">
        <v>137</v>
      </c>
      <c r="D9" s="66" t="s">
        <v>138</v>
      </c>
      <c r="E9" s="66" t="s">
        <v>150</v>
      </c>
      <c r="F9" s="66" t="s">
        <v>151</v>
      </c>
      <c r="J9" s="68" t="s">
        <v>143</v>
      </c>
      <c r="K9" s="66" t="s">
        <v>142</v>
      </c>
    </row>
    <row r="10" spans="1:11" x14ac:dyDescent="0.3">
      <c r="A10" s="65">
        <v>0</v>
      </c>
      <c r="B10" s="65">
        <v>0</v>
      </c>
      <c r="C10" s="65">
        <v>7000</v>
      </c>
      <c r="D10" s="65">
        <f>+B10-C10</f>
        <v>-7000</v>
      </c>
      <c r="E10" s="27"/>
      <c r="F10" s="27">
        <f>+D10</f>
        <v>-7000</v>
      </c>
      <c r="J10" s="67">
        <v>0</v>
      </c>
      <c r="K10" s="69">
        <f>+NPV(J10,$D$11:$D$15)+$D$10</f>
        <v>5500</v>
      </c>
    </row>
    <row r="11" spans="1:11" x14ac:dyDescent="0.3">
      <c r="A11" s="65">
        <v>1</v>
      </c>
      <c r="B11" s="65">
        <v>5310.6571516000549</v>
      </c>
      <c r="C11" s="65">
        <v>4425.7689285549814</v>
      </c>
      <c r="D11" s="65">
        <v>2500</v>
      </c>
      <c r="E11" s="27">
        <f t="shared" ref="E11:E15" si="0">+(1+$E$4)^A11</f>
        <v>1.1000000000000001</v>
      </c>
      <c r="F11" s="2">
        <f>+D11/E11</f>
        <v>2272.7272727272725</v>
      </c>
      <c r="J11" s="67">
        <v>0.01</v>
      </c>
      <c r="K11" s="69">
        <f t="shared" ref="K11:K41" si="1">+NPV(J11,$D$11:$D$15)+$D$10</f>
        <v>5133.5780983128006</v>
      </c>
    </row>
    <row r="12" spans="1:11" x14ac:dyDescent="0.3">
      <c r="A12" s="65">
        <v>2</v>
      </c>
      <c r="B12" s="65">
        <v>5310.6571516000549</v>
      </c>
      <c r="C12" s="65">
        <v>4425.7689285549814</v>
      </c>
      <c r="D12" s="65">
        <v>2500</v>
      </c>
      <c r="E12" s="27">
        <f t="shared" si="0"/>
        <v>1.2100000000000002</v>
      </c>
      <c r="F12" s="2">
        <f t="shared" ref="F12:F15" si="2">+F11/E12</f>
        <v>1878.2870022539439</v>
      </c>
      <c r="J12" s="67">
        <v>0.02</v>
      </c>
      <c r="K12" s="69">
        <f t="shared" si="1"/>
        <v>4783.648771260514</v>
      </c>
    </row>
    <row r="13" spans="1:11" x14ac:dyDescent="0.3">
      <c r="A13" s="65">
        <v>3</v>
      </c>
      <c r="B13" s="65">
        <v>5310.6571516000549</v>
      </c>
      <c r="C13" s="65">
        <v>4425.7689285549814</v>
      </c>
      <c r="D13" s="65">
        <v>2500</v>
      </c>
      <c r="E13" s="27">
        <f t="shared" si="0"/>
        <v>1.3310000000000004</v>
      </c>
      <c r="F13" s="2">
        <f t="shared" si="2"/>
        <v>1411.1848251344427</v>
      </c>
      <c r="J13" s="67">
        <v>0.03</v>
      </c>
      <c r="K13" s="69">
        <f t="shared" si="1"/>
        <v>4449.267967986334</v>
      </c>
    </row>
    <row r="14" spans="1:11" x14ac:dyDescent="0.3">
      <c r="A14" s="65">
        <v>4</v>
      </c>
      <c r="B14" s="65">
        <v>5310.6571516000549</v>
      </c>
      <c r="C14" s="65">
        <v>4425.7689285549814</v>
      </c>
      <c r="D14" s="65">
        <v>2500</v>
      </c>
      <c r="E14" s="27">
        <f t="shared" si="0"/>
        <v>1.4641000000000004</v>
      </c>
      <c r="F14" s="2">
        <f t="shared" si="2"/>
        <v>963.85822357382847</v>
      </c>
      <c r="J14" s="67">
        <v>0.04</v>
      </c>
      <c r="K14" s="69">
        <f t="shared" si="1"/>
        <v>4129.5558275405128</v>
      </c>
    </row>
    <row r="15" spans="1:11" x14ac:dyDescent="0.3">
      <c r="A15" s="65">
        <v>5</v>
      </c>
      <c r="B15" s="65">
        <v>5310.6571516000549</v>
      </c>
      <c r="C15" s="65">
        <v>4425.7689285549814</v>
      </c>
      <c r="D15" s="65">
        <v>2500</v>
      </c>
      <c r="E15" s="27">
        <f t="shared" si="0"/>
        <v>1.6105100000000006</v>
      </c>
      <c r="F15" s="2">
        <f t="shared" si="2"/>
        <v>598.48012342290838</v>
      </c>
      <c r="J15" s="67">
        <v>0.05</v>
      </c>
      <c r="K15" s="69">
        <f t="shared" si="1"/>
        <v>3823.6916765770457</v>
      </c>
    </row>
    <row r="16" spans="1:11" x14ac:dyDescent="0.3">
      <c r="E16" t="s">
        <v>18</v>
      </c>
      <c r="F16" s="49">
        <f>+SUM(F10:F15)</f>
        <v>124.53744711239528</v>
      </c>
      <c r="J16" s="67">
        <v>0.06</v>
      </c>
      <c r="K16" s="69">
        <f t="shared" si="1"/>
        <v>3530.9094639142822</v>
      </c>
    </row>
    <row r="17" spans="5:11" x14ac:dyDescent="0.3">
      <c r="J17" s="67">
        <v>7.0000000000000007E-2</v>
      </c>
      <c r="K17" s="69">
        <f t="shared" si="1"/>
        <v>3250.4935898689837</v>
      </c>
    </row>
    <row r="18" spans="5:11" x14ac:dyDescent="0.3">
      <c r="E18" s="5" t="s">
        <v>141</v>
      </c>
      <c r="F18" s="64">
        <f>+NPV(E4,D11:D15)+D10</f>
        <v>2476.9669235211186</v>
      </c>
      <c r="J18" s="67">
        <v>0.08</v>
      </c>
      <c r="K18" s="69">
        <f t="shared" si="1"/>
        <v>2981.775092695214</v>
      </c>
    </row>
    <row r="19" spans="5:11" x14ac:dyDescent="0.3">
      <c r="E19" s="5" t="s">
        <v>152</v>
      </c>
      <c r="F19" s="78">
        <f>+IRR(D10:D15)</f>
        <v>0.23058813685536839</v>
      </c>
      <c r="J19" s="67">
        <v>0.09</v>
      </c>
      <c r="K19" s="69">
        <f t="shared" si="1"/>
        <v>2724.1281583792897</v>
      </c>
    </row>
    <row r="20" spans="5:11" x14ac:dyDescent="0.3">
      <c r="J20" s="67">
        <v>0.1</v>
      </c>
      <c r="K20" s="69">
        <f t="shared" si="1"/>
        <v>2476.9669235211186</v>
      </c>
    </row>
    <row r="21" spans="5:11" x14ac:dyDescent="0.3">
      <c r="J21" s="67">
        <v>0.11</v>
      </c>
      <c r="K21" s="69">
        <f t="shared" si="1"/>
        <v>2239.742544123661</v>
      </c>
    </row>
    <row r="22" spans="5:11" x14ac:dyDescent="0.3">
      <c r="J22" s="67">
        <v>0.12</v>
      </c>
      <c r="K22" s="69">
        <f t="shared" si="1"/>
        <v>2011.9405058625107</v>
      </c>
    </row>
    <row r="23" spans="5:11" x14ac:dyDescent="0.3">
      <c r="J23" s="67">
        <v>0.13</v>
      </c>
      <c r="K23" s="69">
        <f t="shared" si="1"/>
        <v>1793.0781538567662</v>
      </c>
    </row>
    <row r="24" spans="5:11" x14ac:dyDescent="0.3">
      <c r="J24" s="67">
        <v>0.14000000000000001</v>
      </c>
      <c r="K24" s="69">
        <f t="shared" si="1"/>
        <v>1582.7024221461488</v>
      </c>
    </row>
    <row r="25" spans="5:11" x14ac:dyDescent="0.3">
      <c r="J25" s="67">
        <v>0.15</v>
      </c>
      <c r="K25" s="69">
        <f t="shared" si="1"/>
        <v>1380.3877450285054</v>
      </c>
    </row>
    <row r="26" spans="5:11" x14ac:dyDescent="0.3">
      <c r="J26" s="67">
        <v>0.16</v>
      </c>
      <c r="K26" s="69">
        <f t="shared" si="1"/>
        <v>1185.7341341530901</v>
      </c>
    </row>
    <row r="27" spans="5:11" x14ac:dyDescent="0.3">
      <c r="J27" s="67">
        <v>0.17</v>
      </c>
      <c r="K27" s="69">
        <f t="shared" si="1"/>
        <v>998.36540682303894</v>
      </c>
    </row>
    <row r="28" spans="5:11" x14ac:dyDescent="0.3">
      <c r="J28" s="67">
        <v>0.18</v>
      </c>
      <c r="K28" s="69">
        <f t="shared" si="1"/>
        <v>817.92755235474397</v>
      </c>
    </row>
    <row r="29" spans="5:11" x14ac:dyDescent="0.3">
      <c r="J29" s="67">
        <v>0.19</v>
      </c>
      <c r="K29" s="69">
        <f t="shared" si="1"/>
        <v>644.08722459201999</v>
      </c>
    </row>
    <row r="30" spans="5:11" x14ac:dyDescent="0.3">
      <c r="J30" s="67">
        <v>0.2</v>
      </c>
      <c r="K30" s="69">
        <f t="shared" si="1"/>
        <v>476.53034979423865</v>
      </c>
    </row>
    <row r="31" spans="5:11" x14ac:dyDescent="0.3">
      <c r="J31" s="67">
        <v>0.21</v>
      </c>
      <c r="K31" s="69">
        <f t="shared" si="1"/>
        <v>314.96084012462325</v>
      </c>
    </row>
    <row r="32" spans="5:11" x14ac:dyDescent="0.3">
      <c r="J32" s="67">
        <v>0.22</v>
      </c>
      <c r="K32" s="69">
        <f t="shared" si="1"/>
        <v>159.09940387011102</v>
      </c>
    </row>
    <row r="33" spans="10:11" x14ac:dyDescent="0.3">
      <c r="J33" s="67">
        <v>0.23</v>
      </c>
      <c r="K33" s="69">
        <f t="shared" si="1"/>
        <v>8.6824443385730774</v>
      </c>
    </row>
    <row r="34" spans="10:11" x14ac:dyDescent="0.3">
      <c r="J34" s="67">
        <v>0.24</v>
      </c>
      <c r="K34" s="69">
        <f t="shared" si="1"/>
        <v>-136.53895988742352</v>
      </c>
    </row>
    <row r="35" spans="10:11" x14ac:dyDescent="0.3">
      <c r="J35" s="67">
        <v>0.25</v>
      </c>
      <c r="K35" s="69">
        <f t="shared" si="1"/>
        <v>-276.80000000000018</v>
      </c>
    </row>
    <row r="36" spans="10:11" x14ac:dyDescent="0.3">
      <c r="J36" s="67">
        <v>0.26</v>
      </c>
      <c r="K36" s="69">
        <f t="shared" si="1"/>
        <v>-412.32301338182515</v>
      </c>
    </row>
    <row r="37" spans="10:11" x14ac:dyDescent="0.3">
      <c r="J37" s="67">
        <v>0.27</v>
      </c>
      <c r="K37" s="69">
        <f t="shared" si="1"/>
        <v>-543.31829691318853</v>
      </c>
    </row>
    <row r="38" spans="10:11" x14ac:dyDescent="0.3">
      <c r="J38" s="67">
        <v>0.28000000000000003</v>
      </c>
      <c r="K38" s="69">
        <f t="shared" si="1"/>
        <v>-669.98486220836639</v>
      </c>
    </row>
    <row r="39" spans="10:11" x14ac:dyDescent="0.3">
      <c r="J39" s="67">
        <v>0.28999999999999998</v>
      </c>
      <c r="K39" s="69">
        <f t="shared" si="1"/>
        <v>-792.51113737906417</v>
      </c>
    </row>
    <row r="40" spans="10:11" x14ac:dyDescent="0.3">
      <c r="J40" s="67">
        <v>0.3</v>
      </c>
      <c r="K40" s="69">
        <f t="shared" si="1"/>
        <v>-911.07561952420474</v>
      </c>
    </row>
    <row r="41" spans="10:11" x14ac:dyDescent="0.3">
      <c r="J41" s="67">
        <v>0.31</v>
      </c>
      <c r="K41" s="69">
        <f t="shared" si="1"/>
        <v>-1025.8474817842543</v>
      </c>
    </row>
    <row r="42" spans="10:11" x14ac:dyDescent="0.3">
      <c r="J42" s="67">
        <v>0.32</v>
      </c>
      <c r="K42" s="69">
        <f t="shared" ref="K42:K73" si="3">+NPV(J42,$D$11:$D$15)+$D$10</f>
        <v>-1136.9871384707958</v>
      </c>
    </row>
    <row r="43" spans="10:11" x14ac:dyDescent="0.3">
      <c r="J43" s="67">
        <v>0.33</v>
      </c>
      <c r="K43" s="69">
        <f t="shared" si="3"/>
        <v>-1244.6467714849723</v>
      </c>
    </row>
    <row r="44" spans="10:11" x14ac:dyDescent="0.3">
      <c r="J44" s="67">
        <v>0.34</v>
      </c>
      <c r="K44" s="69">
        <f t="shared" si="3"/>
        <v>-1348.9708209685195</v>
      </c>
    </row>
    <row r="45" spans="10:11" x14ac:dyDescent="0.3">
      <c r="J45" s="67">
        <v>0.35</v>
      </c>
      <c r="K45" s="69">
        <f t="shared" si="3"/>
        <v>-1450.0964428858597</v>
      </c>
    </row>
    <row r="46" spans="10:11" x14ac:dyDescent="0.3">
      <c r="J46" s="67">
        <v>0.36</v>
      </c>
      <c r="K46" s="69">
        <f t="shared" si="3"/>
        <v>-1548.1539360125698</v>
      </c>
    </row>
    <row r="47" spans="10:11" x14ac:dyDescent="0.3">
      <c r="J47" s="67">
        <v>0.37</v>
      </c>
      <c r="K47" s="69">
        <f t="shared" si="3"/>
        <v>-1643.2671406024974</v>
      </c>
    </row>
    <row r="48" spans="10:11" x14ac:dyDescent="0.3">
      <c r="J48" s="67">
        <v>0.38</v>
      </c>
      <c r="K48" s="69">
        <f t="shared" si="3"/>
        <v>-1735.5538108207047</v>
      </c>
    </row>
    <row r="49" spans="10:11" x14ac:dyDescent="0.3">
      <c r="J49" s="67">
        <v>0.39</v>
      </c>
      <c r="K49" s="69">
        <f t="shared" si="3"/>
        <v>-1825.1259628608614</v>
      </c>
    </row>
    <row r="50" spans="10:11" x14ac:dyDescent="0.3">
      <c r="J50" s="67">
        <v>0.4</v>
      </c>
      <c r="K50" s="69">
        <f t="shared" si="3"/>
        <v>-1912.0902005116914</v>
      </c>
    </row>
    <row r="51" spans="10:11" x14ac:dyDescent="0.3">
      <c r="J51" s="67">
        <v>0.41</v>
      </c>
      <c r="K51" s="69">
        <f t="shared" si="3"/>
        <v>-1996.5480197967927</v>
      </c>
    </row>
    <row r="52" spans="10:11" x14ac:dyDescent="0.3">
      <c r="J52" s="67">
        <v>0.42</v>
      </c>
      <c r="K52" s="69">
        <f t="shared" si="3"/>
        <v>-2078.5960941835929</v>
      </c>
    </row>
    <row r="53" spans="10:11" x14ac:dyDescent="0.3">
      <c r="J53" s="67">
        <v>0.43</v>
      </c>
      <c r="K53" s="69">
        <f t="shared" si="3"/>
        <v>-2158.3265417400789</v>
      </c>
    </row>
    <row r="54" spans="10:11" x14ac:dyDescent="0.3">
      <c r="J54" s="67">
        <v>0.44</v>
      </c>
      <c r="K54" s="69">
        <f t="shared" si="3"/>
        <v>-2235.8271755104861</v>
      </c>
    </row>
    <row r="55" spans="10:11" x14ac:dyDescent="0.3">
      <c r="J55" s="67">
        <v>0.45</v>
      </c>
      <c r="K55" s="69">
        <f t="shared" si="3"/>
        <v>-2311.1817382829204</v>
      </c>
    </row>
    <row r="56" spans="10:11" x14ac:dyDescent="0.3">
      <c r="J56" s="67">
        <v>0.46</v>
      </c>
      <c r="K56" s="69">
        <f t="shared" si="3"/>
        <v>-2384.4701228318836</v>
      </c>
    </row>
    <row r="57" spans="10:11" x14ac:dyDescent="0.3">
      <c r="J57" s="67">
        <v>0.47</v>
      </c>
      <c r="K57" s="69">
        <f t="shared" si="3"/>
        <v>-2455.7685786361608</v>
      </c>
    </row>
    <row r="58" spans="10:11" x14ac:dyDescent="0.3">
      <c r="J58" s="67">
        <v>0.48</v>
      </c>
      <c r="K58" s="69">
        <f t="shared" si="3"/>
        <v>-2525.1499059968555</v>
      </c>
    </row>
    <row r="59" spans="10:11" x14ac:dyDescent="0.3">
      <c r="J59" s="67">
        <v>0.49</v>
      </c>
      <c r="K59" s="69">
        <f t="shared" si="3"/>
        <v>-2592.6836384109283</v>
      </c>
    </row>
    <row r="60" spans="10:11" x14ac:dyDescent="0.3">
      <c r="J60" s="67">
        <v>0.5</v>
      </c>
      <c r="K60" s="69">
        <f t="shared" si="3"/>
        <v>-2658.4362139917694</v>
      </c>
    </row>
    <row r="61" spans="10:11" x14ac:dyDescent="0.3">
      <c r="J61" s="67">
        <v>0.51</v>
      </c>
      <c r="K61" s="69">
        <f t="shared" si="3"/>
        <v>-2722.4711366697675</v>
      </c>
    </row>
    <row r="62" spans="10:11" x14ac:dyDescent="0.3">
      <c r="J62" s="67">
        <v>0.52</v>
      </c>
      <c r="K62" s="69">
        <f t="shared" si="3"/>
        <v>-2784.8491278519159</v>
      </c>
    </row>
    <row r="63" spans="10:11" x14ac:dyDescent="0.3">
      <c r="J63" s="67">
        <v>0.53</v>
      </c>
      <c r="K63" s="69">
        <f t="shared" si="3"/>
        <v>-2845.6282691699143</v>
      </c>
    </row>
    <row r="64" spans="10:11" x14ac:dyDescent="0.3">
      <c r="J64" s="67">
        <v>0.54</v>
      </c>
      <c r="K64" s="69">
        <f t="shared" si="3"/>
        <v>-2904.8641369005913</v>
      </c>
    </row>
    <row r="65" spans="10:11" x14ac:dyDescent="0.3">
      <c r="J65" s="67">
        <v>0.55000000000000004</v>
      </c>
      <c r="K65" s="69">
        <f t="shared" si="3"/>
        <v>-2962.6099286003973</v>
      </c>
    </row>
    <row r="66" spans="10:11" x14ac:dyDescent="0.3">
      <c r="J66" s="67">
        <v>0.56000000000000005</v>
      </c>
      <c r="K66" s="69">
        <f t="shared" si="3"/>
        <v>-3018.9165824569973</v>
      </c>
    </row>
    <row r="67" spans="10:11" x14ac:dyDescent="0.3">
      <c r="J67" s="67">
        <v>0.56999999999999995</v>
      </c>
      <c r="K67" s="69">
        <f t="shared" si="3"/>
        <v>-3073.8328898252225</v>
      </c>
    </row>
    <row r="68" spans="10:11" x14ac:dyDescent="0.3">
      <c r="J68" s="67">
        <v>0.57999999999999996</v>
      </c>
      <c r="K68" s="69">
        <f t="shared" si="3"/>
        <v>-3127.4056013816994</v>
      </c>
    </row>
    <row r="69" spans="10:11" x14ac:dyDescent="0.3">
      <c r="J69" s="67">
        <v>0.59</v>
      </c>
      <c r="K69" s="69">
        <f t="shared" si="3"/>
        <v>-3179.6795273019779</v>
      </c>
    </row>
    <row r="70" spans="10:11" x14ac:dyDescent="0.3">
      <c r="J70" s="67">
        <v>0.6</v>
      </c>
      <c r="K70" s="69">
        <f t="shared" si="3"/>
        <v>-3230.6976318359375</v>
      </c>
    </row>
    <row r="71" spans="10:11" x14ac:dyDescent="0.3">
      <c r="J71" s="67">
        <v>0.61</v>
      </c>
      <c r="K71" s="69">
        <f t="shared" si="3"/>
        <v>-3280.5011226311713</v>
      </c>
    </row>
    <row r="72" spans="10:11" x14ac:dyDescent="0.3">
      <c r="J72" s="67">
        <v>0.62</v>
      </c>
      <c r="K72" s="69">
        <f t="shared" si="3"/>
        <v>-3329.1295351300969</v>
      </c>
    </row>
    <row r="73" spans="10:11" x14ac:dyDescent="0.3">
      <c r="J73" s="67">
        <v>0.63</v>
      </c>
      <c r="K73" s="69">
        <f t="shared" si="3"/>
        <v>-3376.6208123442293</v>
      </c>
    </row>
    <row r="74" spans="10:11" x14ac:dyDescent="0.3">
      <c r="J74" s="67">
        <v>0.64</v>
      </c>
      <c r="K74" s="69">
        <f t="shared" ref="K74" si="4">+NPV(J74,$D$11:$D$15)+$D$10</f>
        <v>-3423.0113802885708</v>
      </c>
    </row>
    <row r="75" spans="10:11" x14ac:dyDescent="0.3">
      <c r="J75" s="67">
        <v>0.65</v>
      </c>
      <c r="K75" s="69">
        <f t="shared" ref="K75:K110" si="5">+NPV(J75,$D$11:$D$15)+$D$10</f>
        <v>-3468.3362193398693</v>
      </c>
    </row>
    <row r="76" spans="10:11" x14ac:dyDescent="0.3">
      <c r="J76" s="67">
        <v>0.66</v>
      </c>
      <c r="K76" s="69">
        <f t="shared" si="5"/>
        <v>-3512.628931764998</v>
      </c>
    </row>
    <row r="77" spans="10:11" x14ac:dyDescent="0.3">
      <c r="J77" s="67">
        <v>0.67</v>
      </c>
      <c r="K77" s="69">
        <f t="shared" si="5"/>
        <v>-3555.9218056491736</v>
      </c>
    </row>
    <row r="78" spans="10:11" x14ac:dyDescent="0.3">
      <c r="J78" s="67">
        <v>0.68</v>
      </c>
      <c r="K78" s="69">
        <f t="shared" si="5"/>
        <v>-3598.2458754386835</v>
      </c>
    </row>
    <row r="79" spans="10:11" x14ac:dyDescent="0.3">
      <c r="J79" s="67">
        <v>0.69</v>
      </c>
      <c r="K79" s="69">
        <f t="shared" si="5"/>
        <v>-3639.6309792985717</v>
      </c>
    </row>
    <row r="80" spans="10:11" x14ac:dyDescent="0.3">
      <c r="J80" s="67">
        <v>0.7</v>
      </c>
      <c r="K80" s="69">
        <f t="shared" si="5"/>
        <v>-3680.105813472765</v>
      </c>
    </row>
    <row r="81" spans="10:11" x14ac:dyDescent="0.3">
      <c r="J81" s="67">
        <v>0.71</v>
      </c>
      <c r="K81" s="69">
        <f t="shared" si="5"/>
        <v>-3719.6979838218581</v>
      </c>
    </row>
    <row r="82" spans="10:11" x14ac:dyDescent="0.3">
      <c r="J82" s="67">
        <v>0.72</v>
      </c>
      <c r="K82" s="69">
        <f t="shared" si="5"/>
        <v>-3758.4340547025586</v>
      </c>
    </row>
    <row r="83" spans="10:11" x14ac:dyDescent="0.3">
      <c r="J83" s="67">
        <v>0.73</v>
      </c>
      <c r="K83" s="69">
        <f t="shared" si="5"/>
        <v>-3796.3395953422523</v>
      </c>
    </row>
    <row r="84" spans="10:11" x14ac:dyDescent="0.3">
      <c r="J84" s="67">
        <v>0.74</v>
      </c>
      <c r="K84" s="69">
        <f t="shared" si="5"/>
        <v>-3833.4392238523865</v>
      </c>
    </row>
    <row r="85" spans="10:11" x14ac:dyDescent="0.3">
      <c r="J85" s="67">
        <v>0.75</v>
      </c>
      <c r="K85" s="69">
        <f t="shared" si="5"/>
        <v>-3869.7566490152917</v>
      </c>
    </row>
    <row r="86" spans="10:11" x14ac:dyDescent="0.3">
      <c r="J86" s="67">
        <v>0.76</v>
      </c>
      <c r="K86" s="69">
        <f t="shared" si="5"/>
        <v>-3905.3147099705602</v>
      </c>
    </row>
    <row r="87" spans="10:11" x14ac:dyDescent="0.3">
      <c r="J87" s="67">
        <v>0.77</v>
      </c>
      <c r="K87" s="69">
        <f t="shared" si="5"/>
        <v>-3940.1354139192813</v>
      </c>
    </row>
    <row r="88" spans="10:11" x14ac:dyDescent="0.3">
      <c r="J88" s="67">
        <v>0.78</v>
      </c>
      <c r="K88" s="69">
        <f t="shared" si="5"/>
        <v>-3974.2399719570039</v>
      </c>
    </row>
    <row r="89" spans="10:11" x14ac:dyDescent="0.3">
      <c r="J89" s="67">
        <v>0.79</v>
      </c>
      <c r="K89" s="69">
        <f t="shared" si="5"/>
        <v>-4007.6488331395312</v>
      </c>
    </row>
    <row r="90" spans="10:11" x14ac:dyDescent="0.3">
      <c r="J90" s="67">
        <v>0.8</v>
      </c>
      <c r="K90" s="69">
        <f t="shared" si="5"/>
        <v>-4040.381716879202</v>
      </c>
    </row>
    <row r="91" spans="10:11" x14ac:dyDescent="0.3">
      <c r="J91" s="67">
        <v>0.81</v>
      </c>
      <c r="K91" s="69">
        <f t="shared" si="5"/>
        <v>-4072.4576437633873</v>
      </c>
    </row>
    <row r="92" spans="10:11" x14ac:dyDescent="0.3">
      <c r="J92" s="67">
        <v>0.82</v>
      </c>
      <c r="K92" s="69">
        <f t="shared" si="5"/>
        <v>-4103.8949648813523</v>
      </c>
    </row>
    <row r="93" spans="10:11" x14ac:dyDescent="0.3">
      <c r="J93" s="67">
        <v>0.83</v>
      </c>
      <c r="K93" s="69">
        <f t="shared" si="5"/>
        <v>-4134.7113897404652</v>
      </c>
    </row>
    <row r="94" spans="10:11" x14ac:dyDescent="0.3">
      <c r="J94" s="67">
        <v>0.84</v>
      </c>
      <c r="K94" s="69">
        <f t="shared" si="5"/>
        <v>-4164.9240128478232</v>
      </c>
    </row>
    <row r="95" spans="10:11" x14ac:dyDescent="0.3">
      <c r="J95" s="67">
        <v>0.85</v>
      </c>
      <c r="K95" s="69">
        <f t="shared" si="5"/>
        <v>-4194.549339028923</v>
      </c>
    </row>
    <row r="96" spans="10:11" x14ac:dyDescent="0.3">
      <c r="J96" s="67">
        <v>0.86</v>
      </c>
      <c r="K96" s="69">
        <f t="shared" si="5"/>
        <v>-4223.603307550653</v>
      </c>
    </row>
    <row r="97" spans="10:11" x14ac:dyDescent="0.3">
      <c r="J97" s="67">
        <v>0.87</v>
      </c>
      <c r="K97" s="69">
        <f t="shared" si="5"/>
        <v>-4252.1013151120305</v>
      </c>
    </row>
    <row r="98" spans="10:11" x14ac:dyDescent="0.3">
      <c r="J98" s="67">
        <v>0.88</v>
      </c>
      <c r="K98" s="69">
        <f t="shared" si="5"/>
        <v>-4280.0582377622895</v>
      </c>
    </row>
    <row r="99" spans="10:11" x14ac:dyDescent="0.3">
      <c r="J99" s="67">
        <v>0.89</v>
      </c>
      <c r="K99" s="69">
        <f t="shared" si="5"/>
        <v>-4307.4884518025465</v>
      </c>
    </row>
    <row r="100" spans="10:11" x14ac:dyDescent="0.3">
      <c r="J100" s="67">
        <v>0.9</v>
      </c>
      <c r="K100" s="69">
        <f t="shared" si="5"/>
        <v>-4334.4058537239416</v>
      </c>
    </row>
    <row r="101" spans="10:11" x14ac:dyDescent="0.3">
      <c r="J101" s="67">
        <v>0.91</v>
      </c>
      <c r="K101" s="69">
        <f t="shared" si="5"/>
        <v>-4360.8238792321663</v>
      </c>
    </row>
    <row r="102" spans="10:11" x14ac:dyDescent="0.3">
      <c r="J102" s="67">
        <v>0.92</v>
      </c>
      <c r="K102" s="69">
        <f t="shared" si="5"/>
        <v>-4386.7555214053809</v>
      </c>
    </row>
    <row r="103" spans="10:11" x14ac:dyDescent="0.3">
      <c r="J103" s="67">
        <v>0.93</v>
      </c>
      <c r="K103" s="69">
        <f t="shared" si="5"/>
        <v>-4412.2133480298999</v>
      </c>
    </row>
    <row r="104" spans="10:11" x14ac:dyDescent="0.3">
      <c r="J104" s="67">
        <v>0.94</v>
      </c>
      <c r="K104" s="69">
        <f t="shared" si="5"/>
        <v>-4437.209518155465</v>
      </c>
    </row>
    <row r="105" spans="10:11" x14ac:dyDescent="0.3">
      <c r="J105" s="67">
        <v>0.95</v>
      </c>
      <c r="K105" s="69">
        <f t="shared" si="5"/>
        <v>-4461.7557979096046</v>
      </c>
    </row>
    <row r="106" spans="10:11" x14ac:dyDescent="0.3">
      <c r="J106" s="67">
        <v>0.96</v>
      </c>
      <c r="K106" s="69">
        <f t="shared" si="5"/>
        <v>-4485.8635756083531</v>
      </c>
    </row>
    <row r="107" spans="10:11" x14ac:dyDescent="0.3">
      <c r="J107" s="67">
        <v>0.97</v>
      </c>
      <c r="K107" s="69">
        <f t="shared" si="5"/>
        <v>-4509.5438761985315</v>
      </c>
    </row>
    <row r="108" spans="10:11" x14ac:dyDescent="0.3">
      <c r="J108" s="67">
        <v>0.98</v>
      </c>
      <c r="K108" s="69">
        <f t="shared" si="5"/>
        <v>-4532.80737506484</v>
      </c>
    </row>
    <row r="109" spans="10:11" x14ac:dyDescent="0.3">
      <c r="J109" s="67">
        <v>0.99</v>
      </c>
      <c r="K109" s="69">
        <f t="shared" si="5"/>
        <v>-4555.664411233196</v>
      </c>
    </row>
    <row r="110" spans="10:11" x14ac:dyDescent="0.3">
      <c r="J110" s="67">
        <v>1</v>
      </c>
      <c r="K110" s="69">
        <f t="shared" si="5"/>
        <v>-4578.125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5236-A81B-408F-AF45-15A4013560D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5457-036E-4EE3-8A14-27942CD7724B}">
  <dimension ref="A1"/>
  <sheetViews>
    <sheetView workbookViewId="0">
      <selection activeCell="E27" sqref="E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DE6B-2A7F-4500-B0AA-609EDFEE94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Entrada datos mensual</vt:lpstr>
      <vt:lpstr>Demanda Termica</vt:lpstr>
      <vt:lpstr>Reuniones</vt:lpstr>
      <vt:lpstr>Resumen</vt:lpstr>
      <vt:lpstr>Analisis comparativo</vt:lpstr>
      <vt:lpstr>VAN</vt:lpstr>
      <vt:lpstr>Temperatura ambiente media sol</vt:lpstr>
      <vt:lpstr>Irradiacion horizontal media</vt:lpstr>
      <vt:lpstr>Temperatura de agua de red</vt:lpstr>
      <vt:lpstr>Coeficiente de correccion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Mayte Estrada Torvisco</dc:creator>
  <cp:lastModifiedBy>Luz Mayte Estrada Torvisco</cp:lastModifiedBy>
  <dcterms:created xsi:type="dcterms:W3CDTF">2023-03-01T15:32:43Z</dcterms:created>
  <dcterms:modified xsi:type="dcterms:W3CDTF">2023-03-28T13:15:30Z</dcterms:modified>
</cp:coreProperties>
</file>